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-Celetro\"/>
    </mc:Choice>
  </mc:AlternateContent>
  <xr:revisionPtr revIDLastSave="0" documentId="8_{67C683EA-BD38-48DA-9CF3-456B4A48E066}" xr6:coauthVersionLast="47" xr6:coauthVersionMax="47" xr10:uidLastSave="{00000000-0000-0000-0000-000000000000}"/>
  <bookViews>
    <workbookView xWindow="-120" yWindow="-120" windowWidth="29040" windowHeight="15840" tabRatio="725" firstSheet="4" activeTab="6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Faturas!$O$1:$V$161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MERCADO'!$A$2:$FC$3983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0" r:id="rId49"/>
    <pivotCache cacheId="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178" i="89" l="1"/>
  <c r="AM181" i="89"/>
  <c r="AM182" i="89"/>
  <c r="AM179" i="89"/>
  <c r="AM185" i="89"/>
  <c r="AM186" i="89"/>
  <c r="AM183" i="89"/>
  <c r="AM184" i="89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S247" i="89"/>
  <c r="AO181" i="89"/>
  <c r="AS248" i="89"/>
  <c r="AN182" i="89"/>
  <c r="AO182" i="89" s="1"/>
  <c r="AS249" i="89"/>
  <c r="AN183" i="89"/>
  <c r="AO183" i="89" s="1"/>
  <c r="AN184" i="89"/>
  <c r="AO184" i="89" s="1"/>
  <c r="AN185" i="89"/>
  <c r="AO185" i="89" s="1"/>
  <c r="AN186" i="89"/>
  <c r="AO186" i="89" s="1"/>
  <c r="E43" i="50"/>
  <c r="Q149" i="49" s="1"/>
  <c r="P149" i="49" s="1"/>
  <c r="E42" i="50"/>
  <c r="Q148" i="49" s="1"/>
  <c r="P148" i="49" s="1"/>
  <c r="E44" i="50"/>
  <c r="AU247" i="89" l="1"/>
  <c r="AU249" i="89"/>
  <c r="AU248" i="89"/>
  <c r="D38" i="50"/>
  <c r="AN179" i="89" s="1"/>
  <c r="AY214" i="89" l="1"/>
  <c r="AS253" i="89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L22" i="58"/>
  <c r="L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6" i="49" l="1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I20" i="51"/>
  <c r="Q273" i="49" l="1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L6" i="58"/>
  <c r="K47" i="58" l="1"/>
  <c r="L47" i="58" s="1"/>
  <c r="K45" i="58"/>
  <c r="L45" i="58" s="1"/>
  <c r="L44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3" i="49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S240" i="89" l="1"/>
  <c r="AS242" i="89"/>
  <c r="AS245" i="89"/>
  <c r="AS246" i="89"/>
  <c r="AN176" i="89"/>
  <c r="AU242" i="89" s="1"/>
  <c r="AU245" i="89"/>
  <c r="C18" i="50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P275" i="49"/>
  <c r="P274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4" i="50"/>
  <c r="AN188" i="89" s="1"/>
  <c r="D63" i="50"/>
  <c r="D56" i="50"/>
  <c r="D50" i="50"/>
  <c r="D48" i="50"/>
  <c r="D49" i="50"/>
  <c r="AO188" i="89" l="1"/>
  <c r="AU254" i="89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E65" i="135" a="1"/>
  <c r="G65" i="135" a="1"/>
  <c r="AA65" i="135" a="1"/>
  <c r="H65" i="135" a="1"/>
  <c r="I65" i="135" a="1"/>
  <c r="Q65" i="135" a="1"/>
  <c r="N65" i="135" a="1"/>
  <c r="D65" i="135" a="1"/>
  <c r="U65" i="135" a="1"/>
  <c r="V65" i="135" a="1"/>
  <c r="S65" i="135" a="1"/>
  <c r="X65" i="135" a="1"/>
  <c r="O65" i="135" a="1"/>
  <c r="AB65" i="135" a="1"/>
  <c r="T65" i="135" a="1"/>
  <c r="K65" i="135" a="1"/>
  <c r="L65" i="135" a="1"/>
  <c r="P65" i="135" a="1"/>
  <c r="Z65" i="135" a="1"/>
  <c r="F65" i="135" a="1"/>
  <c r="Y65" i="135" a="1"/>
  <c r="M65" i="135" a="1"/>
  <c r="W65" i="135" a="1"/>
  <c r="J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G64" i="135" a="1"/>
  <c r="F64" i="135" a="1"/>
  <c r="AA64" i="135" a="1"/>
  <c r="V64" i="135" a="1"/>
  <c r="U64" i="135" a="1"/>
  <c r="M64" i="135" a="1"/>
  <c r="I64" i="135" a="1"/>
  <c r="L64" i="135" a="1"/>
  <c r="J64" i="135" a="1"/>
  <c r="O64" i="135" a="1"/>
  <c r="Q64" i="135" a="1"/>
  <c r="Y64" i="135" a="1"/>
  <c r="K64" i="135" a="1"/>
  <c r="E64" i="135" a="1"/>
  <c r="W64" i="135" a="1"/>
  <c r="H64" i="135" a="1"/>
  <c r="P64" i="135" a="1"/>
  <c r="D64" i="135" a="1"/>
  <c r="Z64" i="135" a="1"/>
  <c r="AB64" i="135" a="1"/>
  <c r="X64" i="135" a="1"/>
  <c r="S64" i="135" a="1"/>
  <c r="N64" i="135" a="1"/>
  <c r="T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K63" i="135" a="1"/>
  <c r="G63" i="135" a="1"/>
  <c r="X63" i="135" a="1"/>
  <c r="AA63" i="135" a="1"/>
  <c r="T63" i="135" a="1"/>
  <c r="E63" i="135" a="1"/>
  <c r="F63" i="135" a="1"/>
  <c r="M63" i="135" a="1"/>
  <c r="U63" i="135" a="1"/>
  <c r="P63" i="135" a="1"/>
  <c r="O63" i="135" a="1"/>
  <c r="Y63" i="135" a="1"/>
  <c r="V63" i="135" a="1"/>
  <c r="Q63" i="135" a="1"/>
  <c r="N63" i="135" a="1"/>
  <c r="I63" i="135" a="1"/>
  <c r="AB63" i="135" a="1"/>
  <c r="L63" i="135" a="1"/>
  <c r="W63" i="135" a="1"/>
  <c r="S63" i="135" a="1"/>
  <c r="H63" i="135" a="1"/>
  <c r="Z63" i="135" a="1"/>
  <c r="D63" i="135" a="1"/>
  <c r="J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U62" i="135" a="1"/>
  <c r="AB62" i="135" a="1"/>
  <c r="M62" i="135" a="1"/>
  <c r="G62" i="135" a="1"/>
  <c r="E62" i="135" a="1"/>
  <c r="J62" i="135" a="1"/>
  <c r="T62" i="135" a="1"/>
  <c r="Z62" i="135" a="1"/>
  <c r="N62" i="135" a="1"/>
  <c r="AA62" i="135" a="1"/>
  <c r="Q62" i="135" a="1"/>
  <c r="X62" i="135" a="1"/>
  <c r="D62" i="135" a="1"/>
  <c r="K62" i="135" a="1"/>
  <c r="F62" i="135" a="1"/>
  <c r="V62" i="135" a="1"/>
  <c r="L62" i="135" a="1"/>
  <c r="H62" i="135" a="1"/>
  <c r="W62" i="135" a="1"/>
  <c r="S62" i="135" a="1"/>
  <c r="O62" i="135" a="1"/>
  <c r="Y62" i="135" a="1"/>
  <c r="I62" i="135" a="1"/>
  <c r="P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F61" i="135" a="1"/>
  <c r="V61" i="135" a="1"/>
  <c r="M61" i="135" a="1"/>
  <c r="E61" i="135" a="1"/>
  <c r="J61" i="135" a="1"/>
  <c r="H61" i="135" a="1"/>
  <c r="G61" i="135" a="1"/>
  <c r="U61" i="135" a="1"/>
  <c r="Y61" i="135" a="1"/>
  <c r="S61" i="135" a="1"/>
  <c r="AA61" i="135" a="1"/>
  <c r="P61" i="135" a="1"/>
  <c r="X61" i="135" a="1"/>
  <c r="N61" i="135" a="1"/>
  <c r="K61" i="135" a="1"/>
  <c r="I61" i="135" a="1"/>
  <c r="Q61" i="135" a="1"/>
  <c r="W61" i="135" a="1"/>
  <c r="D61" i="135" a="1"/>
  <c r="L61" i="135" a="1"/>
  <c r="T61" i="135" a="1"/>
  <c r="Z61" i="135" a="1"/>
  <c r="AB61" i="135" a="1"/>
  <c r="O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AB60" i="135" a="1"/>
  <c r="J60" i="135" a="1"/>
  <c r="H60" i="135" a="1"/>
  <c r="E60" i="135" a="1"/>
  <c r="Z60" i="135" a="1"/>
  <c r="S60" i="135" a="1"/>
  <c r="U60" i="135" a="1"/>
  <c r="I60" i="135" a="1"/>
  <c r="W60" i="135" a="1"/>
  <c r="D60" i="135" a="1"/>
  <c r="AA60" i="135" a="1"/>
  <c r="P60" i="135" a="1"/>
  <c r="Q60" i="135" a="1"/>
  <c r="T60" i="135" a="1"/>
  <c r="N60" i="135" a="1"/>
  <c r="X60" i="135" a="1"/>
  <c r="L60" i="135" a="1"/>
  <c r="Y60" i="135" a="1"/>
  <c r="F60" i="135" a="1"/>
  <c r="G60" i="135" a="1"/>
  <c r="M60" i="135" a="1"/>
  <c r="V60" i="135" a="1"/>
  <c r="O60" i="135" a="1"/>
  <c r="K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H59" i="135" a="1"/>
  <c r="D59" i="135" a="1"/>
  <c r="V59" i="135" a="1"/>
  <c r="T59" i="135" a="1"/>
  <c r="O59" i="135" a="1"/>
  <c r="AB59" i="135" a="1"/>
  <c r="G59" i="135" a="1"/>
  <c r="W59" i="135" a="1"/>
  <c r="U59" i="135" a="1"/>
  <c r="S59" i="135" a="1"/>
  <c r="L59" i="135" a="1"/>
  <c r="P59" i="135" a="1"/>
  <c r="Y59" i="135" a="1"/>
  <c r="X59" i="135" a="1"/>
  <c r="AA59" i="135" a="1"/>
  <c r="K59" i="135" a="1"/>
  <c r="M59" i="135" a="1"/>
  <c r="I59" i="135" a="1"/>
  <c r="N59" i="135" a="1"/>
  <c r="E59" i="135" a="1"/>
  <c r="F59" i="135" a="1"/>
  <c r="Z59" i="135" a="1"/>
  <c r="Q59" i="135" a="1"/>
  <c r="J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G58" i="135" a="1"/>
  <c r="T58" i="135" a="1"/>
  <c r="X58" i="135" a="1"/>
  <c r="D58" i="135" a="1"/>
  <c r="E58" i="135" a="1"/>
  <c r="Y58" i="135" a="1"/>
  <c r="Z58" i="135" a="1"/>
  <c r="I58" i="135" a="1"/>
  <c r="L58" i="135" a="1"/>
  <c r="Q58" i="135" a="1"/>
  <c r="AA58" i="135" a="1"/>
  <c r="S58" i="135" a="1"/>
  <c r="W58" i="135" a="1"/>
  <c r="F58" i="135" a="1"/>
  <c r="N58" i="135" a="1"/>
  <c r="V58" i="135" a="1"/>
  <c r="AB58" i="135" a="1"/>
  <c r="H58" i="135" a="1"/>
  <c r="U58" i="135" a="1"/>
  <c r="P58" i="135" a="1"/>
  <c r="M58" i="135" a="1"/>
  <c r="J58" i="135" a="1"/>
  <c r="O58" i="135" a="1"/>
  <c r="K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G57" i="135" a="1"/>
  <c r="AB57" i="135" a="1"/>
  <c r="H57" i="135" a="1"/>
  <c r="AA57" i="135" a="1"/>
  <c r="Y57" i="135" a="1"/>
  <c r="W57" i="135" a="1"/>
  <c r="U57" i="135" a="1"/>
  <c r="T57" i="135" a="1"/>
  <c r="Z57" i="135" a="1"/>
  <c r="N57" i="135" a="1"/>
  <c r="M57" i="135" a="1"/>
  <c r="J57" i="135" a="1"/>
  <c r="I57" i="135" a="1"/>
  <c r="E57" i="135" a="1"/>
  <c r="L57" i="135" a="1"/>
  <c r="F57" i="135" a="1"/>
  <c r="P57" i="135" a="1"/>
  <c r="S57" i="135" a="1"/>
  <c r="D57" i="135" a="1"/>
  <c r="V57" i="135" a="1"/>
  <c r="Q57" i="135" a="1"/>
  <c r="O57" i="135" a="1"/>
  <c r="K57" i="135" a="1"/>
  <c r="X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Y56" i="135" a="1"/>
  <c r="G56" i="135" a="1"/>
  <c r="N56" i="135" a="1"/>
  <c r="AA56" i="135" a="1"/>
  <c r="S56" i="135" a="1"/>
  <c r="D56" i="135" a="1"/>
  <c r="X56" i="135" a="1"/>
  <c r="F56" i="135" a="1"/>
  <c r="E56" i="135" a="1"/>
  <c r="O56" i="135" a="1"/>
  <c r="J56" i="135" a="1"/>
  <c r="P56" i="135" a="1"/>
  <c r="V56" i="135" a="1"/>
  <c r="M56" i="135" a="1"/>
  <c r="I56" i="135" a="1"/>
  <c r="Q56" i="135" a="1"/>
  <c r="L56" i="135" a="1"/>
  <c r="W56" i="135" a="1"/>
  <c r="T56" i="135" a="1"/>
  <c r="AB56" i="135" a="1"/>
  <c r="U56" i="135" a="1"/>
  <c r="Z56" i="135" a="1"/>
  <c r="H56" i="135" a="1"/>
  <c r="K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F55" i="135" a="1"/>
  <c r="P55" i="135" a="1"/>
  <c r="T55" i="135" a="1"/>
  <c r="G55" i="135" a="1"/>
  <c r="O55" i="135" a="1"/>
  <c r="H55" i="135" a="1"/>
  <c r="K55" i="135" a="1"/>
  <c r="Z55" i="135" a="1"/>
  <c r="AA55" i="135" a="1"/>
  <c r="U55" i="135" a="1"/>
  <c r="AB55" i="135" a="1"/>
  <c r="E55" i="135" a="1"/>
  <c r="L55" i="135" a="1"/>
  <c r="Q55" i="135" a="1"/>
  <c r="D55" i="135" a="1"/>
  <c r="J55" i="135" a="1"/>
  <c r="Y55" i="135" a="1"/>
  <c r="S55" i="135" a="1"/>
  <c r="N55" i="135" a="1"/>
  <c r="M55" i="135" a="1"/>
  <c r="V55" i="135" a="1"/>
  <c r="X55" i="135" a="1"/>
  <c r="I55" i="135" a="1"/>
  <c r="W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E54" i="135" a="1"/>
  <c r="Y54" i="135" a="1"/>
  <c r="F54" i="135" a="1"/>
  <c r="M54" i="135" a="1"/>
  <c r="D54" i="135" a="1"/>
  <c r="V54" i="135" a="1"/>
  <c r="AB54" i="135" a="1"/>
  <c r="G54" i="135" a="1"/>
  <c r="J54" i="135" a="1"/>
  <c r="Q54" i="135" a="1"/>
  <c r="AA54" i="135" a="1"/>
  <c r="T54" i="135" a="1"/>
  <c r="K54" i="135" a="1"/>
  <c r="Z54" i="135" a="1"/>
  <c r="W54" i="135" a="1"/>
  <c r="H54" i="135" a="1"/>
  <c r="S54" i="135" a="1"/>
  <c r="X54" i="135" a="1"/>
  <c r="I54" i="135" a="1"/>
  <c r="U54" i="135" a="1"/>
  <c r="O54" i="135" a="1"/>
  <c r="N54" i="135" a="1"/>
  <c r="L54" i="135" a="1"/>
  <c r="P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5" i="139" l="1"/>
  <c r="D7" i="139"/>
  <c r="D6" i="139"/>
  <c r="D70" i="50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49" i="49" l="1"/>
  <c r="P249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9" i="58" l="1"/>
  <c r="G28" i="58"/>
  <c r="G31" i="58"/>
  <c r="G34" i="58"/>
  <c r="G33" i="58"/>
  <c r="G32" i="58"/>
  <c r="G30" i="58"/>
  <c r="C82" i="39"/>
  <c r="L11" i="51" l="1"/>
  <c r="K211" i="122" l="1"/>
  <c r="Q106" i="49" l="1"/>
  <c r="Q107" i="49"/>
  <c r="Q108" i="49"/>
  <c r="Q109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5" i="58" l="1"/>
  <c r="J41" i="58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48" i="58" l="1"/>
  <c r="J60" i="58"/>
  <c r="L30" i="58" s="1"/>
  <c r="I21" i="61"/>
  <c r="I19" i="61"/>
  <c r="I24" i="61"/>
  <c r="I26" i="61"/>
  <c r="I23" i="61"/>
  <c r="I28" i="61"/>
  <c r="I14" i="61"/>
  <c r="I11" i="61"/>
  <c r="I16" i="61"/>
  <c r="I7" i="61"/>
  <c r="I6" i="61"/>
  <c r="I10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C114" i="78"/>
  <c r="D119" i="78"/>
  <c r="C119" i="78"/>
  <c r="C115" i="78"/>
  <c r="D114" i="78"/>
  <c r="C117" i="78"/>
  <c r="D115" i="78"/>
  <c r="C116" i="78"/>
  <c r="D117" i="78"/>
  <c r="D116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M171" i="89"/>
  <c r="AS237" i="89" s="1"/>
  <c r="B56" i="64"/>
  <c r="C56" i="64"/>
  <c r="B57" i="64"/>
  <c r="C57" i="64"/>
  <c r="B58" i="64"/>
  <c r="B59" i="64"/>
  <c r="B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0" i="49"/>
  <c r="Q181" i="49"/>
  <c r="Q188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L15" i="58" l="1"/>
  <c r="J90" i="89" l="1"/>
  <c r="BG267" i="89" l="1"/>
  <c r="BH267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J22" i="61"/>
  <c r="J20" i="61"/>
  <c r="AJ160" i="89" s="1"/>
  <c r="AK160" i="89" s="1"/>
  <c r="J21" i="61"/>
  <c r="J16" i="61"/>
  <c r="AJ156" i="89" s="1"/>
  <c r="AK156" i="89" s="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5" i="78"/>
  <c r="C92" i="78"/>
  <c r="C15" i="78"/>
  <c r="C84" i="78"/>
  <c r="C88" i="78"/>
  <c r="D13" i="78"/>
  <c r="C12" i="78"/>
  <c r="D11" i="78"/>
  <c r="D21" i="78"/>
  <c r="C82" i="78"/>
  <c r="D16" i="78"/>
  <c r="D20" i="78"/>
  <c r="C19" i="78"/>
  <c r="G10" i="78"/>
  <c r="C83" i="78"/>
  <c r="C97" i="78"/>
  <c r="C20" i="78"/>
  <c r="G11" i="78"/>
  <c r="C93" i="78"/>
  <c r="C14" i="78"/>
  <c r="C16" i="78"/>
  <c r="D12" i="78"/>
  <c r="C11" i="78"/>
  <c r="C18" i="78"/>
  <c r="D14" i="78"/>
  <c r="D15" i="78"/>
  <c r="D19" i="78"/>
  <c r="D18" i="78"/>
  <c r="D10" i="78"/>
  <c r="C87" i="78"/>
  <c r="G13" i="78"/>
  <c r="C17" i="78"/>
  <c r="C13" i="78"/>
  <c r="G12" i="78"/>
  <c r="C94" i="78"/>
  <c r="C80" i="78"/>
  <c r="C91" i="78"/>
  <c r="G14" i="78"/>
  <c r="D9" i="78"/>
  <c r="C79" i="78"/>
  <c r="C89" i="78"/>
  <c r="C90" i="78"/>
  <c r="C81" i="78"/>
  <c r="G8" i="78"/>
  <c r="D17" i="78"/>
  <c r="G9" i="78"/>
  <c r="J24" i="61" l="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Q14" i="49"/>
  <c r="P214" i="49"/>
  <c r="N15" i="78"/>
  <c r="F70" i="89"/>
  <c r="G70" i="89"/>
  <c r="AT226" i="89"/>
  <c r="J97" i="89"/>
  <c r="AT220" i="89"/>
  <c r="AT219" i="89" s="1"/>
  <c r="L85" i="89"/>
  <c r="AU212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8" i="51" s="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04" i="85"/>
  <c r="C39" i="85"/>
  <c r="C129" i="85"/>
  <c r="C114" i="85"/>
  <c r="C36" i="85"/>
  <c r="C5" i="85"/>
  <c r="C157" i="85"/>
  <c r="C108" i="85"/>
  <c r="C19" i="85"/>
  <c r="C142" i="85"/>
  <c r="C26" i="85"/>
  <c r="C87" i="85"/>
  <c r="C57" i="85"/>
  <c r="C148" i="85"/>
  <c r="C60" i="85"/>
  <c r="C121" i="85"/>
  <c r="C119" i="85"/>
  <c r="C8" i="85"/>
  <c r="C46" i="85"/>
  <c r="C3" i="85"/>
  <c r="C160" i="85"/>
  <c r="C97" i="85"/>
  <c r="C18" i="85"/>
  <c r="C15" i="85"/>
  <c r="C16" i="85"/>
  <c r="C159" i="85"/>
  <c r="C102" i="85"/>
  <c r="C139" i="85"/>
  <c r="C98" i="85"/>
  <c r="C144" i="85"/>
  <c r="C123" i="85"/>
  <c r="C90" i="85"/>
  <c r="C107" i="85"/>
  <c r="C151" i="85"/>
  <c r="C25" i="85"/>
  <c r="C132" i="85"/>
  <c r="C143" i="85"/>
  <c r="C11" i="85"/>
  <c r="C10" i="85"/>
  <c r="C12" i="85"/>
  <c r="C134" i="85"/>
  <c r="C4" i="85"/>
  <c r="C14" i="85"/>
  <c r="C106" i="85"/>
  <c r="C167" i="85"/>
  <c r="C9" i="85"/>
  <c r="C153" i="85"/>
  <c r="C73" i="85"/>
  <c r="C164" i="85"/>
  <c r="C32" i="85"/>
  <c r="C105" i="85"/>
  <c r="C117" i="85"/>
  <c r="C165" i="85"/>
  <c r="C147" i="85"/>
  <c r="C23" i="85"/>
  <c r="C37" i="85"/>
  <c r="C17" i="85"/>
  <c r="C125" i="85"/>
  <c r="C71" i="85"/>
  <c r="C38" i="85"/>
  <c r="C100" i="85"/>
  <c r="C113" i="85"/>
  <c r="C156" i="85"/>
  <c r="C44" i="85"/>
  <c r="C99" i="85"/>
  <c r="C166" i="85"/>
  <c r="C141" i="85"/>
  <c r="C140" i="85"/>
  <c r="C158" i="85"/>
  <c r="C77" i="85"/>
  <c r="C115" i="85"/>
  <c r="C103" i="85"/>
  <c r="C112" i="85"/>
  <c r="C6" i="85"/>
  <c r="C146" i="85"/>
  <c r="C150" i="85"/>
  <c r="C45" i="85"/>
  <c r="C161" i="85"/>
  <c r="C131" i="85"/>
  <c r="C149" i="85"/>
  <c r="C96" i="85"/>
  <c r="C133" i="85"/>
  <c r="C20" i="85"/>
  <c r="C21" i="85"/>
  <c r="C95" i="85"/>
  <c r="C163" i="85"/>
  <c r="C110" i="85"/>
  <c r="C138" i="85"/>
  <c r="C162" i="85"/>
  <c r="C24" i="85"/>
  <c r="C101" i="85"/>
  <c r="C145" i="85"/>
  <c r="C109" i="85"/>
  <c r="C7" i="85"/>
  <c r="C127" i="85"/>
  <c r="C111" i="85"/>
  <c r="C152" i="85"/>
  <c r="C130" i="85"/>
  <c r="C155" i="85"/>
  <c r="C137" i="85"/>
  <c r="C13" i="85"/>
  <c r="C154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193" i="49"/>
  <c r="P188" i="49"/>
  <c r="P175" i="49"/>
  <c r="P174" i="49"/>
  <c r="P156" i="49"/>
  <c r="P155" i="49"/>
  <c r="P10" i="49"/>
  <c r="P9" i="49"/>
  <c r="M49" i="25" l="1"/>
  <c r="B48" i="25"/>
  <c r="C22" i="25"/>
  <c r="H14" i="25"/>
  <c r="I14" i="25" s="1"/>
  <c r="J14" i="25" s="1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22" i="85"/>
  <c r="C135" i="85"/>
  <c r="C136" i="85"/>
  <c r="C88" i="85"/>
  <c r="C70" i="85"/>
  <c r="C8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7" i="49"/>
  <c r="P1727" i="49" s="1"/>
  <c r="Q1728" i="49"/>
  <c r="P172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D39" i="50" s="1"/>
  <c r="H13" i="25"/>
  <c r="H74" i="78"/>
  <c r="E74" i="78"/>
  <c r="T74" i="78"/>
  <c r="F74" i="78"/>
  <c r="M74" i="78"/>
  <c r="O74" i="78"/>
  <c r="Q74" i="78"/>
  <c r="P74" i="78"/>
  <c r="D74" i="78"/>
  <c r="S74" i="78"/>
  <c r="K74" i="78"/>
  <c r="G74" i="78"/>
  <c r="U74" i="78"/>
  <c r="L74" i="78"/>
  <c r="J74" i="78"/>
  <c r="I74" i="78"/>
  <c r="C72" i="85"/>
  <c r="C30" i="85"/>
  <c r="R74" i="78"/>
  <c r="N74" i="78"/>
  <c r="H73" i="51" l="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4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D40" i="50" s="1"/>
  <c r="B46" i="25"/>
  <c r="F73" i="78"/>
  <c r="K73" i="78"/>
  <c r="R73" i="78"/>
  <c r="H73" i="78"/>
  <c r="M73" i="78"/>
  <c r="E73" i="78"/>
  <c r="L73" i="78"/>
  <c r="T73" i="78"/>
  <c r="N73" i="78"/>
  <c r="D73" i="78"/>
  <c r="S73" i="78"/>
  <c r="P73" i="78"/>
  <c r="O73" i="78"/>
  <c r="Q73" i="78"/>
  <c r="G73" i="78"/>
  <c r="U73" i="78"/>
  <c r="I73" i="78"/>
  <c r="J73" i="78"/>
  <c r="Q112" i="49" l="1"/>
  <c r="P112" i="49" s="1"/>
  <c r="C60" i="64"/>
  <c r="AN180" i="89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J72" i="78"/>
  <c r="N72" i="78"/>
  <c r="S72" i="78"/>
  <c r="T72" i="78"/>
  <c r="O72" i="78"/>
  <c r="D72" i="78"/>
  <c r="P72" i="78"/>
  <c r="L72" i="78"/>
  <c r="Q72" i="78"/>
  <c r="E72" i="78"/>
  <c r="U72" i="78"/>
  <c r="R72" i="78"/>
  <c r="M72" i="78"/>
  <c r="K72" i="78"/>
  <c r="I72" i="78"/>
  <c r="F72" i="78"/>
  <c r="H72" i="78"/>
  <c r="G72" i="78"/>
  <c r="AU246" i="89" l="1"/>
  <c r="AO180" i="89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M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F71" i="78"/>
  <c r="C55" i="85"/>
  <c r="R71" i="78"/>
  <c r="D71" i="78"/>
  <c r="Q71" i="78"/>
  <c r="U71" i="78"/>
  <c r="I71" i="78"/>
  <c r="E71" i="78"/>
  <c r="N71" i="78"/>
  <c r="K71" i="78"/>
  <c r="S71" i="78"/>
  <c r="P71" i="78"/>
  <c r="H71" i="78"/>
  <c r="T71" i="78"/>
  <c r="L71" i="78"/>
  <c r="O71" i="78"/>
  <c r="J71" i="78"/>
  <c r="M71" i="78"/>
  <c r="G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6" i="49"/>
  <c r="P14" i="49"/>
  <c r="Q168" i="49"/>
  <c r="P168" i="49" s="1"/>
  <c r="C6" i="64"/>
  <c r="B43" i="25"/>
  <c r="N44" i="25"/>
  <c r="E70" i="78"/>
  <c r="R70" i="78"/>
  <c r="F70" i="78"/>
  <c r="I70" i="78"/>
  <c r="U70" i="78"/>
  <c r="D70" i="78"/>
  <c r="J70" i="78"/>
  <c r="L70" i="78"/>
  <c r="N70" i="78"/>
  <c r="M70" i="78"/>
  <c r="K70" i="78"/>
  <c r="G70" i="78"/>
  <c r="O70" i="78"/>
  <c r="H70" i="78"/>
  <c r="P70" i="78"/>
  <c r="T70" i="78"/>
  <c r="Q70" i="78"/>
  <c r="S70" i="78"/>
  <c r="H69" i="51" l="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M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D69" i="78"/>
  <c r="G69" i="78"/>
  <c r="U69" i="78"/>
  <c r="S69" i="78"/>
  <c r="J69" i="78"/>
  <c r="O69" i="78"/>
  <c r="F69" i="78"/>
  <c r="T69" i="78"/>
  <c r="Q69" i="78"/>
  <c r="R69" i="78"/>
  <c r="K69" i="78"/>
  <c r="I69" i="78"/>
  <c r="E69" i="78"/>
  <c r="P69" i="78"/>
  <c r="M69" i="78"/>
  <c r="H69" i="78"/>
  <c r="L69" i="78"/>
  <c r="N69" i="78"/>
  <c r="H68" i="51" l="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P68" i="78"/>
  <c r="Q68" i="78"/>
  <c r="R68" i="78"/>
  <c r="K68" i="78"/>
  <c r="S68" i="78"/>
  <c r="J68" i="78"/>
  <c r="N68" i="78"/>
  <c r="H68" i="78"/>
  <c r="I68" i="78"/>
  <c r="F68" i="78"/>
  <c r="U68" i="78"/>
  <c r="M68" i="78"/>
  <c r="G68" i="78"/>
  <c r="D68" i="78"/>
  <c r="O68" i="78"/>
  <c r="L68" i="78"/>
  <c r="E68" i="78"/>
  <c r="T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S67" i="78"/>
  <c r="L67" i="78"/>
  <c r="J67" i="78"/>
  <c r="R67" i="78"/>
  <c r="U67" i="78"/>
  <c r="P67" i="78"/>
  <c r="N67" i="78"/>
  <c r="K67" i="78"/>
  <c r="H67" i="78"/>
  <c r="G67" i="78"/>
  <c r="T67" i="78"/>
  <c r="M67" i="78"/>
  <c r="D67" i="78"/>
  <c r="F67" i="78"/>
  <c r="Q67" i="78"/>
  <c r="E67" i="78"/>
  <c r="I67" i="78"/>
  <c r="O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O66" i="78"/>
  <c r="G66" i="78"/>
  <c r="U66" i="78"/>
  <c r="S66" i="78"/>
  <c r="T66" i="78"/>
  <c r="P66" i="78"/>
  <c r="H66" i="78"/>
  <c r="M66" i="78"/>
  <c r="F66" i="78"/>
  <c r="D66" i="78"/>
  <c r="E66" i="78"/>
  <c r="N66" i="78"/>
  <c r="Q66" i="78"/>
  <c r="J66" i="78"/>
  <c r="I66" i="78"/>
  <c r="R66" i="78"/>
  <c r="L66" i="78"/>
  <c r="K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J65" i="78"/>
  <c r="G65" i="78"/>
  <c r="K65" i="78"/>
  <c r="H65" i="78"/>
  <c r="D65" i="78"/>
  <c r="E65" i="78"/>
  <c r="P65" i="78"/>
  <c r="L65" i="78"/>
  <c r="R65" i="78"/>
  <c r="U65" i="78"/>
  <c r="Q65" i="78"/>
  <c r="F65" i="78"/>
  <c r="M65" i="78"/>
  <c r="O65" i="78"/>
  <c r="I65" i="78"/>
  <c r="N65" i="78"/>
  <c r="S65" i="78"/>
  <c r="T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S64" i="78"/>
  <c r="Q64" i="78"/>
  <c r="H64" i="78"/>
  <c r="I64" i="78"/>
  <c r="K64" i="78"/>
  <c r="P64" i="78"/>
  <c r="G64" i="78"/>
  <c r="L64" i="78"/>
  <c r="O64" i="78"/>
  <c r="E64" i="78"/>
  <c r="D64" i="78"/>
  <c r="J64" i="78"/>
  <c r="T64" i="78"/>
  <c r="N64" i="78"/>
  <c r="M64" i="78"/>
  <c r="R64" i="78"/>
  <c r="U64" i="78"/>
  <c r="F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D63" i="78"/>
  <c r="S63" i="78"/>
  <c r="O63" i="78"/>
  <c r="P63" i="78"/>
  <c r="E63" i="78"/>
  <c r="R63" i="78"/>
  <c r="J63" i="78"/>
  <c r="I63" i="78"/>
  <c r="U63" i="78"/>
  <c r="T63" i="78"/>
  <c r="H63" i="78"/>
  <c r="N63" i="78"/>
  <c r="Q63" i="78"/>
  <c r="G63" i="78"/>
  <c r="L63" i="78"/>
  <c r="F63" i="78"/>
  <c r="M63" i="78"/>
  <c r="K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C19" i="64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R68" i="25" l="1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X66" i="25" l="1"/>
  <c r="R66" i="25"/>
  <c r="P66" i="25"/>
  <c r="C35" i="25"/>
  <c r="D35" i="25" s="1"/>
  <c r="E64" i="39"/>
  <c r="G35" i="25" s="1"/>
  <c r="H35" i="25" s="1"/>
  <c r="AW215" i="89"/>
  <c r="AY215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AT213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E63" i="39"/>
  <c r="G34" i="25" s="1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D27" i="50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51" i="64" s="1"/>
  <c r="E51" i="64" s="1"/>
  <c r="D9" i="50"/>
  <c r="D11" i="50"/>
  <c r="AY240" i="89" s="1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X55" i="25" l="1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AY244" i="89" s="1"/>
  <c r="M36" i="51"/>
  <c r="D18" i="50" s="1"/>
  <c r="G32" i="135" l="1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AN167" i="89" s="1"/>
  <c r="AU234" i="89" s="1"/>
  <c r="AW234" i="89" s="1"/>
  <c r="Q93" i="49"/>
  <c r="P93" i="49" s="1"/>
  <c r="E20" i="50"/>
  <c r="Q127" i="49" s="1"/>
  <c r="P127" i="49" s="1"/>
  <c r="P114" i="49"/>
  <c r="Q117" i="49"/>
  <c r="Q91" i="49"/>
  <c r="P91" i="49" s="1"/>
  <c r="AY250" i="89"/>
  <c r="Q247" i="49"/>
  <c r="P247" i="49" s="1"/>
  <c r="Q246" i="49"/>
  <c r="P246" i="49" s="1"/>
  <c r="Q248" i="49"/>
  <c r="P248" i="49" s="1"/>
  <c r="AO179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Y239" i="89" l="1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1" i="49" l="1"/>
  <c r="P1731" i="49" s="1"/>
  <c r="E9" i="82"/>
  <c r="C10" i="82"/>
  <c r="Q1732" i="49" s="1"/>
  <c r="P1732" i="49" s="1"/>
  <c r="E10" i="82"/>
  <c r="Q1730" i="49" s="1"/>
  <c r="P1730" i="49" s="1"/>
  <c r="Q1729" i="49" l="1"/>
  <c r="P1729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18" i="49" l="1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K41" i="58" s="1"/>
  <c r="L41" i="58" s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L14" i="58" l="1"/>
  <c r="Q14" i="58" s="1"/>
  <c r="L17" i="58" l="1"/>
  <c r="P14" i="58" l="1"/>
  <c r="L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AN197" i="89"/>
  <c r="D55" i="64"/>
  <c r="E55" i="64" s="1"/>
  <c r="C44" i="64"/>
  <c r="D44" i="64" s="1"/>
  <c r="E44" i="64" s="1"/>
  <c r="AU241" i="89"/>
  <c r="AW241" i="89" l="1"/>
  <c r="AU261" i="89"/>
  <c r="AY241" i="89" l="1"/>
  <c r="AW261" i="89"/>
  <c r="Q243" i="49"/>
  <c r="P243" i="49" s="1"/>
  <c r="Q244" i="49"/>
  <c r="P244" i="49" s="1"/>
  <c r="Q245" i="49"/>
  <c r="P245" i="49" s="1"/>
  <c r="C93" i="64"/>
  <c r="D93" i="64" s="1"/>
  <c r="E93" i="64" s="1"/>
  <c r="C94" i="64"/>
  <c r="D94" i="64" s="1"/>
  <c r="E94" i="64" s="1"/>
  <c r="C95" i="64"/>
  <c r="D95" i="64" s="1"/>
  <c r="E95" i="64" s="1"/>
  <c r="Q237" i="49"/>
  <c r="P237" i="49" s="1"/>
  <c r="E70" i="50"/>
  <c r="C87" i="64"/>
  <c r="D87" i="64" s="1"/>
  <c r="E87" i="64" s="1"/>
  <c r="C51" i="85"/>
  <c r="C388" i="85"/>
  <c r="C734" i="85"/>
  <c r="C513" i="85"/>
  <c r="C1357" i="85"/>
  <c r="C52" i="85"/>
  <c r="C1383" i="85"/>
  <c r="C750" i="85"/>
  <c r="C1065" i="85"/>
  <c r="C1097" i="85"/>
  <c r="C353" i="85"/>
  <c r="C622" i="85"/>
  <c r="C554" i="85"/>
  <c r="C458" i="85"/>
  <c r="C1977" i="85"/>
  <c r="C1492" i="85"/>
  <c r="C590" i="85"/>
  <c r="C983" i="85"/>
  <c r="C1581" i="85"/>
  <c r="C1584" i="85"/>
  <c r="C1279" i="85"/>
  <c r="C1858" i="85"/>
  <c r="C1453" i="85"/>
  <c r="C219" i="85"/>
  <c r="C1921" i="85"/>
  <c r="C1136" i="85"/>
  <c r="C317" i="85"/>
  <c r="C484" i="85"/>
  <c r="C1520" i="85"/>
  <c r="C330" i="85"/>
  <c r="C1436" i="85"/>
  <c r="C801" i="85"/>
  <c r="C1355" i="85"/>
  <c r="C325" i="85"/>
  <c r="C1447" i="85"/>
  <c r="C1055" i="85"/>
  <c r="C1813" i="85"/>
  <c r="C602" i="85"/>
  <c r="C1487" i="85"/>
  <c r="C710" i="85"/>
  <c r="C698" i="85"/>
  <c r="C884" i="85"/>
  <c r="C451" i="85"/>
  <c r="C1260" i="85"/>
  <c r="C1944" i="85"/>
  <c r="C358" i="85"/>
  <c r="C1950" i="85"/>
  <c r="C1540" i="85"/>
  <c r="C654" i="85"/>
  <c r="C1404" i="85"/>
  <c r="C1891" i="85"/>
  <c r="C1294" i="85"/>
  <c r="C1725" i="85"/>
  <c r="C550" i="85"/>
  <c r="C439" i="85"/>
  <c r="C1804" i="85"/>
  <c r="C1485" i="85"/>
  <c r="C1528" i="85"/>
  <c r="C1982" i="85"/>
  <c r="C273" i="85"/>
  <c r="C1904" i="85"/>
  <c r="C1653" i="85"/>
  <c r="C1789" i="85"/>
  <c r="C454" i="85"/>
  <c r="C818" i="85"/>
  <c r="C645" i="85"/>
  <c r="C963" i="85"/>
  <c r="C310" i="85"/>
  <c r="C1351" i="85"/>
  <c r="C1239" i="85"/>
  <c r="C1884" i="85"/>
  <c r="C535" i="85"/>
  <c r="C1996" i="85"/>
  <c r="C1057" i="85"/>
  <c r="C1468" i="85"/>
  <c r="C1499" i="85"/>
  <c r="C1698" i="85"/>
  <c r="C297" i="85"/>
  <c r="C880" i="85"/>
  <c r="C1605" i="85"/>
  <c r="C1595" i="85"/>
  <c r="C1556" i="85"/>
  <c r="C476" i="85"/>
  <c r="C1361" i="85"/>
  <c r="C949" i="85"/>
  <c r="C1772" i="85"/>
  <c r="C865" i="85"/>
  <c r="C1369" i="85"/>
  <c r="C341" i="85"/>
  <c r="C1573" i="85"/>
  <c r="C178" i="85"/>
  <c r="C462" i="85"/>
  <c r="C1080" i="85"/>
  <c r="C1994" i="85"/>
  <c r="C1888" i="85"/>
  <c r="C1441" i="85"/>
  <c r="C1886" i="85"/>
  <c r="C1077" i="85"/>
  <c r="C1856" i="85"/>
  <c r="C940" i="85"/>
  <c r="C1889" i="85"/>
  <c r="C1623" i="85"/>
  <c r="C812" i="85"/>
  <c r="C1850" i="85"/>
  <c r="C574" i="85"/>
  <c r="C1557" i="85"/>
  <c r="C1960" i="85"/>
  <c r="C1037" i="85"/>
  <c r="C1649" i="85"/>
  <c r="C1451" i="85"/>
  <c r="C707" i="85"/>
  <c r="C1185" i="85"/>
  <c r="C628" i="85"/>
  <c r="C1122" i="85"/>
  <c r="C479" i="85"/>
  <c r="C168" i="85"/>
  <c r="C229" i="85"/>
  <c r="C1686" i="85"/>
  <c r="C1909" i="85"/>
  <c r="C905" i="85"/>
  <c r="C1679" i="85"/>
  <c r="C1733" i="85"/>
  <c r="C216" i="85"/>
  <c r="C402" i="85"/>
  <c r="C1579" i="85"/>
  <c r="C1113" i="85"/>
  <c r="C1758" i="85"/>
  <c r="C1178" i="85"/>
  <c r="C1362" i="85"/>
  <c r="C537" i="85"/>
  <c r="C1017" i="85"/>
  <c r="C511" i="85"/>
  <c r="C688" i="85"/>
  <c r="C294" i="85"/>
  <c r="C1337" i="85"/>
  <c r="C270" i="85"/>
  <c r="C625" i="85"/>
  <c r="C1320" i="85"/>
  <c r="C1928" i="85"/>
  <c r="C1591" i="85"/>
  <c r="C1890" i="85"/>
  <c r="C1983" i="85"/>
  <c r="C495" i="85"/>
  <c r="C633" i="85"/>
  <c r="C1087" i="85"/>
  <c r="C1800" i="85"/>
  <c r="C1424" i="85"/>
  <c r="C1882" i="85"/>
  <c r="C1328" i="85"/>
  <c r="C1532" i="85"/>
  <c r="C333" i="85"/>
  <c r="C1063" i="85"/>
  <c r="C40" i="85"/>
  <c r="C781" i="85"/>
  <c r="C405" i="85"/>
  <c r="C274" i="85"/>
  <c r="C738" i="85"/>
  <c r="C338" i="85"/>
  <c r="C575" i="85"/>
  <c r="C1676" i="85"/>
  <c r="C1979" i="85"/>
  <c r="C1947" i="85"/>
  <c r="C1223" i="85"/>
  <c r="C415" i="85"/>
  <c r="C464" i="85"/>
  <c r="C85" i="85"/>
  <c r="C1457" i="85"/>
  <c r="C453" i="85"/>
  <c r="C1505" i="85"/>
  <c r="C1828" i="85"/>
  <c r="C1897" i="85"/>
  <c r="C1716" i="85"/>
  <c r="C552" i="85"/>
  <c r="C1241" i="85"/>
  <c r="C1382" i="85"/>
  <c r="C1594" i="85"/>
  <c r="C827" i="85"/>
  <c r="C873" i="85"/>
  <c r="C182" i="85"/>
  <c r="C1743" i="85"/>
  <c r="C406" i="85"/>
  <c r="C1095" i="85"/>
  <c r="C1068" i="85"/>
  <c r="C987" i="85"/>
  <c r="C1117" i="85"/>
  <c r="C1821" i="85"/>
  <c r="C1334" i="85"/>
  <c r="C1775" i="85"/>
  <c r="C1193" i="85"/>
  <c r="C1640" i="85"/>
  <c r="C1837" i="85"/>
  <c r="C1920" i="85"/>
  <c r="C588" i="85"/>
  <c r="C1480" i="85"/>
  <c r="C1510" i="85"/>
  <c r="C1346" i="85"/>
  <c r="C1399" i="85"/>
  <c r="C805" i="85"/>
  <c r="C717" i="85"/>
  <c r="C531" i="85"/>
  <c r="C326" i="85"/>
  <c r="C1125" i="85"/>
  <c r="C1302" i="85"/>
  <c r="C432" i="85"/>
  <c r="C891" i="85"/>
  <c r="C1427" i="85"/>
  <c r="C1693" i="85"/>
  <c r="C1833" i="85"/>
  <c r="C302" i="85"/>
  <c r="C746" i="85"/>
  <c r="C1078" i="85"/>
  <c r="C832" i="85"/>
  <c r="C1768" i="85"/>
  <c r="C605" i="85"/>
  <c r="C1657" i="85"/>
  <c r="C497" i="85"/>
  <c r="C213" i="85"/>
  <c r="C802" i="85"/>
  <c r="C1261" i="85"/>
  <c r="C400" i="85"/>
  <c r="C844" i="85"/>
  <c r="C815" i="85"/>
  <c r="C179" i="85"/>
  <c r="C218" i="85"/>
  <c r="C829" i="85"/>
  <c r="C822" i="85"/>
  <c r="C489" i="85"/>
  <c r="C1781" i="85"/>
  <c r="C488" i="85"/>
  <c r="C1106" i="85"/>
  <c r="C1980" i="85"/>
  <c r="C1771" i="85"/>
  <c r="C1968" i="85"/>
  <c r="C1827" i="85"/>
  <c r="C896" i="85"/>
  <c r="C517" i="85"/>
  <c r="C1862" i="85"/>
  <c r="C267" i="85"/>
  <c r="C1840" i="85"/>
  <c r="C719" i="85"/>
  <c r="C1267" i="85"/>
  <c r="C962" i="85"/>
  <c r="C1873" i="85"/>
  <c r="C1604" i="85"/>
  <c r="C1380" i="85"/>
  <c r="C1843" i="85"/>
  <c r="C926" i="85"/>
  <c r="C1622" i="85"/>
  <c r="C1732" i="85"/>
  <c r="C459" i="85"/>
  <c r="C202" i="85"/>
  <c r="C375" i="85"/>
  <c r="C662" i="85"/>
  <c r="C561" i="85"/>
  <c r="C904" i="85"/>
  <c r="C444" i="85"/>
  <c r="C320" i="85"/>
  <c r="C334" i="85"/>
  <c r="C66" i="85"/>
  <c r="C1169" i="85"/>
  <c r="C1444" i="85"/>
  <c r="C1293" i="85"/>
  <c r="C929" i="85"/>
  <c r="C632" i="85"/>
  <c r="C1069" i="85"/>
  <c r="C1341" i="85"/>
  <c r="C1264" i="85"/>
  <c r="C1724" i="85"/>
  <c r="C591" i="85"/>
  <c r="C1307" i="85"/>
  <c r="C1550" i="85"/>
  <c r="C404" i="85"/>
  <c r="C1497" i="85"/>
  <c r="C393" i="85"/>
  <c r="C826" i="85"/>
  <c r="C1450" i="85"/>
  <c r="C331" i="85"/>
  <c r="C1991" i="85"/>
  <c r="C1852" i="85"/>
  <c r="C275" i="85"/>
  <c r="C470" i="85"/>
  <c r="C414" i="85"/>
  <c r="C837" i="85"/>
  <c r="C864" i="85"/>
  <c r="C1976" i="85"/>
  <c r="C923" i="85"/>
  <c r="C1736" i="85"/>
  <c r="C566" i="85"/>
  <c r="C1826" i="85"/>
  <c r="C1805" i="85"/>
  <c r="C548" i="85"/>
  <c r="C2000" i="85"/>
  <c r="C980" i="85"/>
  <c r="C1329" i="85"/>
  <c r="C94" i="85"/>
  <c r="C1953" i="85"/>
  <c r="C1429" i="85"/>
  <c r="C1674" i="85"/>
  <c r="C1773" i="85"/>
  <c r="C1527" i="85"/>
  <c r="C1282" i="85"/>
  <c r="C1006" i="85"/>
  <c r="C389" i="85"/>
  <c r="C1599" i="85"/>
  <c r="C1785" i="85"/>
  <c r="C1901" i="85"/>
  <c r="C1099" i="85"/>
  <c r="C301" i="85"/>
  <c r="C761" i="85"/>
  <c r="C1331" i="85"/>
  <c r="C1796" i="85"/>
  <c r="C1243" i="85"/>
  <c r="C1030" i="85"/>
  <c r="C1109" i="85"/>
  <c r="C971" i="85"/>
  <c r="C1426" i="85"/>
  <c r="C1900" i="85"/>
  <c r="C1860" i="85"/>
  <c r="C1761" i="85"/>
  <c r="C1660" i="85"/>
  <c r="C1905" i="85"/>
  <c r="C997" i="85"/>
  <c r="C1415" i="85"/>
  <c r="C996" i="85"/>
  <c r="C1942" i="85"/>
  <c r="C194" i="85"/>
  <c r="C1079" i="85"/>
  <c r="C1630" i="85"/>
  <c r="C1965" i="85"/>
  <c r="C570" i="85"/>
  <c r="C1255" i="85"/>
  <c r="C856" i="85"/>
  <c r="C1611" i="85"/>
  <c r="C992" i="85"/>
  <c r="C888" i="85"/>
  <c r="C968" i="85"/>
  <c r="C823" i="85"/>
  <c r="C1084" i="85"/>
  <c r="C1975" i="85"/>
  <c r="C582" i="85"/>
  <c r="C1857" i="85"/>
  <c r="C1205" i="85"/>
  <c r="C441" i="85"/>
  <c r="C703" i="85"/>
  <c r="C1613" i="85"/>
  <c r="C701" i="85"/>
  <c r="C1003" i="85"/>
  <c r="C1751" i="85"/>
  <c r="C1876" i="85"/>
  <c r="C1825" i="85"/>
  <c r="C1033" i="85"/>
  <c r="C830" i="85"/>
  <c r="C1262" i="85"/>
  <c r="C1012" i="85"/>
  <c r="C718" i="85"/>
  <c r="C697" i="85"/>
  <c r="C366" i="85"/>
  <c r="C1559" i="85"/>
  <c r="C794" i="85"/>
  <c r="C541" i="85"/>
  <c r="C1145" i="85"/>
  <c r="C768" i="85"/>
  <c r="C1744" i="85"/>
  <c r="C1787" i="85"/>
  <c r="C1053" i="85"/>
  <c r="C1249" i="85"/>
  <c r="C1844" i="85"/>
  <c r="C1183" i="85"/>
  <c r="C1845" i="85"/>
  <c r="C816" i="85"/>
  <c r="C499" i="85"/>
  <c r="C1435" i="85"/>
  <c r="C523" i="85"/>
  <c r="C377" i="85"/>
  <c r="C974" i="85"/>
  <c r="C346" i="85"/>
  <c r="C1231" i="85"/>
  <c r="C1448" i="85"/>
  <c r="C371" i="85"/>
  <c r="C1032" i="85"/>
  <c r="C1470" i="85"/>
  <c r="C945" i="85"/>
  <c r="C1385" i="85"/>
  <c r="C340" i="85"/>
  <c r="C501" i="85"/>
  <c r="C784" i="85"/>
  <c r="C299" i="85"/>
  <c r="C528" i="85"/>
  <c r="C1377" i="85"/>
  <c r="C715" i="85"/>
  <c r="C171" i="85"/>
  <c r="C1298" i="85"/>
  <c r="C1568" i="85"/>
  <c r="C1859" i="85"/>
  <c r="C1896" i="85"/>
  <c r="C910" i="85"/>
  <c r="C1543" i="85"/>
  <c r="C629" i="85"/>
  <c r="C1478" i="85"/>
  <c r="C1163" i="85"/>
  <c r="C1652" i="85"/>
  <c r="C899" i="85"/>
  <c r="C248" i="85"/>
  <c r="C347" i="85"/>
  <c r="C332" i="85"/>
  <c r="C83" i="85"/>
  <c r="C1273" i="85"/>
  <c r="C1838" i="85"/>
  <c r="C336" i="85"/>
  <c r="C1316" i="85"/>
  <c r="C1160" i="85"/>
  <c r="C1903" i="85"/>
  <c r="C417" i="85"/>
  <c r="C283" i="85"/>
  <c r="C1486" i="85"/>
  <c r="C956" i="85"/>
  <c r="C1050" i="85"/>
  <c r="C196" i="85"/>
  <c r="C742" i="85"/>
  <c r="C1545" i="85"/>
  <c r="C118" i="85"/>
  <c r="C1798" i="85"/>
  <c r="C979" i="85"/>
  <c r="C944" i="85"/>
  <c r="C1620" i="85"/>
  <c r="C1558" i="85"/>
  <c r="C522" i="85"/>
  <c r="C814" i="85"/>
  <c r="C1704" i="85"/>
  <c r="C1624" i="85"/>
  <c r="C1684" i="85"/>
  <c r="C1417" i="85"/>
  <c r="C475" i="85"/>
  <c r="C1358" i="85"/>
  <c r="C498" i="85"/>
  <c r="C911" i="85"/>
  <c r="C1542" i="85"/>
  <c r="C1642" i="85"/>
  <c r="C1491" i="85"/>
  <c r="C793" i="85"/>
  <c r="C409" i="85"/>
  <c r="C663" i="85"/>
  <c r="C1808" i="85"/>
  <c r="C1518" i="85"/>
  <c r="C1865" i="85"/>
  <c r="C58" i="85"/>
  <c r="C780" i="85"/>
  <c r="C1232" i="85"/>
  <c r="C1612" i="85"/>
  <c r="C1408" i="85"/>
  <c r="C328" i="85"/>
  <c r="C975" i="85"/>
  <c r="C1892" i="85"/>
  <c r="C1571" i="85"/>
  <c r="C985" i="85"/>
  <c r="C593" i="85"/>
  <c r="C1849" i="85"/>
  <c r="C834" i="85"/>
  <c r="C1165" i="85"/>
  <c r="C752" i="85"/>
  <c r="C1201" i="85"/>
  <c r="C1677" i="85"/>
  <c r="C1993" i="85"/>
  <c r="C1284" i="85"/>
  <c r="C1519" i="85"/>
  <c r="C696" i="85"/>
  <c r="C1081" i="85"/>
  <c r="C897" i="85"/>
  <c r="C1791" i="85"/>
  <c r="C1673" i="85"/>
  <c r="C767" i="85"/>
  <c r="C753" i="85"/>
  <c r="C1455" i="85"/>
  <c r="C1883" i="85"/>
  <c r="C1814" i="85"/>
  <c r="C1756" i="85"/>
  <c r="C1256" i="85"/>
  <c r="C278" i="85"/>
  <c r="C1760" i="85"/>
  <c r="C1395" i="85"/>
  <c r="C1234" i="85"/>
  <c r="C624" i="85"/>
  <c r="C1910" i="85"/>
  <c r="C1008" i="85"/>
  <c r="C1700" i="85"/>
  <c r="C472" i="85"/>
  <c r="C1695" i="85"/>
  <c r="C524" i="85"/>
  <c r="C1439" i="85"/>
  <c r="C449" i="85"/>
  <c r="C890" i="85"/>
  <c r="C579" i="85"/>
  <c r="C927" i="85"/>
  <c r="C597" i="85"/>
  <c r="C1541" i="85"/>
  <c r="C260" i="85"/>
  <c r="C1191" i="85"/>
  <c r="C1795" i="85"/>
  <c r="C1572" i="85"/>
  <c r="C686" i="85"/>
  <c r="C1662" i="85"/>
  <c r="C691" i="85"/>
  <c r="C964" i="85"/>
  <c r="C690" i="85"/>
  <c r="C349" i="85"/>
  <c r="C620" i="85"/>
  <c r="C185" i="85"/>
  <c r="C861" i="85"/>
  <c r="C1028" i="85"/>
  <c r="C69" i="85"/>
  <c r="C1045" i="85"/>
  <c r="C493" i="85"/>
  <c r="C209" i="85"/>
  <c r="C640" i="85"/>
  <c r="C363" i="85"/>
  <c r="C604" i="85"/>
  <c r="C1809" i="85"/>
  <c r="C284" i="85"/>
  <c r="C744" i="85"/>
  <c r="C1386" i="85"/>
  <c r="C287" i="85"/>
  <c r="C1211" i="85"/>
  <c r="C970" i="85"/>
  <c r="C1157" i="85"/>
  <c r="C329" i="85"/>
  <c r="C1683" i="85"/>
  <c r="C674" i="85"/>
  <c r="C651" i="85"/>
  <c r="C1822" i="85"/>
  <c r="C1359" i="85"/>
  <c r="C695" i="85"/>
  <c r="C1046" i="85"/>
  <c r="C857" i="85"/>
  <c r="C1806" i="85"/>
  <c r="C925" i="85"/>
  <c r="C1270" i="85"/>
  <c r="C757" i="85"/>
  <c r="C595" i="85"/>
  <c r="C634" i="85"/>
  <c r="C1116" i="85"/>
  <c r="C491" i="85"/>
  <c r="C955" i="85"/>
  <c r="C174" i="85"/>
  <c r="C1348" i="85"/>
  <c r="C1015" i="85"/>
  <c r="C203" i="85"/>
  <c r="C1155" i="85"/>
  <c r="C867" i="85"/>
  <c r="C1238" i="85"/>
  <c r="C1268" i="85"/>
  <c r="C1402" i="85"/>
  <c r="C1459" i="85"/>
  <c r="C1049" i="85"/>
  <c r="C1742" i="85"/>
  <c r="C1292" i="85"/>
  <c r="C279" i="85"/>
  <c r="C1490" i="85"/>
  <c r="C502" i="85"/>
  <c r="C730" i="85"/>
  <c r="C1319" i="85"/>
  <c r="C1463" i="85"/>
  <c r="C1149" i="85"/>
  <c r="C611" i="85"/>
  <c r="C917" i="85"/>
  <c r="C53" i="85"/>
  <c r="C81" i="85"/>
  <c r="C1325" i="85"/>
  <c r="C1780" i="85"/>
  <c r="C1971" i="85"/>
  <c r="C958" i="85"/>
  <c r="C1082" i="85"/>
  <c r="C1158" i="85"/>
  <c r="C918" i="85"/>
  <c r="C1258" i="85"/>
  <c r="C1026" i="85"/>
  <c r="C80" i="85"/>
  <c r="C617" i="85"/>
  <c r="C1002" i="85"/>
  <c r="C817" i="85"/>
  <c r="C172" i="85"/>
  <c r="C555" i="85"/>
  <c r="C1816" i="85"/>
  <c r="C176" i="85"/>
  <c r="C1694" i="85"/>
  <c r="C1582" i="85"/>
  <c r="C290" i="85"/>
  <c r="C551" i="85"/>
  <c r="C1914" i="85"/>
  <c r="C1583" i="85"/>
  <c r="C411" i="85"/>
  <c r="C1312" i="85"/>
  <c r="C304" i="85"/>
  <c r="C207" i="85"/>
  <c r="C29" i="85"/>
  <c r="C359" i="85"/>
  <c r="C1482" i="85"/>
  <c r="C1819" i="85"/>
  <c r="C1526" i="85"/>
  <c r="C1790" i="85"/>
  <c r="C916" i="85"/>
  <c r="C236" i="85"/>
  <c r="C756" i="85"/>
  <c r="C455" i="85"/>
  <c r="C803" i="85"/>
  <c r="C116" i="85"/>
  <c r="C635" i="85"/>
  <c r="C1778" i="85"/>
  <c r="C1688" i="85"/>
  <c r="C525" i="85"/>
  <c r="C1213" i="85"/>
  <c r="C1861" i="85"/>
  <c r="C1851" i="85"/>
  <c r="C1324" i="85"/>
  <c r="C1619" i="85"/>
  <c r="C1156" i="85"/>
  <c r="C247" i="85"/>
  <c r="C1168" i="85"/>
  <c r="C327" i="85"/>
  <c r="C549" i="85"/>
  <c r="C954" i="85"/>
  <c r="C711" i="85"/>
  <c r="C1216" i="85"/>
  <c r="C1416" i="85"/>
  <c r="C240" i="85"/>
  <c r="C1419" i="85"/>
  <c r="C1633" i="85"/>
  <c r="C1397" i="85"/>
  <c r="C1209" i="85"/>
  <c r="C599" i="85"/>
  <c r="C1090" i="85"/>
  <c r="C724" i="85"/>
  <c r="C1219" i="85"/>
  <c r="C951" i="85"/>
  <c r="C1280" i="85"/>
  <c r="C225" i="85"/>
  <c r="C913" i="85"/>
  <c r="C573" i="85"/>
  <c r="C1317" i="85"/>
  <c r="C776" i="85"/>
  <c r="C1477" i="85"/>
  <c r="C490" i="85"/>
  <c r="C903" i="85"/>
  <c r="C1174" i="85"/>
  <c r="C263" i="85"/>
  <c r="C656" i="85"/>
  <c r="C1076" i="85"/>
  <c r="C1150" i="85"/>
  <c r="C1589" i="85"/>
  <c r="C583" i="85"/>
  <c r="C1628" i="85"/>
  <c r="C373" i="85"/>
  <c r="C1923" i="85"/>
  <c r="C1182" i="85"/>
  <c r="C487" i="85"/>
  <c r="C1229" i="85"/>
  <c r="C1445" i="85"/>
  <c r="C446" i="85"/>
  <c r="C1308" i="85"/>
  <c r="C387" i="85"/>
  <c r="C1061" i="85"/>
  <c r="C1707" i="85"/>
  <c r="C986" i="85"/>
  <c r="C1899" i="85"/>
  <c r="C1722" i="85"/>
  <c r="C1466" i="85"/>
  <c r="C1297" i="85"/>
  <c r="C1824" i="85"/>
  <c r="C313" i="85"/>
  <c r="C580" i="85"/>
  <c r="C946" i="85"/>
  <c r="C356" i="85"/>
  <c r="C1259" i="85"/>
  <c r="C220" i="85"/>
  <c r="C915" i="85"/>
  <c r="C1100" i="85"/>
  <c r="C249" i="85"/>
  <c r="C362" i="85"/>
  <c r="C177" i="85"/>
  <c r="C1836" i="85"/>
  <c r="C1489" i="85"/>
  <c r="C443" i="85"/>
  <c r="C825" i="85"/>
  <c r="C201" i="85"/>
  <c r="C271" i="85"/>
  <c r="C398" i="85"/>
  <c r="C1671" i="85"/>
  <c r="C959" i="85"/>
  <c r="C804" i="85"/>
  <c r="C1096" i="85"/>
  <c r="C1711" i="85"/>
  <c r="C887" i="85"/>
  <c r="C1681" i="85"/>
  <c r="C1995" i="85"/>
  <c r="C1094" i="85"/>
  <c r="C1752" i="85"/>
  <c r="C736" i="85"/>
  <c r="C1370" i="85"/>
  <c r="C1509" i="85"/>
  <c r="C1587" i="85"/>
  <c r="C683" i="85"/>
  <c r="C558" i="85"/>
  <c r="C1922" i="85"/>
  <c r="C233" i="85"/>
  <c r="C1917" i="85"/>
  <c r="C1663" i="85"/>
  <c r="C869" i="85"/>
  <c r="C852" i="85"/>
  <c r="C1712" i="85"/>
  <c r="C1577" i="85"/>
  <c r="C211" i="85"/>
  <c r="C1115" i="85"/>
  <c r="C1731" i="85"/>
  <c r="C1179" i="85"/>
  <c r="C1494" i="85"/>
  <c r="C615" i="85"/>
  <c r="C534" i="85"/>
  <c r="C1295" i="85"/>
  <c r="C1705" i="85"/>
  <c r="C546" i="85"/>
  <c r="C545" i="85"/>
  <c r="C253" i="85"/>
  <c r="C626" i="85"/>
  <c r="C655" i="85"/>
  <c r="C972" i="85"/>
  <c r="C1812" i="85"/>
  <c r="C1728" i="85"/>
  <c r="C1014" i="85"/>
  <c r="C237" i="85"/>
  <c r="C682" i="85"/>
  <c r="C191" i="85"/>
  <c r="C1988" i="85"/>
  <c r="C1461" i="85"/>
  <c r="C920" i="85"/>
  <c r="C900" i="85"/>
  <c r="C581" i="85"/>
  <c r="C637" i="85"/>
  <c r="C1376" i="85"/>
  <c r="C235" i="85"/>
  <c r="C722" i="85"/>
  <c r="C1964" i="85"/>
  <c r="C1963" i="85"/>
  <c r="C630" i="85"/>
  <c r="C1735" i="85"/>
  <c r="C1956" i="85"/>
  <c r="C254" i="85"/>
  <c r="C646" i="85"/>
  <c r="C876" i="85"/>
  <c r="C1596" i="85"/>
  <c r="C908" i="85"/>
  <c r="C1754" i="85"/>
  <c r="C365" i="85"/>
  <c r="C128" i="85"/>
  <c r="C309" i="85"/>
  <c r="C676" i="85"/>
  <c r="C1727" i="85"/>
  <c r="C394" i="85"/>
  <c r="C1303" i="85"/>
  <c r="C1452" i="85"/>
  <c r="C1013" i="85"/>
  <c r="C1195" i="85"/>
  <c r="C1350" i="85"/>
  <c r="C1199" i="85"/>
  <c r="C643" i="85"/>
  <c r="C737" i="85"/>
  <c r="C442" i="85"/>
  <c r="C1044" i="85"/>
  <c r="C1647" i="85"/>
  <c r="C1567" i="85"/>
  <c r="C1835" i="85"/>
  <c r="C1222" i="85"/>
  <c r="C668" i="85"/>
  <c r="C1832" i="85"/>
  <c r="C170" i="85"/>
  <c r="C1706" i="85"/>
  <c r="C434" i="85"/>
  <c r="C1218" i="85"/>
  <c r="C1692" i="85"/>
  <c r="C1969" i="85"/>
  <c r="C381" i="85"/>
  <c r="C978" i="85"/>
  <c r="C1301" i="85"/>
  <c r="C659" i="85"/>
  <c r="C1749" i="85"/>
  <c r="C1309" i="85"/>
  <c r="C783" i="85"/>
  <c r="C1296" i="85"/>
  <c r="C854" i="85"/>
  <c r="C1356" i="85"/>
  <c r="C1779" i="85"/>
  <c r="C1885" i="85"/>
  <c r="C759" i="85"/>
  <c r="C675" i="85"/>
  <c r="C246" i="85"/>
  <c r="C1680" i="85"/>
  <c r="C542" i="85"/>
  <c r="C606" i="85"/>
  <c r="C1112" i="85"/>
  <c r="C1902" i="85"/>
  <c r="C312" i="85"/>
  <c r="C1180" i="85"/>
  <c r="C59" i="85"/>
  <c r="C1715" i="85"/>
  <c r="C623" i="85"/>
  <c r="C648" i="85"/>
  <c r="C169" i="85"/>
  <c r="C1363" i="85"/>
  <c r="C1024" i="85"/>
  <c r="C1714" i="85"/>
  <c r="C1784" i="85"/>
  <c r="C468" i="85"/>
  <c r="C526" i="85"/>
  <c r="C1734" i="85"/>
  <c r="C1126" i="85"/>
  <c r="C950" i="85"/>
  <c r="C1776" i="85"/>
  <c r="C1200" i="85"/>
  <c r="C463" i="85"/>
  <c r="C924" i="85"/>
  <c r="C1085" i="85"/>
  <c r="C1476" i="85"/>
  <c r="C1502" i="85"/>
  <c r="C1495" i="85"/>
  <c r="C1393" i="85"/>
  <c r="C1496" i="85"/>
  <c r="C1564" i="85"/>
  <c r="C685" i="85"/>
  <c r="C576" i="85"/>
  <c r="C1701" i="85"/>
  <c r="C1807" i="85"/>
  <c r="C1187" i="85"/>
  <c r="C1893" i="85"/>
  <c r="C431" i="85"/>
  <c r="C1958" i="85"/>
  <c r="C1344" i="85"/>
  <c r="C54" i="85"/>
  <c r="C1549" i="85"/>
  <c r="C1120" i="85"/>
  <c r="C1035" i="85"/>
  <c r="C1990" i="85"/>
  <c r="C1311" i="85"/>
  <c r="C1391" i="85"/>
  <c r="C384" i="85"/>
  <c r="C1782" i="85"/>
  <c r="C392" i="85"/>
  <c r="C694" i="85"/>
  <c r="C1755" i="85"/>
  <c r="C348" i="85"/>
  <c r="C1974" i="85"/>
  <c r="C197" i="85"/>
  <c r="C1389" i="85"/>
  <c r="C1538" i="85"/>
  <c r="C1469" i="85"/>
  <c r="C1504" i="85"/>
  <c r="C1434" i="85"/>
  <c r="C652" i="85"/>
  <c r="C1493" i="85"/>
  <c r="C183" i="85"/>
  <c r="C947" i="85"/>
  <c r="C1121" i="85"/>
  <c r="C1507" i="85"/>
  <c r="C1114" i="85"/>
  <c r="C1586" i="85"/>
  <c r="C953" i="85"/>
  <c r="C221" i="85"/>
  <c r="C228" i="85"/>
  <c r="C870" i="85"/>
  <c r="C355" i="85"/>
  <c r="C1373" i="85"/>
  <c r="C930" i="85"/>
  <c r="C215" i="85"/>
  <c r="C577" i="85"/>
  <c r="C965" i="85"/>
  <c r="C1101" i="85"/>
  <c r="C673" i="85"/>
  <c r="C1609" i="85"/>
  <c r="C1561" i="85"/>
  <c r="C342" i="85"/>
  <c r="C785" i="85"/>
  <c r="C1757" i="85"/>
  <c r="C1916" i="85"/>
  <c r="C512" i="85"/>
  <c r="C1848" i="85"/>
  <c r="C1442" i="85"/>
  <c r="C477" i="85"/>
  <c r="C321" i="85"/>
  <c r="C1794" i="85"/>
  <c r="C1421" i="85"/>
  <c r="C699" i="85"/>
  <c r="C361" i="85"/>
  <c r="C943" i="85"/>
  <c r="C1083" i="85"/>
  <c r="C619" i="85"/>
  <c r="C1929" i="85"/>
  <c r="C618" i="85"/>
  <c r="C1957" i="85"/>
  <c r="C1915" i="85"/>
  <c r="C774" i="85"/>
  <c r="C266" i="85"/>
  <c r="C874" i="85"/>
  <c r="C1788" i="85"/>
  <c r="C872" i="85"/>
  <c r="C912" i="85"/>
  <c r="C1551" i="85"/>
  <c r="C122" i="85"/>
  <c r="C1547" i="85"/>
  <c r="C1831" i="85"/>
  <c r="C936" i="85"/>
  <c r="C1170" i="85"/>
  <c r="C692" i="85"/>
  <c r="C990" i="85"/>
  <c r="C1031" i="85"/>
  <c r="C568" i="85"/>
  <c r="C1192" i="85"/>
  <c r="C277" i="85"/>
  <c r="C255" i="85"/>
  <c r="C1945" i="85"/>
  <c r="C1961" i="85"/>
  <c r="C1172" i="85"/>
  <c r="C845" i="85"/>
  <c r="C43" i="85"/>
  <c r="C1181" i="85"/>
  <c r="C892" i="85"/>
  <c r="C1372" i="85"/>
  <c r="C937" i="85"/>
  <c r="C1245" i="85"/>
  <c r="C1233" i="85"/>
  <c r="C1759" i="85"/>
  <c r="C1374" i="85"/>
  <c r="C745" i="85"/>
  <c r="C437" i="85"/>
  <c r="C1786" i="85"/>
  <c r="C306" i="85"/>
  <c r="C243" i="85"/>
  <c r="C471" i="85"/>
  <c r="C1500" i="85"/>
  <c r="C1607" i="85"/>
  <c r="C1086" i="85"/>
  <c r="C933" i="85"/>
  <c r="C748" i="85"/>
  <c r="C901" i="85"/>
  <c r="C276" i="85"/>
  <c r="C906" i="85"/>
  <c r="C1818" i="85"/>
  <c r="C292" i="85"/>
  <c r="C486" i="85"/>
  <c r="C1548" i="85"/>
  <c r="C424" i="85"/>
  <c r="C518" i="85"/>
  <c r="C354" i="85"/>
  <c r="C720" i="85"/>
  <c r="C1123" i="85"/>
  <c r="C401" i="85"/>
  <c r="C806" i="85"/>
  <c r="C1034" i="85"/>
  <c r="C521" i="85"/>
  <c r="C732" i="85"/>
  <c r="C1009" i="85"/>
  <c r="C1254" i="85"/>
  <c r="C772" i="85"/>
  <c r="C1723" i="85"/>
  <c r="C678" i="85"/>
  <c r="C447" i="85"/>
  <c r="C831" i="85"/>
  <c r="C1472" i="85"/>
  <c r="C1021" i="85"/>
  <c r="C1252" i="85"/>
  <c r="C533" i="85"/>
  <c r="C1198" i="85"/>
  <c r="C1877" i="85"/>
  <c r="C1815" i="85"/>
  <c r="C175" i="85"/>
  <c r="C981" i="85"/>
  <c r="C1167" i="85"/>
  <c r="C616" i="85"/>
  <c r="C1338" i="85"/>
  <c r="C609" i="85"/>
  <c r="C743" i="85"/>
  <c r="C187" i="85"/>
  <c r="C1666" i="85"/>
  <c r="C786" i="85"/>
  <c r="C976" i="85"/>
  <c r="C1059" i="85"/>
  <c r="C792" i="85"/>
  <c r="C1047" i="85"/>
  <c r="C1810" i="85"/>
  <c r="C1474" i="85"/>
  <c r="C395" i="85"/>
  <c r="C1799" i="85"/>
  <c r="C1342" i="85"/>
  <c r="C1926" i="85"/>
  <c r="C1371" i="85"/>
  <c r="C1874" i="85"/>
  <c r="C245" i="85"/>
  <c r="C612" i="85"/>
  <c r="C1811" i="85"/>
  <c r="C1933" i="85"/>
  <c r="C1555" i="85"/>
  <c r="C1314" i="85"/>
  <c r="C259" i="85"/>
  <c r="C709" i="85"/>
  <c r="C1999" i="85"/>
  <c r="C838" i="85"/>
  <c r="C1291" i="85"/>
  <c r="C1702" i="85"/>
  <c r="C1792" i="85"/>
  <c r="C863" i="85"/>
  <c r="C296" i="85"/>
  <c r="C858" i="85"/>
  <c r="C681" i="85"/>
  <c r="C649" i="85"/>
  <c r="C300" i="85"/>
  <c r="C729" i="85"/>
  <c r="C1601" i="85"/>
  <c r="C391" i="85"/>
  <c r="C851" i="85"/>
  <c r="C1067" i="85"/>
  <c r="C799" i="85"/>
  <c r="C124" i="85"/>
  <c r="C1214" i="85"/>
  <c r="C1248" i="85"/>
  <c r="C1327" i="85"/>
  <c r="C483" i="85"/>
  <c r="C1834" i="85"/>
  <c r="C505" i="85"/>
  <c r="C1405" i="85"/>
  <c r="C653" i="85"/>
  <c r="C1135" i="85"/>
  <c r="C84" i="85"/>
  <c r="C1422" i="85"/>
  <c r="C1937" i="85"/>
  <c r="C482" i="85"/>
  <c r="C217" i="85"/>
  <c r="C1299" i="85"/>
  <c r="C199" i="85"/>
  <c r="C1546" i="85"/>
  <c r="C1588" i="85"/>
  <c r="C1019" i="85"/>
  <c r="C862" i="85"/>
  <c r="C1514" i="85"/>
  <c r="C1140" i="85"/>
  <c r="C1627" i="85"/>
  <c r="C1091" i="85"/>
  <c r="C1475" i="85"/>
  <c r="C316" i="85"/>
  <c r="C1365" i="85"/>
  <c r="C425" i="85"/>
  <c r="C1481" i="85"/>
  <c r="C91" i="85"/>
  <c r="C1345" i="85"/>
  <c r="C1375" i="85"/>
  <c r="C762" i="85"/>
  <c r="C578" i="85"/>
  <c r="C1367" i="85"/>
  <c r="C1523" i="85"/>
  <c r="C931" i="85"/>
  <c r="C1931" i="85"/>
  <c r="C1696" i="85"/>
  <c r="C1398" i="85"/>
  <c r="C733" i="85"/>
  <c r="C672" i="85"/>
  <c r="C27" i="85"/>
  <c r="C1384" i="85"/>
  <c r="C530" i="85"/>
  <c r="C798" i="85"/>
  <c r="C200" i="85"/>
  <c r="C1043" i="85"/>
  <c r="C1326" i="85"/>
  <c r="C1524" i="85"/>
  <c r="C1161" i="85"/>
  <c r="C1646" i="85"/>
  <c r="C1764" i="85"/>
  <c r="C1423" i="85"/>
  <c r="C1951" i="85"/>
  <c r="C264" i="85"/>
  <c r="C893" i="85"/>
  <c r="C1285" i="85"/>
  <c r="C777" i="85"/>
  <c r="C1164" i="85"/>
  <c r="C585" i="85"/>
  <c r="C706" i="85"/>
  <c r="C1189" i="85"/>
  <c r="C1443" i="85"/>
  <c r="C403" i="85"/>
  <c r="C1186" i="85"/>
  <c r="C1615" i="85"/>
  <c r="C1753" i="85"/>
  <c r="C1962" i="85"/>
  <c r="C268" i="85"/>
  <c r="C1839" i="85"/>
  <c r="C532" i="85"/>
  <c r="C416" i="85"/>
  <c r="C671" i="85"/>
  <c r="C1010" i="85"/>
  <c r="C265" i="85"/>
  <c r="C1576" i="85"/>
  <c r="C1467" i="85"/>
  <c r="C1939" i="85"/>
  <c r="C224" i="85"/>
  <c r="C1894" i="85"/>
  <c r="C1817" i="85"/>
  <c r="C1719" i="85"/>
  <c r="C938" i="85"/>
  <c r="C1664" i="85"/>
  <c r="C547" i="85"/>
  <c r="C1220" i="85"/>
  <c r="C367" i="85"/>
  <c r="C1029" i="85"/>
  <c r="C1908" i="85"/>
  <c r="C868" i="85"/>
  <c r="C1215" i="85"/>
  <c r="C1128" i="85"/>
  <c r="C647" i="85"/>
  <c r="C760" i="85"/>
  <c r="C1142" i="85"/>
  <c r="C206" i="85"/>
  <c r="C999" i="85"/>
  <c r="C1682" i="85"/>
  <c r="C234" i="85"/>
  <c r="C47" i="85"/>
  <c r="C1175" i="85"/>
  <c r="C418" i="85"/>
  <c r="C1488" i="85"/>
  <c r="C1853" i="85"/>
  <c r="C1992" i="85"/>
  <c r="C1553" i="85"/>
  <c r="C1650" i="85"/>
  <c r="C386" i="85"/>
  <c r="C667" i="85"/>
  <c r="C1651" i="85"/>
  <c r="C1998" i="85"/>
  <c r="C1678" i="85"/>
  <c r="C1565" i="85"/>
  <c r="C1537" i="85"/>
  <c r="C257" i="85"/>
  <c r="C1590" i="85"/>
  <c r="C1598" i="85"/>
  <c r="C1783" i="85"/>
  <c r="C1631" i="85"/>
  <c r="C1984" i="85"/>
  <c r="C1088" i="85"/>
  <c r="C1212" i="85"/>
  <c r="C323" i="85"/>
  <c r="C1655" i="85"/>
  <c r="C1906" i="85"/>
  <c r="C1635" i="85"/>
  <c r="C1830" i="85"/>
  <c r="C727" i="85"/>
  <c r="C941" i="85"/>
  <c r="C242" i="85"/>
  <c r="C1972" i="85"/>
  <c r="C1462" i="85"/>
  <c r="C1027" i="85"/>
  <c r="C932" i="85"/>
  <c r="C1770" i="85"/>
  <c r="C421" i="85"/>
  <c r="C849" i="85"/>
  <c r="C438" i="85"/>
  <c r="C1425" i="85"/>
  <c r="C469" i="85"/>
  <c r="C193" i="85"/>
  <c r="C485" i="85"/>
  <c r="C272" i="85"/>
  <c r="C664" i="85"/>
  <c r="C1283" i="85"/>
  <c r="C1797" i="85"/>
  <c r="C1039" i="85"/>
  <c r="C847" i="85"/>
  <c r="C1127" i="85"/>
  <c r="C1639" i="85"/>
  <c r="C1544" i="85"/>
  <c r="C598" i="85"/>
  <c r="C436" i="85"/>
  <c r="C314" i="85"/>
  <c r="C1521" i="85"/>
  <c r="C973" i="85"/>
  <c r="C839" i="85"/>
  <c r="C457" i="85"/>
  <c r="C1263" i="85"/>
  <c r="C428" i="85"/>
  <c r="C64" i="85"/>
  <c r="C33" i="85"/>
  <c r="C1306" i="85"/>
  <c r="C1137" i="85"/>
  <c r="C383" i="85"/>
  <c r="C120" i="85"/>
  <c r="C957" i="85"/>
  <c r="C538" i="85"/>
  <c r="C1560" i="85"/>
  <c r="C231" i="85"/>
  <c r="C1018" i="85"/>
  <c r="C886" i="85"/>
  <c r="C642" i="85"/>
  <c r="C1765" i="85"/>
  <c r="C1036" i="85"/>
  <c r="C1820" i="85"/>
  <c r="C376" i="85"/>
  <c r="C1176" i="85"/>
  <c r="C285" i="85"/>
  <c r="C1244" i="85"/>
  <c r="C848" i="85"/>
  <c r="C1625" i="85"/>
  <c r="C295" i="85"/>
  <c r="C660" i="85"/>
  <c r="C935" i="85"/>
  <c r="C465" i="85"/>
  <c r="C708" i="85"/>
  <c r="C1103" i="85"/>
  <c r="C928" i="85"/>
  <c r="C735" i="85"/>
  <c r="C739" i="85"/>
  <c r="C1289" i="85"/>
  <c r="C850" i="85"/>
  <c r="C639" i="85"/>
  <c r="C726" i="85"/>
  <c r="C350" i="85"/>
  <c r="C1927" i="85"/>
  <c r="C1769" i="85"/>
  <c r="C1108" i="85"/>
  <c r="C239" i="85"/>
  <c r="C452" i="85"/>
  <c r="C226" i="85"/>
  <c r="C723" i="85"/>
  <c r="C1064" i="85"/>
  <c r="C450" i="85"/>
  <c r="C1151" i="85"/>
  <c r="C500" i="85"/>
  <c r="C1221" i="85"/>
  <c r="C889" i="85"/>
  <c r="C1159" i="85"/>
  <c r="C584" i="85"/>
  <c r="C775" i="85"/>
  <c r="C819" i="85"/>
  <c r="C1173" i="85"/>
  <c r="C214" i="85"/>
  <c r="C665" i="85"/>
  <c r="C1879" i="85"/>
  <c r="C173" i="85"/>
  <c r="C808" i="85"/>
  <c r="C440" i="85"/>
  <c r="C948" i="85"/>
  <c r="C1413" i="85"/>
  <c r="C252" i="85"/>
  <c r="C1203" i="85"/>
  <c r="C960" i="85"/>
  <c r="C677" i="85"/>
  <c r="C1981" i="85"/>
  <c r="C509" i="85"/>
  <c r="C741" i="85"/>
  <c r="C1513" i="85"/>
  <c r="C984" i="85"/>
  <c r="C364" i="85"/>
  <c r="C1162" i="85"/>
  <c r="C308" i="85"/>
  <c r="C1131" i="85"/>
  <c r="C1506" i="85"/>
  <c r="C269" i="85"/>
  <c r="C939" i="85"/>
  <c r="C1418" i="85"/>
  <c r="C1616" i="85"/>
  <c r="C1515" i="85"/>
  <c r="C1230" i="85"/>
  <c r="C1093" i="85"/>
  <c r="C846" i="85"/>
  <c r="C977" i="85"/>
  <c r="C1074" i="85"/>
  <c r="C343" i="85"/>
  <c r="C1803" i="85"/>
  <c r="C1656" i="85"/>
  <c r="C1406" i="85"/>
  <c r="C1658" i="85"/>
  <c r="C1525" i="85"/>
  <c r="C1479" i="85"/>
  <c r="C1603" i="85"/>
  <c r="C422" i="85"/>
  <c r="C1286" i="85"/>
  <c r="C1739" i="85"/>
  <c r="C1516" i="85"/>
  <c r="C1634" i="85"/>
  <c r="C765" i="85"/>
  <c r="C192" i="85"/>
  <c r="C519" i="85"/>
  <c r="C420" i="85"/>
  <c r="C335" i="85"/>
  <c r="C788" i="85"/>
  <c r="C1871" i="85"/>
  <c r="C1618" i="85"/>
  <c r="C1531" i="85"/>
  <c r="C1016" i="85"/>
  <c r="C712" i="85"/>
  <c r="C1313" i="85"/>
  <c r="C1202" i="85"/>
  <c r="C315" i="85"/>
  <c r="C1717" i="85"/>
  <c r="C1585" i="85"/>
  <c r="C1071" i="85"/>
  <c r="C1023" i="85"/>
  <c r="C1210" i="85"/>
  <c r="C238" i="85"/>
  <c r="C1144" i="85"/>
  <c r="C303" i="85"/>
  <c r="C859" i="85"/>
  <c r="C536" i="85"/>
  <c r="C1247" i="85"/>
  <c r="C1661" i="85"/>
  <c r="C1895" i="85"/>
  <c r="C262" i="85"/>
  <c r="C1878" i="85"/>
  <c r="C790" i="85"/>
  <c r="C1054" i="85"/>
  <c r="C67" i="85"/>
  <c r="C1154" i="85"/>
  <c r="C1511" i="85"/>
  <c r="C1868" i="85"/>
  <c r="C1978" i="85"/>
  <c r="C352" i="85"/>
  <c r="C410" i="85"/>
  <c r="C967" i="85"/>
  <c r="C1005" i="85"/>
  <c r="C809" i="85"/>
  <c r="C1713" i="85"/>
  <c r="C1935" i="85"/>
  <c r="C1847" i="85"/>
  <c r="C281" i="85"/>
  <c r="C427" i="85"/>
  <c r="C1251" i="85"/>
  <c r="C1352" i="85"/>
  <c r="C1534" i="85"/>
  <c r="C448" i="85"/>
  <c r="C1912" i="85"/>
  <c r="C1614" i="85"/>
  <c r="C1336" i="85"/>
  <c r="C871" i="85"/>
  <c r="C995" i="85"/>
  <c r="C993" i="85"/>
  <c r="C1438" i="85"/>
  <c r="C571" i="85"/>
  <c r="C1911" i="85"/>
  <c r="C877" i="85"/>
  <c r="C1554" i="85"/>
  <c r="C1989" i="85"/>
  <c r="C1774" i="85"/>
  <c r="C181" i="85"/>
  <c r="C1139" i="85"/>
  <c r="C1190" i="85"/>
  <c r="C789" i="85"/>
  <c r="C1460" i="85"/>
  <c r="C1390" i="85"/>
  <c r="C1335" i="85"/>
  <c r="C1932" i="85"/>
  <c r="C510" i="85"/>
  <c r="C1606" i="85"/>
  <c r="C1184" i="85"/>
  <c r="C372" i="85"/>
  <c r="C866" i="85"/>
  <c r="C1138" i="85"/>
  <c r="C1364" i="85"/>
  <c r="C460" i="85"/>
  <c r="C184" i="85"/>
  <c r="C232" i="85"/>
  <c r="C1823" i="85"/>
  <c r="C1022" i="85"/>
  <c r="C1720" i="85"/>
  <c r="C1592" i="85"/>
  <c r="C1636" i="85"/>
  <c r="C1025" i="85"/>
  <c r="C390" i="85"/>
  <c r="C222" i="85"/>
  <c r="C1687" i="85"/>
  <c r="C1204" i="85"/>
  <c r="C1918" i="85"/>
  <c r="C1146" i="85"/>
  <c r="C251" i="85"/>
  <c r="C1621" i="85"/>
  <c r="C1440" i="85"/>
  <c r="C478" i="85"/>
  <c r="C1866" i="85"/>
  <c r="C650" i="85"/>
  <c r="C842" i="85"/>
  <c r="C1437" i="85"/>
  <c r="C1411" i="85"/>
  <c r="C1360" i="85"/>
  <c r="C1041" i="85"/>
  <c r="C1913" i="85"/>
  <c r="C1134" i="85"/>
  <c r="C291" i="85"/>
  <c r="C1102" i="85"/>
  <c r="C885" i="85"/>
  <c r="C934" i="85"/>
  <c r="C280" i="85"/>
  <c r="C1690" i="85"/>
  <c r="C641" i="85"/>
  <c r="C883" i="85"/>
  <c r="C1685" i="85"/>
  <c r="C1941" i="85"/>
  <c r="C1602" i="85"/>
  <c r="C1166" i="85"/>
  <c r="C1288" i="85"/>
  <c r="C596" i="85"/>
  <c r="C481" i="85"/>
  <c r="C1446" i="85"/>
  <c r="C503" i="85"/>
  <c r="C1740" i="85"/>
  <c r="C1281" i="85"/>
  <c r="C1075" i="85"/>
  <c r="C1498" i="85"/>
  <c r="C1226" i="85"/>
  <c r="C1000" i="85"/>
  <c r="C638" i="85"/>
  <c r="C1936" i="85"/>
  <c r="C1643" i="85"/>
  <c r="C1208" i="85"/>
  <c r="C540" i="85"/>
  <c r="C1235" i="85"/>
  <c r="C180" i="85"/>
  <c r="C614" i="85"/>
  <c r="C382" i="85"/>
  <c r="C1718" i="85"/>
  <c r="C289" i="85"/>
  <c r="C1304" i="85"/>
  <c r="C828" i="85"/>
  <c r="C1522" i="85"/>
  <c r="C1048" i="85"/>
  <c r="C560" i="85"/>
  <c r="C508" i="85"/>
  <c r="C1011" i="85"/>
  <c r="C396" i="85"/>
  <c r="C1315" i="85"/>
  <c r="C1898" i="85"/>
  <c r="C370" i="85"/>
  <c r="C1709" i="85"/>
  <c r="C1339" i="85"/>
  <c r="C1846" i="85"/>
  <c r="C1171" i="85"/>
  <c r="C843" i="85"/>
  <c r="C244" i="85"/>
  <c r="C1465" i="85"/>
  <c r="C305" i="85"/>
  <c r="C1403" i="85"/>
  <c r="C1038" i="85"/>
  <c r="C921" i="85"/>
  <c r="C952" i="85"/>
  <c r="C1855" i="85"/>
  <c r="C504" i="85"/>
  <c r="C669" i="85"/>
  <c r="C998" i="85"/>
  <c r="C298" i="85"/>
  <c r="C1104" i="85"/>
  <c r="C600" i="85"/>
  <c r="C1051" i="85"/>
  <c r="C1020" i="85"/>
  <c r="C782" i="85"/>
  <c r="C909" i="85"/>
  <c r="C1001" i="85"/>
  <c r="C1689" i="85"/>
  <c r="C1276" i="85"/>
  <c r="C592" i="85"/>
  <c r="C1420" i="85"/>
  <c r="C286" i="85"/>
  <c r="C379" i="85"/>
  <c r="C836" i="85"/>
  <c r="C1300" i="85"/>
  <c r="C1943" i="85"/>
  <c r="C1052" i="85"/>
  <c r="C1098" i="85"/>
  <c r="C227" i="85"/>
  <c r="C1458" i="85"/>
  <c r="C1987" i="85"/>
  <c r="C241" i="85"/>
  <c r="C1148" i="85"/>
  <c r="C1132" i="85"/>
  <c r="C429" i="85"/>
  <c r="C670" i="85"/>
  <c r="C684" i="85"/>
  <c r="C520" i="85"/>
  <c r="C1092" i="85"/>
  <c r="C1938" i="85"/>
  <c r="C1236" i="85"/>
  <c r="C1240" i="85"/>
  <c r="C714" i="85"/>
  <c r="C749" i="85"/>
  <c r="C461" i="85"/>
  <c r="C307" i="85"/>
  <c r="C1697" i="85"/>
  <c r="C1430" i="85"/>
  <c r="C1275" i="85"/>
  <c r="C1066" i="85"/>
  <c r="C1287" i="85"/>
  <c r="C1973" i="85"/>
  <c r="C1271" i="85"/>
  <c r="C800" i="85"/>
  <c r="C339" i="85"/>
  <c r="C1854" i="85"/>
  <c r="C754" i="85"/>
  <c r="C791" i="85"/>
  <c r="C1473" i="85"/>
  <c r="C1648" i="85"/>
  <c r="C991" i="85"/>
  <c r="C1265" i="85"/>
  <c r="C1141" i="85"/>
  <c r="C1738" i="85"/>
  <c r="C467" i="85"/>
  <c r="C1617" i="85"/>
  <c r="C824" i="85"/>
  <c r="C556" i="85"/>
  <c r="C1042" i="85"/>
  <c r="C1562" i="85"/>
  <c r="C1934" i="85"/>
  <c r="C569" i="85"/>
  <c r="C586" i="85"/>
  <c r="C1954" i="85"/>
  <c r="C1801" i="85"/>
  <c r="C430" i="85"/>
  <c r="C1570" i="85"/>
  <c r="C1483" i="85"/>
  <c r="C907" i="85"/>
  <c r="C1539" i="85"/>
  <c r="C1272" i="85"/>
  <c r="C725" i="85"/>
  <c r="C1340" i="85"/>
  <c r="C572" i="85"/>
  <c r="C1130" i="85"/>
  <c r="C1322" i="85"/>
  <c r="C408" i="85"/>
  <c r="C258" i="85"/>
  <c r="C250" i="85"/>
  <c r="C186" i="85"/>
  <c r="C1394" i="85"/>
  <c r="C208" i="85"/>
  <c r="C1484" i="85"/>
  <c r="C1887" i="85"/>
  <c r="C1730" i="85"/>
  <c r="C1111" i="85"/>
  <c r="C1881" i="85"/>
  <c r="C589" i="85"/>
  <c r="C1841" i="85"/>
  <c r="C423" i="85"/>
  <c r="C1955" i="85"/>
  <c r="C621" i="85"/>
  <c r="C190" i="85"/>
  <c r="C1946" i="85"/>
  <c r="C751" i="85"/>
  <c r="C1737" i="85"/>
  <c r="C345" i="85"/>
  <c r="C507" i="85"/>
  <c r="C1907" i="85"/>
  <c r="C1392" i="85"/>
  <c r="C516" i="85"/>
  <c r="C787" i="85"/>
  <c r="C188" i="85"/>
  <c r="C1318" i="85"/>
  <c r="C357" i="85"/>
  <c r="C1129" i="85"/>
  <c r="C344" i="85"/>
  <c r="C1194" i="85"/>
  <c r="C445" i="85"/>
  <c r="C368" i="85"/>
  <c r="C755" i="85"/>
  <c r="C399" i="85"/>
  <c r="C813" i="85"/>
  <c r="C1277" i="85"/>
  <c r="C456" i="85"/>
  <c r="C1004" i="85"/>
  <c r="C1449" i="85"/>
  <c r="C627" i="85"/>
  <c r="C795" i="85"/>
  <c r="C544" i="85"/>
  <c r="C1610" i="85"/>
  <c r="C644" i="85"/>
  <c r="C988" i="85"/>
  <c r="C778" i="85"/>
  <c r="C1925" i="85"/>
  <c r="C1864" i="85"/>
  <c r="C1253" i="85"/>
  <c r="C1147" i="85"/>
  <c r="C1533" i="85"/>
  <c r="C293" i="85"/>
  <c r="C543" i="85"/>
  <c r="C758" i="85"/>
  <c r="C1637" i="85"/>
  <c r="C1072" i="85"/>
  <c r="C853" i="85"/>
  <c r="C1056" i="85"/>
  <c r="C1062" i="85"/>
  <c r="C1985" i="85"/>
  <c r="C636" i="85"/>
  <c r="C1517" i="85"/>
  <c r="C212" i="85"/>
  <c r="C557" i="85"/>
  <c r="C419" i="85"/>
  <c r="C527" i="85"/>
  <c r="C1349" i="85"/>
  <c r="C1323" i="85"/>
  <c r="C704" i="85"/>
  <c r="C942" i="85"/>
  <c r="C1829" i="85"/>
  <c r="C1143" i="85"/>
  <c r="C494" i="85"/>
  <c r="C879" i="85"/>
  <c r="C1530" i="85"/>
  <c r="C689" i="85"/>
  <c r="C28" i="85"/>
  <c r="C1691" i="85"/>
  <c r="C1597" i="85"/>
  <c r="C35" i="85"/>
  <c r="C1869" i="85"/>
  <c r="C1333" i="85"/>
  <c r="C1535" i="85"/>
  <c r="C700" i="85"/>
  <c r="C705" i="85"/>
  <c r="C1124" i="85"/>
  <c r="C922" i="85"/>
  <c r="C1536" i="85"/>
  <c r="C1940" i="85"/>
  <c r="C1381" i="85"/>
  <c r="C506" i="85"/>
  <c r="C1745" i="85"/>
  <c r="C587" i="85"/>
  <c r="C881" i="85"/>
  <c r="C728" i="85"/>
  <c r="C1986" i="85"/>
  <c r="C1703" i="85"/>
  <c r="C1387" i="85"/>
  <c r="C1379" i="85"/>
  <c r="C1669" i="85"/>
  <c r="C1224" i="85"/>
  <c r="C1563" i="85"/>
  <c r="C1867" i="85"/>
  <c r="C811" i="85"/>
  <c r="C1133" i="85"/>
  <c r="C1354" i="85"/>
  <c r="C1600" i="85"/>
  <c r="C1278" i="85"/>
  <c r="C514" i="85"/>
  <c r="C322" i="85"/>
  <c r="C1110" i="85"/>
  <c r="C1747" i="85"/>
  <c r="C1353" i="85"/>
  <c r="C1073" i="85"/>
  <c r="C564" i="85"/>
  <c r="C1503" i="85"/>
  <c r="C855" i="85"/>
  <c r="C1433" i="85"/>
  <c r="C961" i="85"/>
  <c r="C841" i="85"/>
  <c r="C319" i="85"/>
  <c r="C769" i="85"/>
  <c r="C770" i="85"/>
  <c r="C1569" i="85"/>
  <c r="C1269" i="85"/>
  <c r="C189" i="85"/>
  <c r="C1471" i="85"/>
  <c r="C773" i="85"/>
  <c r="C1872" i="85"/>
  <c r="C914" i="85"/>
  <c r="C1228" i="85"/>
  <c r="C1593" i="85"/>
  <c r="C989" i="85"/>
  <c r="C426" i="85"/>
  <c r="C1414" i="85"/>
  <c r="C687" i="85"/>
  <c r="C878" i="85"/>
  <c r="C779" i="85"/>
  <c r="C1777" i="85"/>
  <c r="C1321" i="85"/>
  <c r="C766" i="85"/>
  <c r="C1644" i="85"/>
  <c r="C763" i="85"/>
  <c r="C378" i="85"/>
  <c r="C1257" i="85"/>
  <c r="C1529" i="85"/>
  <c r="C559" i="85"/>
  <c r="C1388" i="85"/>
  <c r="C1949" i="85"/>
  <c r="C351" i="85"/>
  <c r="C731" i="85"/>
  <c r="C895" i="85"/>
  <c r="C1153" i="85"/>
  <c r="C1118" i="85"/>
  <c r="C1638" i="85"/>
  <c r="C1654" i="85"/>
  <c r="C1396" i="85"/>
  <c r="C1802" i="85"/>
  <c r="C1196" i="85"/>
  <c r="C407" i="85"/>
  <c r="C807" i="85"/>
  <c r="C34" i="85"/>
  <c r="C1970" i="85"/>
  <c r="C1310" i="85"/>
  <c r="C288" i="85"/>
  <c r="C1741" i="85"/>
  <c r="C894" i="85"/>
  <c r="C1608" i="85"/>
  <c r="C496" i="85"/>
  <c r="C205" i="85"/>
  <c r="C1574" i="85"/>
  <c r="C1863" i="85"/>
  <c r="C1347" i="85"/>
  <c r="C919" i="85"/>
  <c r="C833" i="85"/>
  <c r="C261" i="85"/>
  <c r="C565" i="85"/>
  <c r="C1729" i="85"/>
  <c r="C1227" i="85"/>
  <c r="C1464" i="85"/>
  <c r="C433" i="85"/>
  <c r="C613" i="85"/>
  <c r="C1400" i="85"/>
  <c r="C1699" i="85"/>
  <c r="C1762" i="85"/>
  <c r="C1793" i="85"/>
  <c r="C1746" i="85"/>
  <c r="C1188" i="85"/>
  <c r="C1432" i="85"/>
  <c r="C1842" i="85"/>
  <c r="C1552" i="85"/>
  <c r="C1332" i="85"/>
  <c r="C1721" i="85"/>
  <c r="C1250" i="85"/>
  <c r="C610" i="85"/>
  <c r="C1407" i="85"/>
  <c r="C693" i="85"/>
  <c r="C539" i="85"/>
  <c r="C1401" i="85"/>
  <c r="C840" i="85"/>
  <c r="C875" i="85"/>
  <c r="C1237" i="85"/>
  <c r="C1412" i="85"/>
  <c r="C282" i="85"/>
  <c r="C1378" i="85"/>
  <c r="C1710" i="85"/>
  <c r="C126" i="85"/>
  <c r="C1930" i="85"/>
  <c r="C835" i="85"/>
  <c r="C1266" i="85"/>
  <c r="C397" i="85"/>
  <c r="C1177" i="85"/>
  <c r="C41" i="85"/>
  <c r="C1107" i="85"/>
  <c r="C1948" i="85"/>
  <c r="C1206" i="85"/>
  <c r="C1305" i="85"/>
  <c r="C1225" i="85"/>
  <c r="C380" i="85"/>
  <c r="C1659" i="85"/>
  <c r="C1641" i="85"/>
  <c r="C1767" i="85"/>
  <c r="C1152" i="85"/>
  <c r="C603" i="85"/>
  <c r="C1670" i="85"/>
  <c r="C1997" i="85"/>
  <c r="C1763" i="85"/>
  <c r="C1070" i="85"/>
  <c r="C1665" i="85"/>
  <c r="C385" i="85"/>
  <c r="C1750" i="85"/>
  <c r="C994" i="85"/>
  <c r="C797" i="85"/>
  <c r="C1870" i="85"/>
  <c r="C771" i="85"/>
  <c r="C1058" i="85"/>
  <c r="C1330" i="85"/>
  <c r="C480" i="85"/>
  <c r="C204" i="85"/>
  <c r="C1675" i="85"/>
  <c r="C515" i="85"/>
  <c r="C1007" i="85"/>
  <c r="C747" i="85"/>
  <c r="C195" i="85"/>
  <c r="C1431" i="85"/>
  <c r="C324" i="85"/>
  <c r="C1410" i="85"/>
  <c r="C1512" i="85"/>
  <c r="C740" i="85"/>
  <c r="C1645" i="85"/>
  <c r="C860" i="85"/>
  <c r="C198" i="85"/>
  <c r="C810" i="85"/>
  <c r="C1580" i="85"/>
  <c r="C1242" i="85"/>
  <c r="C1629" i="85"/>
  <c r="C764" i="85"/>
  <c r="C1246" i="85"/>
  <c r="C1366" i="85"/>
  <c r="C1632" i="85"/>
  <c r="C882" i="85"/>
  <c r="C721" i="85"/>
  <c r="C658" i="85"/>
  <c r="C1207" i="85"/>
  <c r="C631" i="85"/>
  <c r="C1428" i="85"/>
  <c r="C1766" i="85"/>
  <c r="C608" i="85"/>
  <c r="C1217" i="85"/>
  <c r="C1105" i="85"/>
  <c r="C1959" i="85"/>
  <c r="C1368" i="85"/>
  <c r="C898" i="85"/>
  <c r="C563" i="85"/>
  <c r="C1089" i="85"/>
  <c r="C1966" i="85"/>
  <c r="C969" i="85"/>
  <c r="C680" i="85"/>
  <c r="C1578" i="85"/>
  <c r="C1875" i="85"/>
  <c r="C529" i="85"/>
  <c r="C1454" i="85"/>
  <c r="C466" i="85"/>
  <c r="C256" i="85"/>
  <c r="C1575" i="85"/>
  <c r="C982" i="85"/>
  <c r="C1343" i="85"/>
  <c r="C679" i="85"/>
  <c r="C474" i="85"/>
  <c r="C210" i="85"/>
  <c r="C594" i="85"/>
  <c r="C1880" i="85"/>
  <c r="C1708" i="85"/>
  <c r="C1952" i="85"/>
  <c r="C374" i="85"/>
  <c r="C473" i="85"/>
  <c r="C86" i="85"/>
  <c r="C223" i="85"/>
  <c r="C1748" i="85"/>
  <c r="C1668" i="85"/>
  <c r="C413" i="85"/>
  <c r="C412" i="85"/>
  <c r="C1119" i="85"/>
  <c r="C1967" i="85"/>
  <c r="C666" i="85"/>
  <c r="C657" i="85"/>
  <c r="C796" i="85"/>
  <c r="C435" i="85"/>
  <c r="C1456" i="85"/>
  <c r="C230" i="85"/>
  <c r="C562" i="85"/>
  <c r="C1501" i="85"/>
  <c r="C360" i="85"/>
  <c r="C1726" i="85"/>
  <c r="C311" i="85"/>
  <c r="C318" i="85"/>
  <c r="C966" i="85"/>
  <c r="C1040" i="85"/>
  <c r="C1667" i="85"/>
  <c r="C1919" i="85"/>
  <c r="C661" i="85"/>
  <c r="C820" i="85"/>
  <c r="C1508" i="85"/>
  <c r="C713" i="85"/>
  <c r="C1409" i="85"/>
  <c r="C1672" i="85"/>
  <c r="C902" i="85"/>
  <c r="C821" i="85"/>
  <c r="C567" i="85"/>
  <c r="C716" i="85"/>
  <c r="C1626" i="85"/>
  <c r="C1566" i="85"/>
  <c r="C1060" i="85"/>
  <c r="C702" i="85"/>
  <c r="C553" i="85"/>
  <c r="C369" i="85"/>
  <c r="C1924" i="85"/>
  <c r="C337" i="85"/>
  <c r="C607" i="85"/>
  <c r="C1274" i="85"/>
  <c r="C492" i="85"/>
  <c r="C42" i="85"/>
  <c r="C1197" i="85"/>
  <c r="C1290" i="85"/>
  <c r="C601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4" i="49"/>
  <c r="Q104" i="49"/>
  <c r="P105" i="49"/>
  <c r="Q105" i="49"/>
  <c r="P137" i="49"/>
  <c r="Q137" i="49"/>
  <c r="P138" i="49"/>
  <c r="Q138" i="49"/>
  <c r="P139" i="49"/>
  <c r="Q139" i="49"/>
  <c r="P158" i="49"/>
  <c r="Q158" i="49"/>
  <c r="P159" i="49"/>
  <c r="Q159" i="49"/>
  <c r="P160" i="49"/>
  <c r="Q160" i="49"/>
  <c r="P162" i="49"/>
  <c r="Q162" i="49"/>
  <c r="P164" i="49"/>
  <c r="Q164" i="49"/>
  <c r="P165" i="49"/>
  <c r="Q165" i="49"/>
  <c r="P166" i="49"/>
  <c r="Q166" i="49"/>
  <c r="P169" i="49"/>
  <c r="Q169" i="49"/>
  <c r="P170" i="49"/>
  <c r="Q170" i="49"/>
  <c r="P171" i="49"/>
  <c r="Q171" i="49"/>
  <c r="P177" i="49"/>
  <c r="Q177" i="49"/>
  <c r="P178" i="49"/>
  <c r="Q178" i="49"/>
  <c r="P179" i="49"/>
  <c r="Q179" i="49"/>
  <c r="P224" i="49"/>
  <c r="Q224" i="49"/>
  <c r="P225" i="49"/>
  <c r="Q225" i="49"/>
  <c r="P226" i="49"/>
  <c r="Q226" i="49"/>
  <c r="P227" i="49"/>
  <c r="Q227" i="49"/>
  <c r="P228" i="49"/>
  <c r="Q228" i="49"/>
  <c r="P229" i="49"/>
  <c r="Q229" i="49"/>
  <c r="P232" i="49"/>
  <c r="Q232" i="49"/>
  <c r="P233" i="49"/>
  <c r="Q233" i="49"/>
  <c r="P234" i="49"/>
  <c r="Q234" i="49"/>
  <c r="P235" i="49"/>
  <c r="Q235" i="49"/>
  <c r="P236" i="49"/>
  <c r="Q236" i="49"/>
  <c r="P238" i="49"/>
  <c r="Q238" i="49"/>
  <c r="P239" i="49"/>
  <c r="Q239" i="49"/>
  <c r="P240" i="49"/>
  <c r="Q240" i="49"/>
  <c r="P241" i="49"/>
  <c r="Q241" i="49"/>
  <c r="P242" i="49"/>
  <c r="Q242" i="49"/>
  <c r="P268" i="49"/>
  <c r="Q268" i="49"/>
  <c r="P269" i="49"/>
  <c r="Q269" i="49"/>
  <c r="P270" i="49"/>
  <c r="Q270" i="49"/>
  <c r="P271" i="49"/>
  <c r="Q271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C11" i="58"/>
  <c r="P11" i="58"/>
  <c r="Q11" i="58"/>
  <c r="C12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S29" i="58"/>
  <c r="T29" i="58"/>
  <c r="V29" i="58"/>
  <c r="M30" i="58"/>
  <c r="N30" i="58"/>
  <c r="T32" i="58"/>
  <c r="V32" i="58"/>
  <c r="V34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V52" i="58"/>
  <c r="M53" i="58"/>
  <c r="N53" i="58"/>
  <c r="M54" i="58"/>
  <c r="N54" i="58"/>
  <c r="M55" i="58"/>
  <c r="N55" i="58"/>
  <c r="M56" i="58"/>
  <c r="N56" i="58"/>
  <c r="V56" i="58"/>
  <c r="M57" i="58"/>
  <c r="N57" i="58"/>
  <c r="M58" i="58"/>
  <c r="N58" i="58"/>
  <c r="M59" i="58"/>
  <c r="N59" i="58"/>
  <c r="K60" i="58"/>
  <c r="M60" i="58"/>
  <c r="N60" i="58"/>
  <c r="C68" i="58"/>
  <c r="H1" i="50"/>
  <c r="H2" i="50"/>
  <c r="D5" i="50"/>
  <c r="D7" i="50"/>
  <c r="E7" i="50"/>
  <c r="D32" i="50"/>
  <c r="E32" i="50"/>
  <c r="D33" i="50"/>
  <c r="E33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87" i="89"/>
  <c r="AO187" i="89"/>
  <c r="AN189" i="89"/>
  <c r="AO189" i="89"/>
  <c r="AN199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X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53" i="89"/>
  <c r="AW253" i="89"/>
  <c r="AY253" i="89"/>
  <c r="AU255" i="89"/>
  <c r="AW255" i="89"/>
  <c r="AY255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C28" authorId="1" shapeId="0" xr:uid="{0D9C30B6-07D1-48DF-A73B-6FA86BBB482D}">
      <text>
        <r>
          <rPr>
            <b/>
            <sz val="9"/>
            <color indexed="81"/>
            <rFont val="Segoe UI"/>
            <family val="2"/>
          </rPr>
          <t>Administrador:</t>
        </r>
        <r>
          <rPr>
            <sz val="9"/>
            <color indexed="81"/>
            <rFont val="Segoe UI"/>
            <family val="2"/>
          </rPr>
          <t xml:space="preserve">
sicnet 48513.017461/2022-00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  <comment ref="C65" authorId="1" shapeId="0" xr:uid="{F25BB307-F42A-4C55-9974-7520C357D70D}">
      <text>
        <r>
          <rPr>
            <b/>
            <sz val="9"/>
            <color indexed="81"/>
            <rFont val="Segoe UI"/>
            <family val="2"/>
          </rPr>
          <t>Administrador:</t>
        </r>
        <r>
          <rPr>
            <sz val="9"/>
            <color indexed="81"/>
            <rFont val="Segoe UI"/>
            <family val="2"/>
          </rPr>
          <t xml:space="preserve">
No RTA de 2021 foi considerado o valor de R$143.601,89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<sst xmlns="http://schemas.openxmlformats.org/spreadsheetml/2006/main" count="24130" uniqueCount="2330">
  <si>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</si>
  <si>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</si>
  <si>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</si>
  <si>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</si>
  <si>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</si>
  <si>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</si>
  <si>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</si>
  <si>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</si>
  <si>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</si>
  <si>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</si>
  <si>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</si>
  <si>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</si>
  <si>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</si>
  <si>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</si>
  <si>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</si>
  <si>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</si>
  <si>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</si>
  <si>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</si>
  <si>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</si>
  <si>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</si>
  <si>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</si>
  <si>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</si>
  <si>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</si>
  <si>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</si>
  <si>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</si>
  <si>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</si>
  <si>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</si>
  <si>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</si>
  <si>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</si>
  <si>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</si>
  <si>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</si>
  <si>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</si>
  <si>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</si>
  <si>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</si>
  <si>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</si>
  <si>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</si>
  <si>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</si>
  <si>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</si>
  <si>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</si>
  <si>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</si>
  <si>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</si>
  <si>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</si>
  <si>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</si>
  <si>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</si>
  <si>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</si>
  <si>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</si>
  <si>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</si>
  <si>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</si>
  <si>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</si>
  <si>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</si>
  <si>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</si>
  <si>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</si>
  <si>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</si>
  <si>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</si>
  <si>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</si>
  <si>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</si>
  <si>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</si>
  <si>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</si>
  <si>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</si>
  <si>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</si>
  <si>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</si>
  <si>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</si>
  <si>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</si>
  <si>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</si>
  <si>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</si>
  <si>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</si>
  <si>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</si>
  <si>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</si>
  <si>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</si>
  <si>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</si>
  <si>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</si>
  <si>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</si>
  <si>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</si>
  <si>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</si>
  <si>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</si>
  <si>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</si>
  <si>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</si>
  <si>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</si>
  <si>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</si>
  <si>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</si>
  <si>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</si>
  <si>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</si>
  <si>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</si>
  <si>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</si>
  <si>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</si>
  <si>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</si>
  <si>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</si>
  <si>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</si>
  <si>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</si>
  <si>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</si>
  <si>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</si>
  <si>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</si>
  <si>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</si>
  <si>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</si>
  <si>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</si>
  <si>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</si>
  <si>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</si>
  <si>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</si>
  <si>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</si>
  <si>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</si>
  <si>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</si>
  <si>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</si>
  <si>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</si>
  <si>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</si>
  <si>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</si>
  <si>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</si>
  <si>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</si>
  <si>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</si>
  <si>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</si>
  <si>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</si>
  <si>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</si>
  <si>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</si>
  <si>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</si>
  <si>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</si>
  <si>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</si>
  <si>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</si>
  <si>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</si>
  <si>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</si>
  <si>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</si>
  <si>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</si>
  <si>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</si>
  <si>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</si>
  <si>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</si>
  <si>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</si>
  <si>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</si>
  <si>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</si>
  <si>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</si>
  <si>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</si>
  <si>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</si>
  <si>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</si>
  <si>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</si>
  <si>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</si>
  <si>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</si>
  <si>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</si>
  <si>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</si>
  <si>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</si>
  <si>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</si>
  <si>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</si>
  <si>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</si>
  <si>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</si>
  <si>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</si>
  <si>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</si>
  <si>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</si>
  <si>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</si>
  <si>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</si>
  <si>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</si>
  <si>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</si>
  <si>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</si>
  <si>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</si>
  <si>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</si>
  <si>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</si>
  <si>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</si>
  <si>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</si>
  <si>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</si>
  <si>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</si>
  <si>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</si>
  <si>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</si>
  <si>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</si>
  <si>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</si>
  <si>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</si>
  <si>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</si>
  <si>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</si>
  <si>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</si>
  <si>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</si>
  <si>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</si>
  <si>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</si>
  <si>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</si>
  <si>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</si>
  <si>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</si>
  <si>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</si>
  <si>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</si>
  <si>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</si>
  <si>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</si>
  <si>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</si>
  <si>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</si>
  <si>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</si>
  <si>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</si>
  <si>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</si>
  <si>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</si>
  <si>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</si>
  <si>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</si>
  <si>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</si>
  <si>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</si>
  <si>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</si>
  <si>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</si>
  <si>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</si>
  <si>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</si>
  <si>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</si>
  <si>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</si>
  <si>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</si>
  <si>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</si>
  <si>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</si>
  <si>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</si>
  <si>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</si>
  <si>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</si>
  <si>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</si>
  <si>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</si>
  <si>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</si>
  <si>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</si>
  <si>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</si>
  <si>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</si>
  <si>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</si>
  <si>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</si>
  <si>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</si>
  <si>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</si>
  <si>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</si>
  <si>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</si>
  <si>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</si>
  <si>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</si>
  <si>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</si>
  <si>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</si>
  <si>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</si>
  <si>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</si>
  <si>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</si>
  <si>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</si>
  <si>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</si>
  <si>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</si>
  <si>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</si>
  <si>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</si>
  <si>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</si>
  <si>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</si>
  <si>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</si>
  <si>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</si>
  <si>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</si>
  <si>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</si>
  <si>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</si>
  <si>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</si>
  <si>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</si>
  <si>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</si>
  <si>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</si>
  <si>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</si>
  <si>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</si>
  <si>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</si>
  <si>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</si>
  <si>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</si>
  <si>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</si>
  <si>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</si>
  <si>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</si>
  <si>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</si>
  <si>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</si>
  <si>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</si>
  <si>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</si>
  <si>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</si>
  <si>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</si>
  <si>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</si>
  <si>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</si>
  <si>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</si>
  <si>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</si>
  <si>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</si>
  <si>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</si>
  <si>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</si>
  <si>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</si>
  <si>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</si>
  <si>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</si>
  <si>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</si>
  <si>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</si>
  <si>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</si>
  <si>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</si>
  <si>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</si>
  <si>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</si>
  <si>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</si>
  <si>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</si>
  <si>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</si>
  <si>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</si>
  <si>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</si>
  <si>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</si>
  <si>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</si>
  <si>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</si>
  <si>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</si>
  <si>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</si>
  <si>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</si>
  <si>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</si>
  <si>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</si>
  <si>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</si>
  <si>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</si>
  <si>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</si>
  <si>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</si>
  <si>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</si>
  <si>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</si>
  <si>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</si>
  <si>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</si>
  <si>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</si>
  <si>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</si>
  <si>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</si>
  <si>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</si>
  <si>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</si>
  <si>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</si>
  <si>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</si>
  <si>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</si>
  <si>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</si>
  <si>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</si>
  <si>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</si>
  <si>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</si>
  <si>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</si>
  <si>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</si>
  <si>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</si>
  <si>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</si>
  <si>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</si>
  <si>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</si>
  <si>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</si>
  <si>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</si>
  <si>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</si>
  <si>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</si>
  <si>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</si>
  <si>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</si>
  <si>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</si>
  <si>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</si>
  <si>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</si>
  <si>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</si>
  <si>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</si>
  <si>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</si>
  <si>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</si>
  <si>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</si>
  <si>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</si>
  <si>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</si>
  <si>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</si>
  <si>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</si>
  <si>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</si>
  <si>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</si>
  <si>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</si>
  <si>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</si>
  <si>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</si>
  <si>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</si>
  <si>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</si>
  <si>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</si>
  <si>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</si>
  <si>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</si>
  <si>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</si>
  <si>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</si>
  <si>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</si>
  <si>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</si>
  <si>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</si>
  <si>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</si>
  <si>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</si>
  <si>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</si>
  <si>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</si>
  <si>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</si>
  <si>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</si>
  <si>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</si>
  <si>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</si>
  <si>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</si>
  <si>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</si>
  <si>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</si>
  <si>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</si>
  <si>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</si>
  <si>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</si>
  <si>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</si>
  <si>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</si>
  <si>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</si>
  <si>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</si>
  <si>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</si>
  <si>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</si>
  <si>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</si>
  <si>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</si>
  <si>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</si>
  <si>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</si>
  <si>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</si>
  <si>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</si>
  <si>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</si>
  <si>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</si>
  <si>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</si>
  <si>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</si>
  <si>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</si>
  <si>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</si>
  <si>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</si>
  <si>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</si>
  <si>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</si>
  <si>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</si>
  <si>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</si>
  <si>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</si>
  <si>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</si>
  <si>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</si>
  <si>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</si>
  <si>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</si>
  <si>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</si>
  <si>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</si>
  <si>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</si>
  <si>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</si>
  <si>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</si>
  <si>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</si>
  <si>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</si>
  <si>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</si>
  <si>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</si>
  <si>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</si>
  <si>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</si>
  <si>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</si>
  <si>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</si>
  <si>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</si>
  <si>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</si>
  <si>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</si>
  <si>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</si>
  <si>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</si>
  <si>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</si>
  <si>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</si>
  <si>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</si>
  <si>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</si>
  <si>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</si>
  <si>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</si>
  <si>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</si>
  <si>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</si>
  <si>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</si>
  <si>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</si>
  <si>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</si>
  <si>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</si>
  <si>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</si>
  <si>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</si>
  <si>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</si>
  <si>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</si>
  <si>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</si>
  <si>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</si>
  <si>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</si>
  <si>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</si>
  <si>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</si>
  <si>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</si>
  <si>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</si>
  <si>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</si>
  <si>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</si>
  <si>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</si>
  <si>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</si>
  <si>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</si>
  <si>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</si>
  <si>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</si>
  <si>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</si>
  <si>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</si>
  <si>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</si>
  <si>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</si>
  <si>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</si>
  <si>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</si>
  <si>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</si>
  <si>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</si>
  <si>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</si>
  <si>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</si>
  <si>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</si>
  <si>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</si>
  <si>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</si>
  <si>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</si>
  <si>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</si>
  <si>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</si>
  <si>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</si>
  <si>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</si>
  <si>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</si>
  <si>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</si>
  <si>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</si>
  <si>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</si>
  <si>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</si>
  <si>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</si>
  <si>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</si>
  <si>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</si>
  <si>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</si>
  <si>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</si>
  <si>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</si>
  <si>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</si>
  <si>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</si>
  <si>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</si>
  <si>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</si>
  <si>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</si>
  <si>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</si>
  <si>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</si>
  <si>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</si>
  <si>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</si>
  <si>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</si>
  <si>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</si>
  <si>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</si>
  <si>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</si>
  <si>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</si>
  <si>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</si>
  <si>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</si>
  <si>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</si>
  <si>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</si>
  <si>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</si>
  <si>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</si>
  <si>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</si>
  <si>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</si>
  <si>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</si>
  <si>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</si>
  <si>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</si>
  <si>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</si>
  <si>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</si>
  <si>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</si>
  <si>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</si>
  <si>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</si>
  <si>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</si>
  <si>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</si>
  <si>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</si>
  <si>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</si>
  <si>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</si>
  <si>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</si>
  <si>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</si>
  <si>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</si>
  <si>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</si>
  <si>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</si>
  <si>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</si>
  <si>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</si>
  <si>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</si>
  <si>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</si>
  <si>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</si>
  <si>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</si>
  <si>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</si>
  <si>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</si>
  <si>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</si>
  <si>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</si>
  <si>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</si>
  <si>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</si>
  <si>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</si>
  <si>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</si>
  <si>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</si>
  <si>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</si>
  <si>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</si>
  <si>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</si>
  <si>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</si>
  <si>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</si>
  <si>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</si>
  <si>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</si>
  <si>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</si>
  <si>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</si>
  <si>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</si>
  <si>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</si>
  <si>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</si>
  <si>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</si>
  <si>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</si>
  <si>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</si>
  <si>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</si>
  <si>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</si>
  <si>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</si>
  <si>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</si>
  <si>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</si>
  <si>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</si>
  <si>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</si>
  <si>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</si>
  <si>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</si>
  <si>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</si>
  <si>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</si>
  <si>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</si>
  <si>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</si>
  <si>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</si>
  <si>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</si>
  <si>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</si>
  <si>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</si>
  <si>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</si>
  <si>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</si>
  <si>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</si>
  <si>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</si>
  <si>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</si>
  <si>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</si>
  <si>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</si>
  <si>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</si>
  <si>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</si>
  <si>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</si>
  <si>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</si>
  <si>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</si>
  <si>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</si>
  <si>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</si>
  <si>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</si>
  <si>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</si>
  <si>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</si>
  <si>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</si>
  <si>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</si>
  <si>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</si>
  <si>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</si>
  <si>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</si>
  <si>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</si>
  <si>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</si>
  <si>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</si>
  <si>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</si>
  <si>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</si>
  <si>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</si>
  <si>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</si>
  <si>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</si>
  <si>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</si>
  <si>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</si>
  <si>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</si>
  <si>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</si>
  <si>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</si>
  <si>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</si>
  <si>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</si>
  <si>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</si>
  <si>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</si>
  <si>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</si>
  <si>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</si>
  <si>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</si>
  <si>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</si>
  <si>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</si>
  <si>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</si>
  <si>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</si>
  <si>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</si>
  <si>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</si>
  <si>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</si>
  <si>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</si>
  <si>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</si>
  <si>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</si>
  <si>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</si>
  <si>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</si>
  <si>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</si>
  <si>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</si>
  <si>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</si>
  <si>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</si>
  <si>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</si>
  <si>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</si>
  <si>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</si>
  <si>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</si>
  <si>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</si>
  <si>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</si>
  <si>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</si>
  <si>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</si>
  <si>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</si>
  <si>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</si>
  <si>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</si>
  <si>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</si>
  <si>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</si>
  <si>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</si>
  <si>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</si>
  <si>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</si>
  <si>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</si>
  <si>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</si>
  <si>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</si>
  <si>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</si>
  <si>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</si>
  <si>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</si>
  <si>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</si>
  <si>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</si>
  <si>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</si>
  <si>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</si>
  <si>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</si>
  <si>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</si>
  <si>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</si>
  <si>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</si>
  <si>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</si>
  <si>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</si>
  <si>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</si>
  <si>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</si>
  <si>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</si>
  <si>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</si>
  <si>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</si>
  <si>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</si>
  <si>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</si>
  <si>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</si>
  <si>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</si>
  <si>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</si>
  <si>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</si>
  <si>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</si>
  <si>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</si>
  <si>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</si>
  <si>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</si>
  <si>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</si>
  <si>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</si>
  <si>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</si>
  <si>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</si>
  <si>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</si>
  <si>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</si>
  <si>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</si>
  <si>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</si>
  <si>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</si>
  <si>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</si>
  <si>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</si>
  <si>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</si>
  <si>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</si>
  <si>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</si>
  <si>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</si>
  <si>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</si>
  <si>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</si>
  <si>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</si>
  <si>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</si>
  <si>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</si>
  <si>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</si>
  <si>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</si>
  <si>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</si>
  <si>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</si>
  <si>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</si>
  <si>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</si>
  <si>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</si>
  <si>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</si>
  <si>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</si>
  <si>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</si>
  <si>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</si>
  <si>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</si>
  <si>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</si>
  <si>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</si>
  <si>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</si>
  <si>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</si>
  <si>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</si>
  <si>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</si>
  <si>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</si>
  <si>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</si>
  <si>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</si>
  <si>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</si>
  <si>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</si>
  <si>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</si>
  <si>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</si>
  <si>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</si>
  <si>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</si>
  <si>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</si>
  <si>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</si>
  <si>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</si>
  <si>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</si>
  <si>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</si>
  <si>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</si>
  <si>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</si>
  <si>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</si>
  <si>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</si>
  <si>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</si>
  <si>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</si>
  <si>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</si>
  <si>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</si>
  <si>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</si>
  <si>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</si>
  <si>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</si>
  <si>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</si>
  <si>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</si>
  <si>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</si>
  <si>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</si>
  <si>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</si>
  <si>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</si>
  <si>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</si>
  <si>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</si>
  <si>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</si>
  <si>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</si>
  <si>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</si>
  <si>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</si>
  <si>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</si>
  <si>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</si>
  <si>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</si>
  <si>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</si>
  <si>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</si>
  <si>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</si>
  <si>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</si>
  <si>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</si>
  <si>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</si>
  <si>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</si>
  <si>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</si>
  <si>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</si>
  <si>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</si>
  <si>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</si>
  <si>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</si>
  <si>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</si>
  <si>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</si>
  <si>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</si>
  <si>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</si>
  <si>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</si>
  <si>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</si>
  <si>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</si>
  <si>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</si>
  <si>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</si>
  <si>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</si>
  <si>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</si>
  <si>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</si>
  <si>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</si>
  <si>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</si>
  <si>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</si>
  <si>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</si>
  <si>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</si>
  <si>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</si>
  <si>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</si>
  <si>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</si>
  <si>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</si>
  <si>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</si>
  <si>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</si>
  <si>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</si>
  <si>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</si>
  <si>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</si>
  <si>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</si>
  <si>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</si>
  <si>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</si>
  <si>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</si>
  <si>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</si>
  <si>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</si>
  <si>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</si>
  <si>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</si>
  <si>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</si>
  <si>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</si>
  <si>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</si>
  <si>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</si>
  <si>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</si>
  <si>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</si>
  <si>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</si>
  <si>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</si>
  <si>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</si>
  <si>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</si>
  <si>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</si>
  <si>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</si>
  <si>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</si>
  <si>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</si>
  <si>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</si>
  <si>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</si>
  <si>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</si>
  <si>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</si>
  <si>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</si>
  <si>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</si>
  <si>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</si>
  <si>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</si>
  <si>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</si>
  <si>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</si>
  <si>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</si>
  <si>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</si>
  <si>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</si>
  <si>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</si>
  <si>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</si>
  <si>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</si>
  <si>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</si>
  <si>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</si>
  <si>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</si>
  <si>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</si>
  <si>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</si>
  <si>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</si>
  <si>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</si>
  <si>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</si>
  <si>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</si>
  <si>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</si>
  <si>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</si>
  <si>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</si>
  <si>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</si>
  <si>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</si>
  <si>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</si>
  <si>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</si>
  <si>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</si>
  <si>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</si>
  <si>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</si>
  <si>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</si>
  <si>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</si>
  <si>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</si>
  <si>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</si>
  <si>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</si>
  <si>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</si>
  <si>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</si>
  <si>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</si>
  <si>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</si>
  <si>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</si>
  <si>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</si>
  <si>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</si>
  <si>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</si>
  <si>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</si>
  <si>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</si>
  <si>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</si>
  <si>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</si>
  <si>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</si>
  <si>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</si>
  <si>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</si>
  <si>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</si>
  <si>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</si>
  <si>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</si>
  <si>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</si>
  <si>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</si>
  <si>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</si>
  <si>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</si>
  <si>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</si>
  <si>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</si>
  <si>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</si>
  <si>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</si>
  <si>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</si>
  <si>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</si>
  <si>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</si>
  <si>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</si>
  <si>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</si>
  <si>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</si>
  <si>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</si>
  <si>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</si>
  <si>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</si>
  <si>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</si>
  <si>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</si>
  <si>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</si>
  <si>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</si>
  <si>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</si>
  <si>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</si>
  <si>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</si>
  <si>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</si>
  <si>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</si>
  <si>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</si>
  <si>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</si>
  <si>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</si>
  <si>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</si>
  <si>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</si>
  <si>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</si>
  <si>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</si>
  <si>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</si>
  <si>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</si>
  <si>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</si>
  <si>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</si>
  <si>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</si>
  <si>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</si>
  <si>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</si>
  <si>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</si>
  <si>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</si>
  <si>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</si>
  <si>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</si>
  <si>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</si>
  <si>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</si>
  <si>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</si>
  <si>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</si>
  <si>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</si>
  <si>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</si>
  <si>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</si>
  <si>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</si>
  <si>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</si>
  <si>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</si>
  <si>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</si>
  <si>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</si>
  <si>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</si>
  <si>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</si>
  <si>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</si>
  <si>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</si>
  <si>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</si>
  <si>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</si>
  <si>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</si>
  <si>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</si>
  <si>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</si>
  <si>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</si>
  <si>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</si>
  <si>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</si>
  <si>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</si>
  <si>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</si>
  <si>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</si>
  <si>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</si>
  <si>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</si>
  <si>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</si>
  <si>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</si>
  <si>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</si>
  <si>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</si>
  <si>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</si>
  <si>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</si>
  <si>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</si>
  <si>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</si>
  <si>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</si>
  <si>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</si>
  <si>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</si>
  <si>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</si>
  <si>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</si>
  <si>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</si>
  <si>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</si>
  <si>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</si>
  <si>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</si>
  <si>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</si>
  <si>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</si>
  <si>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</si>
  <si>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</si>
  <si>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</si>
  <si>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</si>
  <si>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</si>
  <si>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</si>
  <si>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</si>
  <si>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</si>
  <si>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</si>
  <si>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</si>
  <si>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</si>
  <si>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</si>
  <si>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</si>
  <si>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</si>
  <si>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</si>
  <si>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</si>
  <si>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</si>
  <si>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</si>
  <si>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</si>
  <si>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</si>
  <si>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</si>
  <si>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</si>
  <si>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</si>
  <si>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</si>
  <si>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</si>
  <si>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</si>
  <si>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</si>
  <si>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</si>
  <si>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</si>
  <si>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</si>
  <si>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</si>
  <si>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</si>
  <si>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</si>
  <si>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</si>
  <si>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</si>
  <si>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</si>
  <si>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</si>
  <si>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</si>
  <si>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</si>
  <si>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</si>
  <si>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</si>
  <si>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</si>
  <si>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</si>
  <si>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</si>
  <si>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</si>
  <si>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</si>
  <si>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</si>
  <si>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</si>
  <si>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</si>
  <si>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</si>
  <si>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</si>
  <si>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</si>
  <si>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</si>
  <si>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</si>
  <si>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</si>
  <si>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</si>
  <si>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</si>
  <si>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</si>
  <si>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</si>
  <si>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</si>
  <si>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</si>
  <si>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</si>
  <si>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</si>
  <si>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</si>
  <si>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</si>
  <si>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</si>
  <si>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</si>
  <si>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</si>
  <si>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</si>
  <si>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</si>
  <si>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</si>
  <si>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</si>
  <si>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</si>
  <si>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</si>
  <si>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</si>
  <si>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</si>
  <si>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</si>
  <si>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</si>
  <si>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</si>
  <si>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</si>
  <si>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</si>
  <si>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</si>
  <si>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</si>
  <si>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</si>
  <si>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</si>
  <si>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</si>
  <si>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</si>
  <si>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</si>
  <si>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</si>
  <si>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</si>
  <si>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</si>
  <si>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</si>
  <si>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</si>
  <si>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</si>
  <si>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</si>
  <si>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</si>
  <si>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</si>
  <si>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</si>
  <si>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</si>
  <si>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</si>
  <si>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</si>
  <si>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</si>
  <si>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</si>
  <si>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</si>
  <si>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</si>
  <si>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</si>
  <si>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</si>
  <si>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</si>
  <si>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</si>
  <si>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</si>
  <si>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</si>
  <si>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</si>
  <si>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</si>
  <si>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</si>
  <si>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</si>
  <si>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</si>
  <si>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</si>
  <si>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</si>
  <si>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</si>
  <si>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</si>
  <si>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</si>
  <si>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</si>
  <si>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</si>
  <si>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</si>
  <si>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</si>
  <si>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</si>
  <si>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</si>
  <si>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</si>
  <si>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</si>
  <si>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</si>
  <si>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</si>
  <si>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</si>
  <si>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</si>
  <si>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</si>
  <si>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</si>
  <si>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</si>
  <si>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</si>
  <si>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</si>
  <si>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</si>
  <si>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</si>
  <si>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</si>
  <si>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</si>
  <si>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</si>
  <si>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</si>
  <si>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</si>
  <si>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</si>
  <si>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</si>
  <si>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</si>
  <si>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</si>
  <si>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</si>
  <si>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</si>
  <si>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</si>
  <si>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</si>
  <si>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</si>
  <si>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</si>
  <si>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</si>
  <si>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</si>
  <si>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</si>
  <si>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</si>
  <si>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</si>
  <si>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</si>
  <si>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</si>
  <si>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</si>
  <si>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</si>
  <si>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</si>
  <si>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</si>
  <si>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</si>
  <si>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</si>
  <si>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</si>
  <si>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</si>
  <si>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</si>
  <si>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</si>
  <si>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</si>
  <si>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</si>
  <si>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</si>
  <si>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</si>
  <si>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</si>
  <si>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</si>
  <si>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</si>
  <si>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</si>
  <si>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</si>
  <si>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</si>
  <si>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</si>
  <si>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</si>
  <si>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</si>
  <si>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</si>
  <si>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</si>
  <si>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</si>
  <si>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</si>
  <si>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</si>
  <si>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</si>
  <si>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</si>
  <si>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</si>
  <si>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</si>
  <si>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</si>
  <si>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</si>
  <si>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</si>
  <si>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</si>
  <si>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</si>
  <si>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</si>
  <si>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</si>
  <si>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</si>
  <si>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</si>
  <si>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</si>
  <si>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</si>
  <si>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</si>
  <si>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</si>
  <si>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</si>
  <si>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</si>
  <si>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</si>
  <si>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</si>
  <si>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</si>
  <si>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</si>
  <si>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</si>
  <si>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</si>
  <si>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</si>
  <si>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</si>
  <si>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</si>
  <si>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</si>
  <si>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</si>
  <si>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</si>
  <si>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</si>
  <si>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</si>
  <si>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</si>
  <si>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</si>
  <si>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</si>
  <si>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</si>
  <si>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</si>
  <si>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</si>
  <si>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</si>
  <si>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</si>
  <si>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</si>
  <si>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</si>
  <si>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</si>
  <si>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</si>
  <si>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</si>
  <si>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</si>
  <si>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</si>
  <si>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</si>
  <si>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</si>
  <si>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</si>
  <si>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</si>
  <si>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</si>
  <si>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</si>
  <si>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</si>
  <si>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</si>
  <si>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</si>
  <si>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</si>
  <si>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</si>
  <si>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</si>
  <si>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</si>
  <si>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</si>
  <si>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</si>
  <si>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</si>
  <si>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</si>
  <si>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</si>
  <si>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</si>
  <si>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</si>
  <si>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</si>
  <si>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</si>
  <si>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</si>
  <si>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</si>
  <si>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</si>
  <si>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</si>
  <si>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</si>
  <si>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</si>
  <si>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</si>
  <si>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</si>
  <si>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</si>
  <si>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</si>
  <si>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</si>
  <si>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</si>
  <si>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</si>
  <si>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</si>
  <si>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</si>
  <si>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</si>
  <si>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</si>
  <si>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</si>
  <si>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</si>
  <si>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</si>
  <si>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</si>
  <si>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</si>
  <si>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</si>
  <si>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</si>
  <si>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</si>
  <si>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</si>
  <si>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</si>
  <si>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</si>
  <si>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</si>
  <si>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</si>
  <si>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</si>
  <si>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</si>
  <si>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</si>
  <si>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</si>
  <si>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</si>
  <si>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</si>
  <si>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</si>
  <si>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</si>
  <si>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</si>
  <si>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</si>
  <si>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</si>
  <si>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</si>
  <si>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</si>
  <si>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</si>
  <si>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</si>
  <si>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</si>
  <si>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</si>
  <si>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</si>
  <si>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</si>
  <si>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</si>
  <si>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</si>
  <si>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</si>
  <si>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</si>
  <si>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</si>
  <si>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</si>
  <si>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</si>
  <si>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</si>
  <si>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</si>
  <si>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</si>
  <si>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</si>
  <si>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</si>
  <si>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</si>
  <si>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</si>
  <si>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</si>
  <si>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</si>
  <si>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</si>
  <si>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</si>
  <si>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</si>
  <si>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</si>
  <si>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</si>
  <si>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</si>
  <si>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</si>
  <si>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</si>
  <si>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</si>
  <si>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</si>
  <si>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</si>
  <si>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</si>
  <si>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</si>
  <si>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</si>
  <si>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</si>
  <si>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</si>
  <si>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</si>
  <si>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</si>
  <si>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</si>
  <si>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</si>
  <si>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</si>
  <si>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</si>
  <si>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</si>
  <si>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</si>
  <si>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</si>
  <si>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</si>
  <si>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</si>
  <si>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</si>
  <si>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</si>
  <si>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</si>
  <si>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</si>
  <si>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</si>
  <si>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</si>
  <si>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</si>
  <si>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</si>
  <si>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</si>
  <si>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</si>
  <si>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</si>
  <si>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</si>
  <si>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</si>
  <si>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</si>
  <si>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</si>
  <si>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</si>
  <si>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</si>
  <si>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</si>
  <si>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</si>
  <si>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</si>
  <si>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</si>
  <si>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</si>
  <si>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</si>
  <si>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</si>
  <si>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</si>
  <si>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</si>
  <si>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</si>
  <si>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</si>
  <si>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</si>
  <si>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</si>
  <si>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</si>
  <si>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</si>
  <si>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</si>
  <si>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</si>
  <si>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</si>
  <si>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</si>
  <si>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</si>
  <si>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</si>
  <si>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</si>
  <si>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</si>
  <si>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</si>
  <si>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</si>
  <si>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</si>
  <si>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</si>
  <si>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</si>
  <si>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</si>
  <si>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</si>
  <si>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</si>
  <si>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</si>
  <si>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</si>
  <si>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</si>
  <si>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</si>
  <si>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</si>
  <si>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</si>
  <si>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</si>
  <si>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</si>
  <si>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</si>
  <si>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</si>
  <si>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</si>
  <si>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</si>
  <si>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</si>
  <si>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</si>
  <si>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</si>
  <si>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</si>
  <si>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</si>
  <si>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</si>
  <si>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</si>
  <si>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</si>
  <si>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</si>
  <si>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</si>
  <si>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</si>
  <si>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</si>
  <si>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</si>
  <si>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</si>
  <si>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</si>
  <si>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</si>
  <si>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</si>
  <si>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</si>
  <si>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</si>
  <si>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</si>
  <si>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</si>
  <si>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</si>
  <si>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</si>
  <si>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</si>
  <si>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</si>
  <si>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</si>
  <si>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</si>
  <si>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</si>
  <si>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</si>
  <si>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</si>
  <si>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</si>
  <si>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</si>
  <si>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</si>
  <si>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</si>
  <si>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</si>
  <si>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</si>
  <si>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</si>
  <si>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</si>
  <si>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</si>
  <si>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</si>
  <si>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</si>
  <si>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</si>
  <si>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</si>
  <si>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</si>
  <si>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</si>
  <si>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</si>
  <si>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</si>
  <si>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</si>
  <si>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</si>
  <si>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</si>
  <si>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</si>
  <si>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</si>
  <si>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</si>
  <si>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</si>
  <si>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</si>
  <si>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</si>
  <si>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</si>
  <si>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</si>
  <si>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</si>
  <si>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</si>
  <si>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</si>
  <si>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</si>
  <si>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</si>
  <si>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</si>
  <si>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</si>
  <si>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</si>
  <si>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</si>
  <si>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</si>
  <si>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</si>
  <si>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</si>
  <si>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</si>
  <si>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</si>
  <si>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</si>
  <si>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</si>
  <si>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</si>
  <si>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</si>
  <si>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</si>
  <si>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</si>
  <si>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</si>
  <si>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</si>
  <si>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</si>
  <si>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</si>
  <si>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</si>
  <si>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</si>
  <si>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</si>
  <si>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</si>
  <si>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</si>
  <si>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</si>
  <si>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</si>
  <si>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</si>
  <si>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</si>
  <si>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</si>
  <si>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</si>
  <si>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</si>
  <si>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</si>
  <si>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</si>
  <si>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</si>
  <si>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</si>
  <si>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</si>
  <si>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</si>
  <si>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</si>
  <si>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</si>
  <si>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</si>
  <si>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</si>
  <si>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</si>
  <si>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</si>
  <si>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</si>
  <si>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</si>
  <si>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</si>
  <si>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</si>
  <si>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</si>
  <si>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</si>
  <si>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</si>
  <si>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</si>
  <si>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</si>
  <si>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</si>
  <si>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</si>
  <si>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</si>
  <si>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</si>
  <si>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</si>
  <si>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</si>
  <si>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</si>
  <si>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</si>
  <si>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</si>
  <si>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</si>
  <si>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</si>
  <si>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</si>
  <si>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</si>
  <si>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</si>
  <si>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</si>
  <si>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</si>
  <si>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</si>
  <si>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</si>
  <si>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</si>
  <si>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</si>
  <si>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</si>
  <si>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</si>
  <si>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</si>
  <si>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</si>
  <si>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</si>
  <si>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</si>
  <si>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</si>
  <si>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</si>
  <si>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</si>
  <si>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</si>
  <si>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</si>
  <si>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</si>
  <si>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</si>
  <si>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</si>
  <si>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</si>
  <si>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</si>
  <si>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</si>
  <si>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</si>
  <si>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</si>
  <si>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</si>
  <si>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</si>
  <si>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</si>
  <si>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</si>
  <si>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</si>
  <si>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</si>
  <si>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</si>
  <si>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</si>
  <si>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</si>
  <si>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</si>
  <si>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</si>
  <si>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</si>
  <si>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</si>
  <si>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</si>
  <si>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</si>
  <si>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</si>
  <si>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</si>
  <si>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</si>
  <si>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</si>
  <si>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</si>
  <si>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</si>
  <si>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</si>
  <si>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</si>
  <si>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</si>
  <si>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</si>
  <si>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</si>
  <si>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</si>
  <si>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</si>
  <si>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</si>
  <si>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</si>
  <si>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</si>
  <si>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</si>
  <si>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</si>
  <si>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</si>
  <si>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</si>
  <si>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</si>
  <si>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</si>
  <si>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</si>
  <si>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</si>
  <si>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</si>
  <si>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</si>
  <si>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</si>
  <si>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</si>
  <si>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</si>
  <si>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</si>
  <si>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</si>
  <si>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</si>
  <si>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</si>
  <si>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</si>
  <si>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</si>
  <si>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</si>
  <si>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</si>
  <si>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</si>
  <si>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</si>
  <si>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</si>
  <si>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</si>
  <si>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</si>
  <si>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</si>
  <si>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</si>
  <si>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</si>
  <si>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</si>
  <si>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</si>
  <si>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</si>
  <si>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</si>
  <si>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</si>
  <si>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</si>
  <si>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</si>
  <si>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</si>
  <si>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</si>
  <si>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</si>
  <si>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</si>
  <si>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</si>
  <si>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</si>
  <si>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</si>
  <si>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</si>
  <si>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</si>
  <si>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</si>
  <si>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</si>
  <si>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</si>
  <si>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</si>
  <si>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</si>
  <si>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</si>
  <si>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</si>
  <si>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</si>
  <si>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</si>
  <si>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</si>
  <si>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</si>
  <si>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</si>
  <si>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</si>
  <si>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</si>
  <si>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</si>
  <si>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</si>
  <si>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</si>
  <si>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</si>
  <si>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</si>
  <si>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</si>
  <si>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</si>
  <si>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</si>
  <si>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</si>
  <si>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</si>
  <si>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</si>
  <si>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</si>
  <si>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</si>
  <si>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</si>
  <si>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</si>
  <si>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</si>
  <si>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</si>
  <si>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</si>
  <si>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</si>
  <si>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</si>
  <si>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</si>
  <si>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</si>
  <si>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</si>
  <si>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</si>
  <si>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</si>
  <si>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</si>
  <si>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</si>
  <si>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</si>
  <si>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</si>
  <si>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</si>
  <si>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</si>
  <si>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</si>
  <si>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</si>
  <si>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</si>
  <si>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</si>
  <si>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</si>
  <si>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</si>
  <si>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</si>
  <si>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</si>
  <si>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</si>
  <si>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</si>
  <si>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</si>
  <si>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</si>
  <si>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</si>
  <si>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</si>
  <si>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</si>
  <si>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</si>
  <si>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</si>
  <si>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</si>
  <si>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</si>
  <si>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</si>
  <si>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</si>
  <si>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</si>
  <si>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</si>
  <si>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</si>
  <si>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</si>
  <si>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</si>
  <si>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</si>
  <si>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</si>
  <si>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</si>
  <si>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</si>
  <si>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</si>
  <si>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</si>
  <si>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</si>
  <si>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</si>
  <si>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</si>
  <si>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</si>
  <si>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</si>
  <si>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</si>
  <si>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</si>
  <si>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</si>
  <si>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</si>
  <si>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</si>
  <si>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</si>
  <si>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</si>
  <si>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</si>
  <si>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</si>
  <si>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</si>
  <si>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</si>
  <si>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</si>
  <si>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</si>
  <si>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</si>
  <si>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</si>
  <si>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</si>
  <si>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</si>
  <si>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</si>
  <si>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</si>
  <si>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</si>
  <si>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</si>
  <si>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</si>
  <si>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</si>
  <si>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</si>
  <si>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</si>
  <si>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</si>
  <si>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</si>
  <si>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</si>
  <si>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</si>
  <si>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</si>
  <si>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</si>
  <si>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</si>
  <si>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</si>
  <si>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</si>
  <si>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</si>
  <si>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</si>
  <si>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</si>
  <si>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</si>
  <si>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</si>
  <si>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</si>
  <si>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</si>
  <si>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</si>
  <si>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</si>
  <si>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</si>
  <si>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</si>
  <si>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</si>
  <si>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</si>
  <si>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</si>
  <si>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</si>
  <si>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</si>
  <si>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</si>
  <si>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</si>
  <si>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</si>
  <si>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</si>
  <si>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</si>
  <si>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</si>
  <si>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</si>
  <si>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</si>
  <si>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</si>
  <si>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</si>
  <si>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</si>
  <si>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</si>
  <si>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</si>
  <si>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</si>
  <si>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</si>
  <si>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</si>
  <si>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</si>
  <si>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</si>
  <si>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</si>
  <si>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</si>
  <si>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</si>
  <si>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</si>
  <si>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</si>
  <si>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</si>
  <si>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</si>
  <si>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</si>
  <si>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</si>
  <si>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</si>
  <si>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</si>
  <si>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</si>
  <si>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</si>
  <si>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</si>
  <si>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</si>
  <si>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</si>
  <si>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</si>
  <si>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</si>
  <si>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</si>
  <si>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</si>
  <si>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</si>
  <si>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</si>
  <si>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</si>
  <si>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</si>
  <si>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</si>
  <si>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</si>
  <si>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</si>
  <si>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</si>
  <si>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</si>
  <si>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</si>
  <si>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</si>
  <si>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</si>
  <si>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</si>
  <si>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</si>
  <si>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</si>
  <si>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</si>
  <si>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</si>
  <si>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</si>
  <si>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</si>
  <si>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</si>
  <si>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</si>
  <si>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</si>
  <si>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</si>
  <si>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</si>
  <si>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</si>
  <si>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</si>
  <si>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</si>
  <si>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</si>
  <si>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</si>
  <si>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</si>
  <si>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</si>
  <si>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</si>
  <si>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</si>
  <si>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</si>
  <si>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</si>
  <si>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</si>
  <si>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</si>
  <si>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</si>
  <si>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</si>
  <si>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</si>
  <si>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</si>
  <si>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</si>
  <si>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</si>
  <si>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</si>
  <si>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</si>
  <si>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</si>
  <si>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</si>
  <si>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</si>
  <si>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</si>
  <si>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</si>
  <si>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</si>
  <si>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</si>
  <si>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</si>
  <si>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</si>
  <si>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</si>
  <si>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</si>
  <si>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</si>
  <si>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</si>
  <si>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</si>
  <si>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</si>
  <si>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</si>
  <si>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</si>
  <si>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</si>
  <si>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</si>
  <si>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</si>
  <si>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</si>
  <si>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</si>
  <si>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</si>
  <si>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</si>
  <si>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</si>
  <si>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</si>
  <si>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</si>
  <si>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</si>
  <si>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</si>
  <si>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</si>
  <si>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</si>
  <si>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</si>
  <si>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</si>
  <si>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</si>
  <si>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</si>
  <si>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</si>
  <si>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</si>
  <si>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</si>
  <si>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</si>
  <si>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</si>
  <si>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</si>
  <si>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</si>
  <si>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</si>
  <si>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</si>
  <si>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</si>
  <si>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</si>
  <si>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</si>
  <si>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</si>
  <si>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</si>
  <si>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</si>
  <si>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</si>
  <si>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</si>
  <si>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</si>
  <si>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</si>
  <si>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</si>
  <si>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</si>
  <si>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</si>
  <si>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</si>
  <si>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</si>
  <si>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</si>
  <si>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</si>
  <si>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</si>
  <si>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</si>
  <si>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</si>
  <si>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</si>
  <si>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</si>
  <si>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</si>
  <si>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</si>
  <si>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</si>
  <si>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</si>
  <si>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</si>
  <si>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</si>
  <si>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</si>
  <si>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</si>
  <si>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</si>
  <si>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</si>
  <si>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</si>
  <si>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</si>
  <si>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</si>
  <si>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</si>
  <si>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</si>
  <si>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</si>
  <si>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</si>
  <si>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</si>
  <si>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</si>
  <si>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</si>
  <si>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</si>
  <si>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</si>
  <si>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</si>
  <si>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</si>
  <si>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</si>
  <si>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</si>
  <si>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</si>
  <si>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</si>
  <si>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</si>
  <si>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</si>
  <si>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</si>
  <si>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</si>
  <si>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</si>
  <si>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</si>
  <si>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</si>
  <si>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</si>
  <si>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</si>
  <si>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</si>
  <si>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</si>
  <si>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</si>
  <si>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</si>
  <si>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</si>
  <si>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</si>
  <si>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</si>
  <si>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</si>
  <si>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</si>
  <si>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</si>
  <si>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</si>
  <si>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</si>
  <si>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</si>
  <si>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</si>
  <si>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</si>
  <si>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</si>
  <si>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</si>
  <si>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</si>
  <si>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</si>
  <si>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</si>
  <si>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</si>
  <si>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</si>
  <si>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</si>
  <si>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</si>
  <si>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</si>
  <si>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</si>
  <si>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</si>
  <si>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</si>
  <si>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</si>
  <si>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</si>
  <si>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</si>
  <si>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</si>
  <si>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</si>
  <si>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</si>
  <si>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</si>
  <si>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</si>
  <si>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</si>
  <si>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</si>
  <si>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</si>
  <si>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</si>
  <si>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</si>
  <si>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</si>
  <si>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</si>
  <si>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</si>
  <si>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</si>
  <si>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</si>
  <si>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</si>
  <si>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</si>
  <si>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</si>
  <si>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</si>
  <si>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</si>
  <si>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</si>
  <si>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</si>
  <si>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</si>
  <si>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</si>
  <si>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</si>
  <si>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</si>
  <si>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</si>
  <si>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</si>
  <si>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</si>
  <si>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</si>
  <si>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</si>
  <si>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</si>
  <si>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</si>
  <si>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</si>
  <si>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</si>
  <si>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</si>
  <si>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</si>
  <si>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</si>
  <si>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</si>
  <si>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</si>
  <si>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</si>
  <si>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</si>
  <si>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</si>
  <si>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</si>
  <si>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</si>
  <si>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</si>
  <si>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</si>
  <si>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</si>
  <si>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</si>
  <si>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</si>
  <si>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</si>
  <si>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</si>
  <si>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</si>
  <si>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</si>
  <si>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</si>
  <si>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</si>
  <si>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</si>
  <si>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</si>
  <si>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</si>
  <si>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</si>
  <si>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</si>
  <si>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</si>
  <si>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</si>
  <si>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</si>
  <si>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</si>
  <si>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</si>
  <si>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</si>
  <si>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</si>
  <si>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</si>
  <si>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</si>
  <si>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</si>
  <si>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</si>
  <si>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</si>
  <si>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</si>
  <si>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</si>
  <si>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</si>
  <si>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</si>
  <si>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</si>
  <si>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</si>
  <si>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</si>
  <si>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</si>
  <si>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</si>
  <si>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</si>
  <si>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</si>
  <si>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</si>
  <si>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</si>
  <si>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</si>
  <si>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</si>
  <si>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</si>
  <si>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</si>
  <si>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</si>
  <si>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</si>
  <si>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</si>
  <si>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</si>
  <si>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</si>
  <si>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</si>
  <si>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</si>
  <si>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</si>
  <si>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</si>
  <si>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</si>
  <si>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</si>
  <si>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</si>
  <si>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</si>
  <si>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</si>
  <si>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</si>
  <si>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</si>
  <si>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</si>
  <si>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</si>
  <si>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</si>
  <si>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</si>
  <si>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</si>
  <si>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</si>
  <si>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</si>
  <si>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</si>
  <si>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</si>
  <si>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</si>
  <si>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</si>
  <si>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</si>
  <si>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</si>
  <si>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</si>
  <si>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</si>
  <si>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</si>
  <si>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</si>
  <si>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</si>
  <si>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</si>
  <si>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</si>
  <si>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</si>
  <si>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</si>
  <si>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</si>
  <si>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</si>
  <si>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</si>
  <si>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</si>
  <si>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</si>
  <si>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</si>
  <si>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</si>
  <si>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</si>
  <si>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</si>
  <si>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</si>
  <si>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</si>
  <si>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</si>
  <si>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</si>
  <si>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</si>
  <si>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</si>
  <si>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</si>
  <si>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</si>
  <si>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</si>
  <si>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</si>
  <si>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</si>
  <si>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</si>
  <si>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</si>
  <si>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</si>
  <si>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</si>
  <si>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</si>
  <si>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</si>
  <si>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</si>
  <si>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</si>
  <si>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</si>
  <si>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</si>
  <si>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</si>
  <si>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</si>
  <si>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</si>
  <si>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</si>
  <si>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</si>
  <si>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</si>
  <si>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</si>
  <si>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</si>
  <si>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</si>
  <si>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</si>
  <si>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</si>
  <si>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</si>
  <si>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</si>
  <si>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</si>
  <si>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</si>
  <si>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</si>
  <si>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</si>
  <si>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</si>
  <si>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</si>
  <si>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</si>
  <si>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</si>
  <si>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</si>
  <si>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</si>
  <si>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</si>
  <si>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</si>
  <si>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</si>
  <si>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</si>
  <si>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</si>
  <si>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</si>
  <si>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</si>
  <si>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</si>
  <si>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</si>
  <si>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</si>
  <si>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</si>
  <si>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</si>
  <si>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</si>
  <si>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</si>
  <si>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</si>
  <si>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</si>
  <si>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</si>
  <si>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</si>
  <si>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</si>
  <si>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</si>
  <si>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</si>
  <si>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</si>
  <si>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</si>
  <si>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</si>
  <si>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</si>
  <si>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</si>
  <si>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</si>
  <si>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</si>
  <si>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</si>
  <si>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</si>
  <si>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</si>
  <si>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</si>
  <si>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</si>
  <si>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</si>
  <si>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</si>
  <si>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</si>
  <si>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</si>
  <si>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</si>
  <si>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</si>
  <si>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</si>
  <si>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</si>
  <si>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</si>
  <si>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</si>
  <si>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</si>
  <si>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</si>
  <si>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</si>
  <si>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</si>
  <si>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</si>
  <si>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</si>
  <si>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</si>
  <si>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</si>
  <si>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</si>
  <si>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</si>
  <si>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</si>
  <si>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</si>
  <si>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</si>
  <si>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</si>
  <si>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</si>
  <si>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</si>
  <si>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</si>
  <si>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</si>
  <si>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</si>
  <si>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</si>
  <si>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</si>
  <si>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</si>
  <si>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</si>
  <si>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</si>
  <si>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</si>
  <si>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</si>
  <si>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</si>
  <si>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</si>
  <si>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</si>
  <si>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</si>
  <si>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</si>
  <si>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</si>
  <si>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</si>
  <si>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</si>
  <si>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</si>
  <si>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</si>
  <si>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</si>
  <si>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</si>
  <si>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</si>
  <si>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</si>
  <si>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</si>
  <si>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</si>
  <si>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</si>
  <si>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</si>
  <si>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</si>
  <si>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</si>
  <si>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</si>
  <si>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</si>
  <si>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</si>
  <si>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</si>
  <si>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</si>
  <si>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</si>
  <si>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</si>
  <si>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</si>
  <si>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</si>
  <si>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</si>
  <si>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</si>
  <si>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</si>
  <si>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</si>
  <si>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</si>
  <si>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</si>
  <si>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</si>
  <si>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</si>
  <si>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</si>
  <si>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</si>
  <si>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</si>
  <si>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</si>
  <si>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</si>
  <si>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</si>
  <si>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</si>
  <si>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</si>
  <si>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</si>
  <si>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</si>
  <si>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</si>
  <si>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</si>
  <si>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</si>
  <si>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</si>
  <si>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</si>
  <si>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</si>
  <si>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</si>
  <si>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</si>
  <si>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</si>
  <si>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</si>
  <si>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</si>
  <si>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</si>
  <si>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</si>
  <si>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</si>
  <si>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</si>
  <si>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</si>
  <si>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</si>
  <si>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</si>
  <si>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</si>
  <si>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</si>
  <si>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Azul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</si>
  <si>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</si>
  <si>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</si>
  <si>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</si>
  <si>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</si>
  <si>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</si>
  <si>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</si>
  <si>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</si>
  <si>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</si>
  <si>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</si>
  <si>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</si>
  <si>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</si>
  <si>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</si>
  <si>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</si>
  <si>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</si>
  <si>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</si>
  <si>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</si>
  <si>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</si>
  <si>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</si>
  <si>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</si>
  <si>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</si>
  <si>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</si>
  <si>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</si>
  <si>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</si>
  <si>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</si>
  <si>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</si>
  <si>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</si>
  <si>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</si>
  <si>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</si>
  <si>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</si>
  <si>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</si>
  <si>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</si>
  <si>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</si>
  <si>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</si>
  <si>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</si>
  <si>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</si>
  <si>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</si>
  <si>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</si>
  <si>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</si>
  <si>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</si>
  <si>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</si>
  <si>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</si>
  <si>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</si>
  <si>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</si>
  <si>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</si>
  <si>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</si>
  <si>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</si>
  <si>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</si>
  <si>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</si>
  <si>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</si>
  <si>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</si>
  <si>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</si>
  <si>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</si>
  <si>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</si>
  <si>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</si>
  <si>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</si>
  <si>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</si>
  <si>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Conta Escassez Hídrica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</si>
  <si>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</si>
  <si>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</si>
  <si>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</si>
  <si>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</si>
  <si>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</si>
  <si>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</si>
  <si>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</si>
  <si>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Efrain Pereira da Cruz</t>
  </si>
  <si>
    <t xml:space="preserve"> 48500.004968/2021-33</t>
  </si>
  <si>
    <t>Corresp. Presid. 046/2022 de 30/06/2022</t>
  </si>
  <si>
    <t>RGE Uni</t>
  </si>
  <si>
    <t>RESOLUÇÃO HOMOLOGATÓRIA Nº 3.045, DE 21 DE JUNHO DE 2022</t>
  </si>
  <si>
    <t>Energia suprimento permissionária</t>
  </si>
  <si>
    <t>396</t>
  </si>
  <si>
    <t>RGE SUL DISTRIBUIDORA DE ENERGIA S.A.</t>
  </si>
  <si>
    <t>CELETRO</t>
  </si>
  <si>
    <t>UHENPAL</t>
  </si>
  <si>
    <t>RESOLUÇÃO HOMOLOGATÓRIA Nº 2.900, DE 20 DE JULHO DE 2021</t>
  </si>
  <si>
    <t>5343</t>
  </si>
  <si>
    <t>Cooperativa de Eletrificação Centro Jacuí Ltda.</t>
  </si>
  <si>
    <t>400</t>
  </si>
  <si>
    <t>NOVA PALMA ENERGIA LTDA</t>
  </si>
  <si>
    <t>Fonte incentivada</t>
  </si>
  <si>
    <t>LIVRE</t>
  </si>
  <si>
    <t>processo anterior: PIS/COFINS/ICMS/DICFIC até junho parcial</t>
  </si>
  <si>
    <t>Reversão Diferimento Pis Cofins TUSD - RTA 2021</t>
  </si>
  <si>
    <t>Reversão Diferimento Pis Cofins TE - RTA 2021</t>
  </si>
  <si>
    <t>Reversão Diferimento pis/cofins - TUSD</t>
  </si>
  <si>
    <t>Reversão Diferimento pis/cofins - TE</t>
  </si>
  <si>
    <t>Reversão Diferimento Pis Cofins - RTA 2021</t>
  </si>
  <si>
    <t>Valores dos Subsídios a serem repassados pela CCEE</t>
  </si>
  <si>
    <t>NT 139/2022-SGT/ANEEL</t>
  </si>
  <si>
    <t>21 de julho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</si>
</sst>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5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9"/>
      <color indexed="81"/>
      <name val="Segoe UI"/>
      <family val="2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5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</fills>
  <borders count="2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14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29" fillId="0" borderId="0" xfId="0" applyFont="1" applyAlignment="1">
      <alignment horizontal="center" vertical="center" wrapText="1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8" xfId="0" applyFont="1" applyFill="1" applyBorder="1"/>
    <xf numFmtId="0" fontId="317" fillId="128" borderId="209" xfId="0" applyFont="1" applyFill="1" applyBorder="1"/>
    <xf numFmtId="0" fontId="317" fillId="128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32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31" borderId="144" xfId="0" applyFont="1" applyFill="1" applyBorder="1"/>
    <xf numFmtId="17" fontId="314" fillId="130" borderId="144" xfId="0" applyNumberFormat="1" applyFont="1" applyFill="1" applyBorder="1" applyAlignment="1">
      <alignment horizontal="center"/>
    </xf>
    <xf numFmtId="214" fontId="250" fillId="134" borderId="178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3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0" fontId="323" fillId="0" borderId="0" xfId="0" applyFont="1"/>
    <xf numFmtId="0" fontId="324" fillId="0" borderId="0" xfId="0" pivotButton="1" applyFont="1"/>
    <xf numFmtId="0" fontId="324" fillId="0" borderId="0" xfId="0" applyFont="1"/>
    <xf numFmtId="205" fontId="324" fillId="0" borderId="0" xfId="0" applyNumberFormat="1" applyFont="1" applyAlignment="1">
      <alignment horizontal="left"/>
    </xf>
    <xf numFmtId="168" fontId="324" fillId="0" borderId="0" xfId="0" applyNumberFormat="1" applyFont="1"/>
    <xf numFmtId="4" fontId="323" fillId="0" borderId="0" xfId="0" applyNumberFormat="1" applyFont="1"/>
    <xf numFmtId="205" fontId="323" fillId="0" borderId="0" xfId="0" applyNumberFormat="1" applyFont="1"/>
    <xf numFmtId="168" fontId="204" fillId="61" borderId="0" xfId="863" applyFont="1" applyFill="1" applyBorder="1"/>
    <xf numFmtId="168" fontId="42" fillId="41" borderId="0" xfId="863" applyFont="1" applyFill="1"/>
    <xf numFmtId="168" fontId="250" fillId="59" borderId="144" xfId="863" applyFont="1" applyFill="1" applyBorder="1" applyAlignment="1">
      <alignment horizontal="left"/>
    </xf>
    <xf numFmtId="168" fontId="204" fillId="61" borderId="0" xfId="0" applyNumberFormat="1" applyFont="1" applyFill="1"/>
    <xf numFmtId="10" fontId="204" fillId="108" borderId="178" xfId="847" applyNumberFormat="1" applyFont="1" applyFill="1" applyBorder="1"/>
    <xf numFmtId="168" fontId="204" fillId="61" borderId="0" xfId="863" applyFont="1" applyFill="1" applyBorder="1" applyAlignment="1"/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3.3588574758012461E-2</c:v>
                </c:pt>
                <c:pt idx="1">
                  <c:v>2.0805713208409071E-2</c:v>
                </c:pt>
                <c:pt idx="2">
                  <c:v>-2.3459685028532316E-2</c:v>
                </c:pt>
                <c:pt idx="3">
                  <c:v>3.3365801112305048E-2</c:v>
                </c:pt>
                <c:pt idx="4">
                  <c:v>-0.30880000000000002</c:v>
                </c:pt>
                <c:pt idx="5">
                  <c:v>0.37680000000000002</c:v>
                </c:pt>
                <c:pt idx="6">
                  <c:v>0.13229106125529899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0.50112622045392952</c:v>
                </c:pt>
                <c:pt idx="1">
                  <c:v>0.24540805108884492</c:v>
                </c:pt>
                <c:pt idx="2">
                  <c:v>0.15397496557579349</c:v>
                </c:pt>
                <c:pt idx="3">
                  <c:v>0</c:v>
                </c:pt>
                <c:pt idx="4">
                  <c:v>0</c:v>
                </c:pt>
                <c:pt idx="5">
                  <c:v>1.3584730658596752E-2</c:v>
                </c:pt>
                <c:pt idx="6">
                  <c:v>8.3552918272528323E-2</c:v>
                </c:pt>
                <c:pt idx="7">
                  <c:v>2.3531139503070128E-3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44795775.766731441</c:v>
                </c:pt>
                <c:pt idx="1">
                  <c:v>47785171.07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25502882.871836431</c:v>
                </c:pt>
                <c:pt idx="1">
                  <c:v>23401021.987261694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12818289.607688224</c:v>
                </c:pt>
                <c:pt idx="1">
                  <c:v>14682368.972575199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6477642.7304938613</c:v>
                </c:pt>
                <c:pt idx="1">
                  <c:v>9486997.3474299759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0.4171295593868351</c:v>
                </c:pt>
                <c:pt idx="1">
                  <c:v>0.20427378980079292</c:v>
                </c:pt>
                <c:pt idx="2">
                  <c:v>0.12816633200524882</c:v>
                </c:pt>
                <c:pt idx="3">
                  <c:v>8.2814541306978295E-2</c:v>
                </c:pt>
                <c:pt idx="4">
                  <c:v>0.16761577750014472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Celetro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589.56999999999994</c:v>
                </c:pt>
                <c:pt idx="3">
                  <c:v>677.96999999999991</c:v>
                </c:pt>
                <c:pt idx="4">
                  <c:v>739.78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589.56999999999994</c:v>
                </c:pt>
                <c:pt idx="3">
                  <c:v>800.34918561789118</c:v>
                </c:pt>
                <c:pt idx="4">
                  <c:v>886.02045197740108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589.56999999999994</c:v>
                </c:pt>
                <c:pt idx="3">
                  <c:v>638.78183454574798</c:v>
                </c:pt>
                <c:pt idx="4">
                  <c:v>714.71299840764925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Celetro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_(* #,##0.00_);_(* \(#,##0.00\);_(* &quot;-&quot;??_);_(@_)">
                  <c:v>0</c:v>
                </c:pt>
                <c:pt idx="7" formatCode="_(* #,##0.00_);_(* \(#,##0.00\);_(* &quot;-&quot;??_);_(@_)">
                  <c:v>589.56999999999994</c:v>
                </c:pt>
                <c:pt idx="8" formatCode="_(* #,##0.00_);_(* \(#,##0.00\);_(* &quot;-&quot;??_);_(@_)">
                  <c:v>677.96999999999991</c:v>
                </c:pt>
                <c:pt idx="9" formatCode="_(* #,##0.00_);_(* \(#,##0.00\);_(* &quot;-&quot;??_);_(@_)">
                  <c:v>739.78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589.56999999999994</c:v>
                </c:pt>
                <c:pt idx="8">
                  <c:v>800.34918561789118</c:v>
                </c:pt>
                <c:pt idx="9">
                  <c:v>886.02045197740108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589.56999999999994</c:v>
                </c:pt>
                <c:pt idx="8">
                  <c:v>638.78183454574798</c:v>
                </c:pt>
                <c:pt idx="9">
                  <c:v>714.71299840764925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 2022_Celetro.xlsx]Calc_Mercado!Tabela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5467.097999999999</c:v>
                </c:pt>
                <c:pt idx="1">
                  <c:v>5698.9160000000002</c:v>
                </c:pt>
                <c:pt idx="2">
                  <c:v>5614.2139999999972</c:v>
                </c:pt>
                <c:pt idx="3">
                  <c:v>5739.780999999999</c:v>
                </c:pt>
                <c:pt idx="4">
                  <c:v>8008.7870000000012</c:v>
                </c:pt>
                <c:pt idx="5">
                  <c:v>9453.2810000000027</c:v>
                </c:pt>
                <c:pt idx="6">
                  <c:v>11551.189000000002</c:v>
                </c:pt>
                <c:pt idx="7">
                  <c:v>10656.217000000001</c:v>
                </c:pt>
                <c:pt idx="8">
                  <c:v>9532.5510000000013</c:v>
                </c:pt>
                <c:pt idx="9">
                  <c:v>7274.5050000000001</c:v>
                </c:pt>
                <c:pt idx="10">
                  <c:v>7061.9769999999999</c:v>
                </c:pt>
                <c:pt idx="11">
                  <c:v>6412.3470000000016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5.499943402778" createdVersion="4" refreshedVersion="7" minRefreshableVersion="3" recordCount="663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666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3781" maxValue="5370"/>
    </cacheField>
    <cacheField name="Daj" numFmtId="4">
      <sharedItems containsSemiMixedTypes="0" containsString="0" containsNumber="1" minValue="-3629.76" maxValue="5155.2"/>
    </cacheField>
    <cacheField name="TUSD_E" numFmtId="4">
      <sharedItems containsSemiMixedTypes="0" containsString="0" containsNumber="1" minValue="-519.51099999999997" maxValue="6116.61"/>
    </cacheField>
    <cacheField name="TUSD_Eaj" numFmtId="4">
      <sharedItems containsSemiMixedTypes="0" containsString="0" containsNumber="1" minValue="-519.51099999999997" maxValue="6116.61"/>
    </cacheField>
    <cacheField name="TE_E" numFmtId="4">
      <sharedItems containsSemiMixedTypes="0" containsString="0" containsNumber="1" minValue="-519.51099999999997" maxValue="6116.61"/>
    </cacheField>
    <cacheField name="TE_Eaj" numFmtId="4">
      <sharedItems containsSemiMixedTypes="0" containsString="0" containsNumber="1" minValue="-519.51099999999997" maxValue="6116.61"/>
    </cacheField>
    <cacheField name="TUSD/KW" numFmtId="4">
      <sharedItems containsString="0" containsBlank="1" containsNumber="1" minValue="74.44" maxValue="151.13"/>
    </cacheField>
    <cacheField name="TUSD/MWh" numFmtId="4">
      <sharedItems containsString="0" containsBlank="1" containsNumber="1" minValue="81.2" maxValue="2641.06"/>
    </cacheField>
    <cacheField name="TE" numFmtId="4">
      <sharedItems containsString="0" containsBlank="1" containsNumber="1" minValue="138.72" maxValue="252.22"/>
    </cacheField>
    <cacheField name="ReceitaD" numFmtId="4">
      <sharedItems containsString="0" containsBlank="1" containsNumber="1" minValue="-281457.64" maxValue="399742.8"/>
    </cacheField>
    <cacheField name="ReceitaE" numFmtId="4">
      <sharedItems containsString="0" containsBlank="1" containsNumber="1" minValue="-283232.20209000004" maxValue="6063150.8285999987"/>
    </cacheField>
    <cacheField name="Total" numFmtId="4">
      <sharedItems containsString="0" containsBlank="1" containsNumber="1" minValue="-283232.20209000004" maxValue="6063150.8285999987"/>
    </cacheField>
    <cacheField name="Total com Tar de aplicação" numFmtId="4">
      <sharedItems containsString="0" containsBlank="1" containsNumber="1" minValue="-193715.26168" maxValue="4146878.0817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7673.36738782025" maxValue="378331.63633429195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02907.82685763825" maxValue="755386.53828571993"/>
    </cacheField>
    <cacheField name="DISTRIBUICAO" numFmtId="4">
      <sharedItems containsString="0" containsBlank="1" containsNumber="1" minValue="-178544.63492912779" maxValue="3101046.4641871159"/>
    </cacheField>
    <cacheField name="EnergiaRevenda" numFmtId="4">
      <sharedItems containsString="0" containsBlank="1" containsNumber="1" minValue="-72067.876185097106" maxValue="1542748.3017772422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2731.8829078247554" maxValue="58481.086717141778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669.55315206426633" maxValue="14333.043277752984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9941.7970040192358" maxValue="212822.84502420767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66871.45" maxValue="390802.87"/>
    </cacheField>
    <cacheField name="UC" numFmtId="4">
      <sharedItems containsSemiMixedTypes="0" containsString="0" containsNumber="1" containsInteger="1" minValue="0" maxValue="12170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302.64545999999996" maxValue="27252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3164.8859945999948" maxValue="3800.1574439999977"/>
    </cacheField>
    <cacheField name="Subs_Rural" numFmtId="4">
      <sharedItems containsString="0" containsBlank="1" containsNumber="1" minValue="-6869.3207999999904" maxValue="497586.22349999973"/>
    </cacheField>
    <cacheField name="Subs_Irrigante" numFmtId="4">
      <sharedItems containsString="0" containsBlank="1" containsNumber="1" minValue="-5514.2162399999997" maxValue="122118.02915000002"/>
    </cacheField>
    <cacheField name="Subs_BaixaRenda" numFmtId="4">
      <sharedItems containsString="0" containsBlank="1" containsNumber="1" minValue="-7.3019999999999987" maxValue="9964.4860800000006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82009.673189116336" maxValue="1755571.1468014498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93714.88879999999" maxValue="3649291.8581999997"/>
    </cacheField>
    <cacheField name="FinAj" numFmtId="4">
      <sharedItems containsSemiMixedTypes="0" containsString="0" containsNumber="1" minValue="-1686288.2408999996" maxValue="105335.60519999996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916272.7468999997" maxValue="109724.61999999998"/>
    </cacheField>
    <cacheField name="FinPostTE" numFmtId="4">
      <sharedItems containsSemiMixedTypes="0" containsString="0" containsNumber="1" containsInteger="1" minValue="0" maxValue="0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4876.800064067356" maxValue="694.95418261797749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941.4099241929362" maxValue="264.48217728651071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2.1628360264003277E-4" maxValue="1.0102929081767797E-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2.9836228350177407E-5" maxValue="1.3937442417955026E-6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1000.782675248978" maxValue="513.89007712126113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469.1685330382606" maxValue="68.630674110658674"/>
    </cacheField>
    <cacheField name="finCT_TFSEE" numFmtId="4">
      <sharedItems containsString="0" containsBlank="1" containsNumber="1" minValue="-465.43868546666818" maxValue="21.742482242454457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78544.63492912779" maxValue="253579.65870653695"/>
    </cacheField>
    <cacheField name="DIST_E" numFmtId="4">
      <sharedItems containsString="0" containsBlank="1" containsNumber="1" minValue="-144862.1478745534" maxValue="3101046.4641871159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916272.7468999992" maxValue="109724.62"/>
    </cacheField>
    <cacheField name="Fin_TE" numFmtId="4">
      <sharedItems containsString="0" containsBlank="1" containsNumber="1" containsInteger="1" minValue="0" maxValue="0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901391.5120374016" maxValue="109473.77193300136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65" maxValue="265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3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92.53399999999999"/>
    <n v="992.53399999999999"/>
    <n v="992.53399999999999"/>
    <n v="992.53399999999999"/>
    <m/>
    <n v="739.04"/>
    <n v="252.22"/>
    <m/>
    <n v="983859.25283999997"/>
    <n v="983859.25283999997"/>
    <n v="672908.27598000003"/>
    <n v="0"/>
    <n v="61391.360956055752"/>
    <n v="0"/>
    <n v="0"/>
    <n v="0"/>
    <n v="122575.5479572637"/>
    <n v="503202.59936230938"/>
    <n v="250339.67229497602"/>
    <n v="0"/>
    <n v="0"/>
    <n v="0"/>
    <n v="0"/>
    <n v="0"/>
    <n v="9489.6465401115311"/>
    <m/>
    <n v="2325.8034722895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34.474106287133"/>
    <n v="0"/>
    <n v="0"/>
    <n v="0"/>
    <n v="267996.7"/>
    <n v="8255"/>
    <m/>
    <m/>
    <m/>
    <m/>
    <m/>
    <m/>
    <m/>
    <m/>
    <m/>
    <n v="284874.14640126313"/>
    <m/>
    <m/>
    <m/>
    <m/>
    <m/>
    <m/>
    <m/>
    <m/>
    <m/>
    <m/>
    <m/>
    <m/>
    <n v="672905.56409999996"/>
    <n v="-310953.71874000004"/>
    <m/>
    <m/>
    <m/>
    <m/>
    <n v="-310950.97685999994"/>
    <n v="0"/>
    <n v="31"/>
    <n v="-2414.0381477301707"/>
    <n v="0"/>
    <n v="0"/>
    <n v="0"/>
    <n v="0"/>
    <n v="0"/>
    <n v="0"/>
    <n v="0"/>
    <n v="-315.02995248984371"/>
    <n v="0"/>
    <n v="0"/>
    <n v="-3.5096018109470606E-5"/>
    <n v="0"/>
    <n v="0"/>
    <n v="0"/>
    <n v="-4.8414804041385651E-6"/>
    <n v="0"/>
    <n v="-1785.0820686287989"/>
    <m/>
    <n v="0"/>
    <n v="0"/>
    <n v="0"/>
    <n v="0"/>
    <n v="-238.39998312310126"/>
    <n v="-75.526103550982498"/>
    <n v="0"/>
    <n v="0"/>
    <m/>
    <m/>
    <m/>
    <n v="503202.59936230938"/>
    <n v="0"/>
    <n v="0"/>
    <n v="-310950.97686"/>
    <n v="0"/>
    <n v="0"/>
    <n v="0"/>
    <n v="-308536.2190835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377"/>
    <n v="-0.377"/>
    <n v="-0.377"/>
    <n v="-0.377"/>
    <m/>
    <n v="739.04"/>
    <n v="252.22"/>
    <m/>
    <n v="-373.70501999999999"/>
    <n v="-373.70501999999999"/>
    <n v="-255.59468999999999"/>
    <n v="0"/>
    <n v="-23.3186400470241"/>
    <n v="0"/>
    <n v="0"/>
    <n v="0"/>
    <n v="-46.558587997880593"/>
    <n v="-191.13438931018044"/>
    <n v="-95.087983338813544"/>
    <n v="0"/>
    <n v="0"/>
    <n v="0"/>
    <n v="0"/>
    <n v="0"/>
    <n v="-3.6045080023677252"/>
    <m/>
    <n v="-0.8834235492720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117431481511213"/>
    <n v="0"/>
    <n v="0"/>
    <n v="0"/>
    <n v="-111.62"/>
    <n v="0"/>
    <m/>
    <m/>
    <m/>
    <m/>
    <m/>
    <m/>
    <m/>
    <m/>
    <m/>
    <n v="-108.20541482032476"/>
    <m/>
    <m/>
    <m/>
    <m/>
    <m/>
    <m/>
    <m/>
    <m/>
    <m/>
    <m/>
    <m/>
    <m/>
    <n v="-257.62860000000001"/>
    <n v="116.04642000000001"/>
    <m/>
    <m/>
    <m/>
    <m/>
    <n v="118.11032999999999"/>
    <n v="0"/>
    <n v="31"/>
    <n v="0.91693824261363943"/>
    <n v="0"/>
    <n v="0"/>
    <n v="0"/>
    <n v="0"/>
    <n v="0"/>
    <n v="0"/>
    <n v="0"/>
    <n v="0.11965967119380139"/>
    <n v="0"/>
    <n v="0"/>
    <n v="1.3330719639270683E-8"/>
    <n v="0"/>
    <n v="0"/>
    <n v="0"/>
    <n v="1.8389698652754305E-9"/>
    <n v="0"/>
    <n v="0.67803817287171597"/>
    <m/>
    <n v="0"/>
    <n v="0"/>
    <n v="0"/>
    <n v="0"/>
    <n v="9.0552861299874277E-2"/>
    <n v="2.8687522078558736E-2"/>
    <n v="0"/>
    <n v="0"/>
    <m/>
    <m/>
    <m/>
    <n v="-191.13438931018044"/>
    <n v="0"/>
    <n v="0"/>
    <n v="118.11032999999998"/>
    <n v="0"/>
    <n v="0"/>
    <n v="0"/>
    <n v="117.19311841659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4.189"/>
    <n v="44.189"/>
    <n v="44.189"/>
    <n v="44.189"/>
    <m/>
    <n v="739.04"/>
    <n v="252.22"/>
    <m/>
    <n v="43802.788139999997"/>
    <n v="43802.788139999997"/>
    <n v="29958.816330000001"/>
    <n v="0"/>
    <n v="2733.2291380316919"/>
    <n v="0"/>
    <n v="0"/>
    <n v="0"/>
    <n v="5457.234602223728"/>
    <n v="22403.282570895393"/>
    <n v="11145.471872039341"/>
    <n v="0"/>
    <n v="0"/>
    <n v="0"/>
    <n v="0"/>
    <n v="0"/>
    <n v="422.49231861174377"/>
    <m/>
    <n v="103.54801914796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7.5230231737373"/>
    <n v="0"/>
    <n v="0"/>
    <n v="0"/>
    <n v="26857.43"/>
    <n v="453"/>
    <m/>
    <m/>
    <m/>
    <m/>
    <m/>
    <m/>
    <m/>
    <m/>
    <m/>
    <n v="12682.994895213078"/>
    <m/>
    <m/>
    <m/>
    <m/>
    <m/>
    <m/>
    <m/>
    <m/>
    <m/>
    <m/>
    <m/>
    <m/>
    <n v="29959.494299999998"/>
    <n v="-13843.323839999997"/>
    <m/>
    <m/>
    <m/>
    <m/>
    <n v="-13843.971809999999"/>
    <n v="0"/>
    <n v="31"/>
    <n v="-107.47635014019761"/>
    <n v="0"/>
    <n v="0"/>
    <n v="0"/>
    <n v="0"/>
    <n v="0"/>
    <n v="0"/>
    <n v="0"/>
    <n v="-14.025573502342013"/>
    <n v="0"/>
    <n v="0"/>
    <n v="-1.562522811582312E-6"/>
    <n v="0"/>
    <n v="0"/>
    <n v="0"/>
    <n v="-2.1554978957283311E-7"/>
    <n v="0"/>
    <n v="-79.474347005379968"/>
    <m/>
    <n v="0"/>
    <n v="0"/>
    <n v="0"/>
    <n v="0"/>
    <n v="-10.613900233369066"/>
    <n v="-3.3625276210329957"/>
    <n v="0"/>
    <n v="0"/>
    <m/>
    <m/>
    <m/>
    <n v="22403.282570895393"/>
    <n v="0"/>
    <n v="0"/>
    <n v="-13843.971809999999"/>
    <n v="0"/>
    <n v="0"/>
    <n v="0"/>
    <n v="-13736.463420983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8.0399999999999991"/>
    <n v="8.0399999999999991"/>
    <n v="8.0399999999999991"/>
    <n v="8.0399999999999991"/>
    <m/>
    <n v="667.62"/>
    <n v="252.22"/>
    <m/>
    <n v="7395.5135999999993"/>
    <n v="7395.5135999999993"/>
    <n v="4893.0635999999995"/>
    <n v="0"/>
    <n v="0"/>
    <n v="0"/>
    <n v="0"/>
    <n v="0"/>
    <n v="992.92055040572927"/>
    <n v="4076.1816712303726"/>
    <n v="2027.8710505147501"/>
    <n v="0"/>
    <n v="0"/>
    <n v="0"/>
    <n v="0"/>
    <n v="0"/>
    <n v="0"/>
    <m/>
    <n v="18.840120255032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7457536110083"/>
    <n v="0"/>
    <n v="0"/>
    <n v="0"/>
    <n v="550.75"/>
    <n v="28"/>
    <m/>
    <m/>
    <m/>
    <m/>
    <m/>
    <m/>
    <m/>
    <n v="3180.4631999999992"/>
    <m/>
    <n v="2307.6168041257583"/>
    <m/>
    <m/>
    <m/>
    <m/>
    <m/>
    <m/>
    <m/>
    <m/>
    <m/>
    <m/>
    <m/>
    <m/>
    <n v="1712.6003999999998"/>
    <n v="-875.9076"/>
    <m/>
    <m/>
    <m/>
    <m/>
    <n v="-2502.4499999999998"/>
    <n v="0"/>
    <n v="31"/>
    <n v="-3.1636911296400285"/>
    <n v="0"/>
    <n v="0"/>
    <n v="0"/>
    <n v="0"/>
    <n v="0"/>
    <n v="0"/>
    <n v="0"/>
    <n v="-2.5518932530455913"/>
    <n v="0"/>
    <n v="0"/>
    <n v="-2.8429440135369077E-7"/>
    <n v="0"/>
    <n v="0"/>
    <n v="0"/>
    <n v="-3.9218321035150439E-8"/>
    <n v="0"/>
    <n v="0"/>
    <m/>
    <n v="0"/>
    <n v="0"/>
    <n v="0"/>
    <n v="0"/>
    <n v="0"/>
    <n v="-0.61179755308119965"/>
    <n v="0"/>
    <n v="0"/>
    <m/>
    <m/>
    <m/>
    <n v="4076.1816712303726"/>
    <n v="0"/>
    <n v="0"/>
    <n v="-2502.4499999999998"/>
    <n v="0"/>
    <n v="0"/>
    <n v="0"/>
    <n v="-2499.2909073458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"/>
    <s v="Sistema de Compensação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09"/>
    <n v="-8.5500000000000007E-2"/>
    <n v="0.09"/>
    <n v="-8.5500000000000007E-2"/>
    <m/>
    <n v="667.62"/>
    <n v="252.22"/>
    <m/>
    <n v="82.785600000000002"/>
    <n v="82.785600000000002"/>
    <n v="54.773099999999999"/>
    <n v="0"/>
    <n v="0"/>
    <n v="0"/>
    <n v="0"/>
    <n v="0"/>
    <n v="11.114782280661149"/>
    <n v="45.628899304817608"/>
    <n v="22.700049072926308"/>
    <n v="0"/>
    <n v="0"/>
    <n v="0"/>
    <n v="0"/>
    <n v="0"/>
    <n v="0"/>
    <m/>
    <n v="0.21089686852648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314823165411383"/>
    <n v="0"/>
    <n v="0"/>
    <n v="0"/>
    <n v="7.05"/>
    <n v="0"/>
    <m/>
    <m/>
    <m/>
    <m/>
    <m/>
    <m/>
    <m/>
    <n v="72.985454999999988"/>
    <m/>
    <n v="25.831531389467447"/>
    <m/>
    <m/>
    <m/>
    <m/>
    <m/>
    <m/>
    <m/>
    <m/>
    <m/>
    <m/>
    <m/>
    <m/>
    <n v="-19.1709"/>
    <n v="8.3258249999999983"/>
    <m/>
    <m/>
    <m/>
    <m/>
    <n v="-28.012499999999999"/>
    <n v="0"/>
    <n v="31"/>
    <n v="-3.541445294372636E-2"/>
    <n v="0"/>
    <n v="0"/>
    <n v="0"/>
    <n v="0"/>
    <n v="0"/>
    <n v="0"/>
    <n v="0"/>
    <n v="-2.8565969250509582E-2"/>
    <n v="0"/>
    <n v="0"/>
    <n v="-3.1824001212044095E-9"/>
    <n v="0"/>
    <n v="0"/>
    <n v="0"/>
    <n v="-4.39011493824637E-10"/>
    <n v="0"/>
    <n v="0"/>
    <m/>
    <n v="0"/>
    <n v="0"/>
    <n v="0"/>
    <n v="0"/>
    <n v="0"/>
    <n v="-6.8484800718044692E-3"/>
    <n v="0"/>
    <n v="0"/>
    <m/>
    <m/>
    <m/>
    <n v="45.628899304817608"/>
    <n v="0"/>
    <n v="0"/>
    <n v="-28.012500000000003"/>
    <n v="0"/>
    <n v="0"/>
    <n v="0"/>
    <n v="-27.977137022528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3.337999999999999"/>
    <n v="13.337999999999999"/>
    <n v="13.337999999999999"/>
    <n v="13.337999999999999"/>
    <m/>
    <n v="667.62"/>
    <n v="252.22"/>
    <m/>
    <n v="12268.825919999999"/>
    <n v="12268.825919999999"/>
    <n v="8117.3734199999999"/>
    <n v="0"/>
    <n v="0"/>
    <n v="0"/>
    <n v="0"/>
    <n v="0"/>
    <n v="1647.2107339939823"/>
    <n v="6762.2028769739691"/>
    <n v="3364.147272607679"/>
    <n v="0"/>
    <n v="0"/>
    <n v="0"/>
    <n v="0"/>
    <n v="0"/>
    <n v="0"/>
    <m/>
    <n v="31.254915915624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4.08567931139669"/>
    <n v="0"/>
    <n v="0"/>
    <n v="0"/>
    <n v="1885.8"/>
    <n v="110"/>
    <m/>
    <m/>
    <m/>
    <m/>
    <m/>
    <m/>
    <m/>
    <n v="3247.00272"/>
    <m/>
    <n v="3828.2329519190757"/>
    <m/>
    <m/>
    <m/>
    <m/>
    <m/>
    <m/>
    <m/>
    <m/>
    <m/>
    <m/>
    <m/>
    <m/>
    <n v="4871.1010000000006"/>
    <n v="-2490.1711999999998"/>
    <m/>
    <m/>
    <m/>
    <m/>
    <n v="-4151.4524999999994"/>
    <n v="0"/>
    <n v="31"/>
    <n v="-5.2484219262614715"/>
    <n v="0"/>
    <n v="0"/>
    <n v="0"/>
    <n v="0"/>
    <n v="0"/>
    <n v="0"/>
    <n v="0"/>
    <n v="-4.2334766429257797"/>
    <n v="0"/>
    <n v="0"/>
    <n v="-4.7163212002487853E-7"/>
    <n v="0"/>
    <n v="0"/>
    <n v="0"/>
    <n v="-6.5061499299190473E-8"/>
    <n v="0"/>
    <n v="0"/>
    <m/>
    <n v="0"/>
    <n v="0"/>
    <n v="0"/>
    <n v="0"/>
    <n v="0"/>
    <n v="-1.0149447466414259"/>
    <n v="0"/>
    <n v="0"/>
    <m/>
    <m/>
    <m/>
    <n v="6762.2028769739691"/>
    <n v="0"/>
    <n v="0"/>
    <n v="-4151.4524999999985"/>
    <n v="0"/>
    <n v="0"/>
    <n v="0"/>
    <n v="-4146.2117067386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7"/>
    <s v="Sistema de Compensação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999999999999997E-2"/>
    <n v="-8.6E-3"/>
    <n v="4.2999999999999997E-2"/>
    <n v="-8.6E-3"/>
    <m/>
    <n v="667.62"/>
    <n v="252.22"/>
    <m/>
    <n v="39.553119999999993"/>
    <n v="39.553119999999993"/>
    <n v="26.169370000000001"/>
    <n v="0"/>
    <n v="0"/>
    <n v="0"/>
    <n v="0"/>
    <n v="0"/>
    <n v="5.3103959785381045"/>
    <n v="21.800474112301746"/>
    <n v="10.845579001509236"/>
    <n v="0"/>
    <n v="0"/>
    <n v="0"/>
    <n v="0"/>
    <n v="0"/>
    <n v="0"/>
    <m/>
    <n v="0.100761837184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961526623474326"/>
    <n v="0"/>
    <n v="0"/>
    <n v="0"/>
    <n v="16.399999999999999"/>
    <n v="0"/>
    <m/>
    <m/>
    <m/>
    <m/>
    <m/>
    <m/>
    <m/>
    <n v="29.309659999999997"/>
    <m/>
    <n v="12.341731663856669"/>
    <m/>
    <m/>
    <m/>
    <m/>
    <m/>
    <m/>
    <m/>
    <m/>
    <m/>
    <m/>
    <m/>
    <m/>
    <n v="-3.6515"/>
    <n v="1.0648400000000007"/>
    <m/>
    <m/>
    <m/>
    <m/>
    <n v="-13.383749999999999"/>
    <n v="0"/>
    <n v="31"/>
    <n v="-1.6920238628671314E-2"/>
    <n v="0"/>
    <n v="0"/>
    <n v="0"/>
    <n v="0"/>
    <n v="0"/>
    <n v="0"/>
    <n v="0"/>
    <n v="-1.3648185308577254E-2"/>
    <n v="0"/>
    <n v="0"/>
    <n v="-1.520479742112002E-9"/>
    <n v="0"/>
    <n v="0"/>
    <n v="0"/>
    <n v="-2.097497731057274E-10"/>
    <n v="0"/>
    <n v="0"/>
    <m/>
    <n v="0"/>
    <n v="0"/>
    <n v="0"/>
    <n v="0"/>
    <n v="0"/>
    <n v="-3.2720515898621433E-3"/>
    <n v="0"/>
    <n v="0"/>
    <m/>
    <m/>
    <m/>
    <n v="21.800474112301746"/>
    <n v="0"/>
    <n v="0"/>
    <n v="-13.383749999999997"/>
    <n v="0"/>
    <n v="0"/>
    <n v="0"/>
    <n v="-13.366854355207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8.3789999999999996"/>
    <n v="8.3789999999999996"/>
    <n v="8.3789999999999996"/>
    <n v="8.3789999999999996"/>
    <m/>
    <n v="667.62"/>
    <n v="252.22"/>
    <m/>
    <n v="7707.3393599999999"/>
    <n v="7707.3393599999999"/>
    <n v="5099.3756100000001"/>
    <n v="0"/>
    <n v="0"/>
    <n v="0"/>
    <n v="0"/>
    <n v="0"/>
    <n v="1034.7862303295531"/>
    <n v="4248.0505252785197"/>
    <n v="2113.3745686894395"/>
    <n v="0"/>
    <n v="0"/>
    <n v="0"/>
    <n v="0"/>
    <n v="0"/>
    <n v="0"/>
    <m/>
    <n v="19.634498459815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54100366997994"/>
    <n v="0"/>
    <n v="0"/>
    <n v="0"/>
    <n v="2035.39"/>
    <n v="106"/>
    <m/>
    <m/>
    <m/>
    <m/>
    <m/>
    <m/>
    <m/>
    <n v="509.86214999999993"/>
    <m/>
    <n v="2404.9155723594195"/>
    <m/>
    <m/>
    <m/>
    <m/>
    <m/>
    <m/>
    <m/>
    <m/>
    <m/>
    <m/>
    <m/>
    <m/>
    <n v="4590.0612000000001"/>
    <n v="-2346.6077399999995"/>
    <m/>
    <m/>
    <m/>
    <m/>
    <n v="-2607.9637499999999"/>
    <n v="0"/>
    <n v="31"/>
    <n v="-3.2970855690614371"/>
    <n v="0"/>
    <n v="0"/>
    <n v="0"/>
    <n v="0"/>
    <n v="0"/>
    <n v="0"/>
    <n v="0"/>
    <n v="-2.6594917372226519"/>
    <n v="0"/>
    <n v="0"/>
    <n v="-2.9628154152305797E-7"/>
    <n v="0"/>
    <n v="0"/>
    <n v="0"/>
    <n v="-4.0871952933230205E-8"/>
    <n v="0"/>
    <n v="0"/>
    <m/>
    <n v="0"/>
    <n v="0"/>
    <n v="0"/>
    <n v="0"/>
    <n v="0"/>
    <n v="-0.63759349468499948"/>
    <n v="0"/>
    <n v="0"/>
    <m/>
    <m/>
    <m/>
    <n v="4248.0505252785197"/>
    <n v="0"/>
    <n v="0"/>
    <n v="-2607.9637499999999"/>
    <n v="0"/>
    <n v="0"/>
    <n v="0"/>
    <n v="-2604.67145679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"/>
    <s v="Sistema de Compensação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.7299999999999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22"/>
    <n v="1.22"/>
    <n v="1.22"/>
    <n v="1.22"/>
    <m/>
    <n v="667.62"/>
    <n v="252.22"/>
    <m/>
    <n v="1122.2048"/>
    <n v="1122.2048"/>
    <n v="742.47979999999995"/>
    <n v="0"/>
    <n v="0"/>
    <n v="0"/>
    <n v="0"/>
    <n v="0"/>
    <n v="150.66704869340668"/>
    <n v="618.52507946530534"/>
    <n v="307.71177632189"/>
    <n v="0"/>
    <n v="0"/>
    <n v="0"/>
    <n v="0"/>
    <n v="0"/>
    <n v="0"/>
    <m/>
    <n v="2.8588242178034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448982513113208"/>
    <n v="0"/>
    <n v="0"/>
    <n v="0"/>
    <n v="443.64"/>
    <n v="24"/>
    <m/>
    <m/>
    <m/>
    <m/>
    <m/>
    <m/>
    <m/>
    <m/>
    <m/>
    <n v="350.16075883500321"/>
    <m/>
    <m/>
    <m/>
    <m/>
    <m/>
    <m/>
    <m/>
    <m/>
    <m/>
    <m/>
    <m/>
    <m/>
    <n v="742.47979999999995"/>
    <n v="-379.755"/>
    <m/>
    <m/>
    <m/>
    <m/>
    <n v="-379.72499999999997"/>
    <n v="0"/>
    <n v="31"/>
    <n v="-0.48006258434833171"/>
    <n v="0"/>
    <n v="0"/>
    <n v="0"/>
    <n v="0"/>
    <n v="0"/>
    <n v="0"/>
    <n v="0"/>
    <n v="-0.3872275831735692"/>
    <n v="0"/>
    <n v="0"/>
    <n v="-4.3139266381331254E-8"/>
    <n v="0"/>
    <n v="0"/>
    <n v="0"/>
    <n v="-5.9510441019483551E-9"/>
    <n v="0"/>
    <n v="0"/>
    <m/>
    <n v="0"/>
    <n v="0"/>
    <n v="0"/>
    <n v="0"/>
    <n v="0"/>
    <n v="-9.2834952084460909E-2"/>
    <n v="0"/>
    <n v="0"/>
    <m/>
    <m/>
    <m/>
    <n v="618.52507946530534"/>
    <n v="0"/>
    <n v="0"/>
    <n v="-379.72500000000002"/>
    <n v="0"/>
    <n v="0"/>
    <n v="0"/>
    <n v="-379.24563519427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"/>
    <s v="Sistema de Compensação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2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2"/>
    <s v="Regular"/>
    <s v="Convencional"/>
    <s v="A4"/>
    <s v="Industrial"/>
    <s v="Não se aplica"/>
    <s v="Não se aplica"/>
    <s v="Não se aplica"/>
    <s v="Não se aplica"/>
    <s v="CATIVO"/>
    <x v="0"/>
    <n v="846"/>
    <n v="846"/>
    <n v="89.146000000000001"/>
    <n v="89.146000000000001"/>
    <n v="89.146000000000001"/>
    <n v="89.146000000000001"/>
    <n v="151.13"/>
    <n v="81.2"/>
    <n v="252.22"/>
    <n v="127855.98"/>
    <n v="29723.05932"/>
    <n v="157579.03931999998"/>
    <n v="103115.16483999998"/>
    <n v="0"/>
    <n v="4797.1465053046386"/>
    <n v="0"/>
    <n v="0"/>
    <n v="0"/>
    <n v="39475.860558147491"/>
    <n v="88377.484479305436"/>
    <n v="22484.650829500988"/>
    <n v="0"/>
    <n v="0"/>
    <n v="0"/>
    <n v="0"/>
    <n v="0"/>
    <n v="852.32750763679894"/>
    <m/>
    <n v="214.47690854596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4.8846080726867"/>
    <n v="0"/>
    <n v="0"/>
    <n v="0"/>
    <n v="20049.32"/>
    <n v="3"/>
    <m/>
    <m/>
    <m/>
    <m/>
    <m/>
    <m/>
    <m/>
    <m/>
    <m/>
    <n v="23859.535437573675"/>
    <m/>
    <m/>
    <m/>
    <m/>
    <m/>
    <m/>
    <m/>
    <m/>
    <m/>
    <m/>
    <m/>
    <m/>
    <n v="103116.49099999999"/>
    <n v="-54462.578320000015"/>
    <m/>
    <m/>
    <m/>
    <m/>
    <n v="-54463.874479999991"/>
    <n v="0"/>
    <n v="31"/>
    <n v="-269.32050140763749"/>
    <n v="0"/>
    <n v="0"/>
    <n v="0"/>
    <n v="0"/>
    <n v="0"/>
    <n v="0"/>
    <n v="0"/>
    <n v="-101.45643795507931"/>
    <n v="0"/>
    <n v="0"/>
    <n v="-3.1522031349595636E-6"/>
    <n v="0"/>
    <n v="0"/>
    <n v="0"/>
    <n v="-1.9275148588349111E-7"/>
    <n v="0"/>
    <n v="-139.48705605881969"/>
    <m/>
    <n v="0"/>
    <n v="0"/>
    <n v="0"/>
    <n v="0"/>
    <n v="-21.412268895062539"/>
    <n v="-6.9647351537367115"/>
    <n v="0"/>
    <n v="0"/>
    <m/>
    <m/>
    <n v="88377.484479305436"/>
    <n v="0"/>
    <n v="0"/>
    <n v="0"/>
    <n v="-54463.874479999999"/>
    <n v="0"/>
    <n v="0"/>
    <n v="0"/>
    <n v="-54188.22348675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"/>
    <s v="Regular"/>
    <s v="Convencional"/>
    <s v="B3"/>
    <s v="Industrial"/>
    <s v="Não se aplica"/>
    <s v="Não se aplica"/>
    <s v="Não se aplica"/>
    <s v="Não se aplica"/>
    <s v="CATIVO"/>
    <x v="0"/>
    <n v="0"/>
    <n v="0"/>
    <n v="32.374000000000002"/>
    <n v="32.374000000000002"/>
    <n v="32.374000000000002"/>
    <n v="32.374000000000002"/>
    <m/>
    <n v="739.04"/>
    <n v="252.22"/>
    <m/>
    <n v="32091.051240000001"/>
    <n v="32091.051240000001"/>
    <n v="21948.600780000001"/>
    <n v="0"/>
    <n v="2002.4340925261492"/>
    <n v="0"/>
    <n v="0"/>
    <n v="0"/>
    <n v="3998.1106839347121"/>
    <n v="16413.222067712948"/>
    <n v="8165.4598742990711"/>
    <n v="0"/>
    <n v="0"/>
    <n v="0"/>
    <n v="0"/>
    <n v="0"/>
    <n v="309.52875880279242"/>
    <m/>
    <n v="75.861946907514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6.4289835078091"/>
    <n v="0"/>
    <n v="0"/>
    <n v="0"/>
    <n v="4594.46"/>
    <n v="16"/>
    <m/>
    <m/>
    <m/>
    <m/>
    <m/>
    <m/>
    <m/>
    <m/>
    <m/>
    <n v="9291.88885780688"/>
    <m/>
    <m/>
    <m/>
    <m/>
    <m/>
    <m/>
    <m/>
    <m/>
    <m/>
    <m/>
    <m/>
    <m/>
    <n v="21945.888899999998"/>
    <n v="-10145.192339999998"/>
    <m/>
    <m/>
    <m/>
    <m/>
    <n v="-10142.45046"/>
    <n v="0"/>
    <n v="31"/>
    <n v="-78.73994341213438"/>
    <n v="0"/>
    <n v="0"/>
    <n v="0"/>
    <n v="0"/>
    <n v="0"/>
    <n v="0"/>
    <n v="0"/>
    <n v="-10.275496539066808"/>
    <n v="0"/>
    <n v="0"/>
    <n v="-1.1447446013335139E-6"/>
    <n v="0"/>
    <n v="0"/>
    <n v="0"/>
    <n v="-1.5791738405823708E-7"/>
    <n v="0"/>
    <n v="-58.224954399334138"/>
    <m/>
    <n v="0"/>
    <n v="0"/>
    <n v="0"/>
    <n v="0"/>
    <n v="-7.7760167950189043"/>
    <n v="-2.4634743760510958"/>
    <n v="0"/>
    <n v="0"/>
    <m/>
    <m/>
    <m/>
    <n v="16413.222067712948"/>
    <n v="0"/>
    <n v="0"/>
    <n v="-10142.45046"/>
    <n v="0"/>
    <n v="0"/>
    <n v="0"/>
    <n v="-10063.687044081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6.8"/>
    <n v="6.8"/>
    <n v="6.8"/>
    <n v="6.8"/>
    <m/>
    <n v="739.04"/>
    <n v="252.22"/>
    <m/>
    <n v="6740.5679999999993"/>
    <n v="6740.5679999999993"/>
    <n v="4610.1959999999999"/>
    <n v="0"/>
    <n v="420.6014650391615"/>
    <n v="0"/>
    <n v="0"/>
    <n v="0"/>
    <n v="839.78355009439792"/>
    <n v="3447.5168363639973"/>
    <n v="1715.1148188433212"/>
    <n v="0"/>
    <n v="0"/>
    <n v="0"/>
    <n v="0"/>
    <n v="0"/>
    <n v="65.014998451195041"/>
    <m/>
    <n v="15.93443006644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60088613866378"/>
    <n v="0"/>
    <n v="0"/>
    <n v="0"/>
    <n v="1750.62"/>
    <n v="12"/>
    <m/>
    <m/>
    <m/>
    <m/>
    <m/>
    <m/>
    <m/>
    <m/>
    <m/>
    <n v="1951.715704981985"/>
    <m/>
    <m/>
    <m/>
    <m/>
    <m/>
    <m/>
    <m/>
    <m/>
    <m/>
    <m/>
    <m/>
    <m/>
    <n v="4610.1959999999999"/>
    <n v="-2130.402"/>
    <m/>
    <m/>
    <m/>
    <m/>
    <n v="-2130.3719999999998"/>
    <n v="0"/>
    <n v="31"/>
    <n v="-16.538939124066928"/>
    <n v="0"/>
    <n v="0"/>
    <n v="0"/>
    <n v="0"/>
    <n v="0"/>
    <n v="0"/>
    <n v="0"/>
    <n v="-2.1583176767052237"/>
    <n v="0"/>
    <n v="0"/>
    <n v="-2.4044811652856879E-7"/>
    <n v="0"/>
    <n v="0"/>
    <n v="0"/>
    <n v="-3.316975494271901E-8"/>
    <n v="0"/>
    <n v="-12.229866248084022"/>
    <m/>
    <n v="0"/>
    <n v="0"/>
    <n v="0"/>
    <n v="0"/>
    <n v="-1.6333142091224033"/>
    <n v="-0.51744071653633839"/>
    <n v="0"/>
    <n v="0"/>
    <m/>
    <m/>
    <m/>
    <n v="3447.5168363639973"/>
    <n v="0"/>
    <n v="0"/>
    <n v="-2130.3719999999998"/>
    <n v="0"/>
    <n v="0"/>
    <n v="0"/>
    <n v="-2113.8281305910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Ponta"/>
    <s v="CATIVO"/>
    <x v="0"/>
    <n v="0"/>
    <n v="0"/>
    <n v="19.803999999999998"/>
    <n v="19.803999999999998"/>
    <n v="19.803999999999998"/>
    <n v="19.803999999999998"/>
    <m/>
    <n v="2641.06"/>
    <n v="252.22"/>
    <m/>
    <n v="57298.517119999997"/>
    <n v="57298.517119999997"/>
    <n v="34010.201359999992"/>
    <n v="0"/>
    <n v="1065.6977249798429"/>
    <n v="0"/>
    <n v="0"/>
    <n v="0"/>
    <n v="12828.377480639048"/>
    <n v="37867.037107227552"/>
    <n v="4995.0196871136959"/>
    <n v="0"/>
    <n v="0"/>
    <n v="0"/>
    <n v="0"/>
    <n v="0"/>
    <n v="189.34662195992155"/>
    <m/>
    <n v="47.646565149801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.43394855934628"/>
    <n v="0"/>
    <n v="0"/>
    <n v="0"/>
    <n v="0"/>
    <n v="0"/>
    <m/>
    <m/>
    <m/>
    <m/>
    <m/>
    <m/>
    <m/>
    <m/>
    <m/>
    <n v="5300.4536356730423"/>
    <m/>
    <m/>
    <m/>
    <m/>
    <m/>
    <m/>
    <m/>
    <m/>
    <m/>
    <m/>
    <m/>
    <m/>
    <n v="34003.332000000002"/>
    <n v="-23295.215120000001"/>
    <m/>
    <m/>
    <m/>
    <m/>
    <n v="-23288.315759999998"/>
    <n v="0"/>
    <n v="31"/>
    <n v="-70.261468434480776"/>
    <n v="0"/>
    <n v="0"/>
    <n v="0"/>
    <n v="0"/>
    <n v="0"/>
    <n v="0"/>
    <n v="0"/>
    <n v="-32.970059816996582"/>
    <n v="0"/>
    <n v="0"/>
    <n v="-7.0026999310357496E-7"/>
    <n v="0"/>
    <n v="0"/>
    <n v="0"/>
    <n v="-4.2820204271265538E-8"/>
    <n v="0"/>
    <n v="-30.987387635888126"/>
    <m/>
    <n v="0"/>
    <n v="0"/>
    <n v="0"/>
    <n v="0"/>
    <n v="-4.7567874408029525"/>
    <n v="-1.5472327977093911"/>
    <n v="0"/>
    <n v="0"/>
    <m/>
    <m/>
    <m/>
    <n v="37867.037107227552"/>
    <n v="0"/>
    <n v="0"/>
    <n v="-23288.315760000001"/>
    <n v="0"/>
    <n v="0"/>
    <n v="0"/>
    <n v="-23217.98907987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Fora ponta"/>
    <s v="CATIVO"/>
    <x v="0"/>
    <n v="0"/>
    <n v="0"/>
    <n v="307.83600000000001"/>
    <n v="307.83600000000001"/>
    <n v="307.83600000000001"/>
    <n v="307.83600000000001"/>
    <m/>
    <n v="81.2"/>
    <n v="252.22"/>
    <m/>
    <n v="102638.67912000002"/>
    <n v="102638.67912000002"/>
    <n v="102059.94744"/>
    <n v="0"/>
    <n v="16565.34664042087"/>
    <n v="0"/>
    <n v="0"/>
    <n v="0"/>
    <n v="0"/>
    <n v="0"/>
    <n v="77643.247849037158"/>
    <n v="0"/>
    <n v="0"/>
    <n v="0"/>
    <n v="0"/>
    <n v="0"/>
    <n v="2943.2289798855995"/>
    <m/>
    <n v="740.6245217862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47.7057659419779"/>
    <n v="0"/>
    <n v="0"/>
    <n v="0"/>
    <n v="0"/>
    <n v="0"/>
    <m/>
    <m/>
    <m/>
    <m/>
    <m/>
    <m/>
    <m/>
    <m/>
    <m/>
    <n v="82390.953614979138"/>
    <m/>
    <m/>
    <m/>
    <m/>
    <m/>
    <m/>
    <m/>
    <m/>
    <m/>
    <m/>
    <m/>
    <m/>
    <n v="102061.27359999999"/>
    <n v="-577.43552000001364"/>
    <m/>
    <m/>
    <m/>
    <m/>
    <n v="-578.73168000000305"/>
    <n v="0"/>
    <n v="31"/>
    <n v="-579.66259660544165"/>
    <n v="0"/>
    <n v="0"/>
    <n v="0"/>
    <n v="0"/>
    <n v="0"/>
    <n v="0"/>
    <n v="0"/>
    <n v="0"/>
    <n v="0"/>
    <n v="0"/>
    <n v="-1.0885094525292516E-5"/>
    <n v="0"/>
    <n v="0"/>
    <n v="0"/>
    <n v="-6.6560278355609626E-7"/>
    <n v="0"/>
    <n v="-481.67205919416301"/>
    <m/>
    <n v="0"/>
    <n v="0"/>
    <n v="0"/>
    <n v="0"/>
    <n v="-73.940134246970956"/>
    <n v="-24.05039161359673"/>
    <n v="0"/>
    <n v="0"/>
    <m/>
    <m/>
    <m/>
    <n v="0"/>
    <n v="0"/>
    <n v="0"/>
    <n v="-578.73168000000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Não se aplica"/>
    <s v="CATIVO"/>
    <x v="0"/>
    <n v="1342"/>
    <n v="1342"/>
    <n v="0"/>
    <n v="0"/>
    <n v="0"/>
    <n v="0"/>
    <n v="74.44"/>
    <m/>
    <m/>
    <n v="99898.48"/>
    <m/>
    <n v="99898.48"/>
    <n v="60953.64"/>
    <n v="0"/>
    <n v="0"/>
    <n v="0"/>
    <n v="0"/>
    <n v="0"/>
    <n v="36525.338175866316"/>
    <n v="63371.3039076671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176.88"/>
    <n v="5"/>
    <m/>
    <m/>
    <m/>
    <m/>
    <m/>
    <m/>
    <m/>
    <m/>
    <m/>
    <n v="0"/>
    <m/>
    <m/>
    <m/>
    <m/>
    <m/>
    <m/>
    <m/>
    <m/>
    <m/>
    <m/>
    <m/>
    <m/>
    <n v="60953.64"/>
    <n v="-38944.869999999981"/>
    <m/>
    <m/>
    <m/>
    <m/>
    <n v="-38944.839999999997"/>
    <n v="0"/>
    <n v="31"/>
    <n v="-93.873335603944724"/>
    <n v="0"/>
    <n v="0"/>
    <n v="0"/>
    <n v="0"/>
    <m/>
    <m/>
    <m/>
    <n v="-93.8733356039447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371.303907667148"/>
    <m/>
    <n v="0"/>
    <n v="0"/>
    <n v="-38944.839999999997"/>
    <m/>
    <n v="0"/>
    <m/>
    <n v="-38855.80585403010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8"/>
    <s v="Regular"/>
    <s v="Convencional"/>
    <s v="A4"/>
    <s v="Comercial"/>
    <s v="Não se aplica"/>
    <s v="Não se aplica"/>
    <s v="Não se aplica"/>
    <s v="Não se aplica"/>
    <s v="CATIVO"/>
    <x v="0"/>
    <n v="144"/>
    <n v="144"/>
    <n v="29.992000000000001"/>
    <n v="29.992000000000001"/>
    <n v="29.992000000000001"/>
    <n v="29.992000000000001"/>
    <n v="151.13"/>
    <n v="81.2"/>
    <n v="252.22"/>
    <n v="21762.720000000001"/>
    <n v="9999.9326400000009"/>
    <n v="31762.65264"/>
    <n v="22464.347680000003"/>
    <n v="0"/>
    <n v="1613.9368899008002"/>
    <n v="0"/>
    <n v="0"/>
    <n v="0"/>
    <n v="6719.2954141527644"/>
    <n v="15042.976081583904"/>
    <n v="7564.665242168955"/>
    <n v="0"/>
    <n v="0"/>
    <n v="0"/>
    <n v="0"/>
    <n v="0"/>
    <n v="286.75438728650613"/>
    <m/>
    <n v="72.157936880067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.56185544293652"/>
    <n v="0"/>
    <n v="0"/>
    <n v="0"/>
    <n v="9370.99"/>
    <n v="2"/>
    <m/>
    <m/>
    <m/>
    <m/>
    <m/>
    <m/>
    <m/>
    <m/>
    <m/>
    <n v="8027.2270976118916"/>
    <m/>
    <m/>
    <m/>
    <m/>
    <m/>
    <m/>
    <m/>
    <m/>
    <m/>
    <m/>
    <m/>
    <m/>
    <n v="22463.684600000001"/>
    <n v="-9298.9980399999949"/>
    <m/>
    <m/>
    <m/>
    <m/>
    <n v="-9298.3049599999977"/>
    <n v="0"/>
    <n v="31"/>
    <n v="-73.744838737842656"/>
    <n v="0"/>
    <n v="0"/>
    <n v="0"/>
    <n v="0"/>
    <n v="0"/>
    <n v="0"/>
    <n v="0"/>
    <n v="-17.269180928524293"/>
    <n v="0"/>
    <n v="0"/>
    <n v="-1.0605181159917265E-6"/>
    <n v="0"/>
    <n v="0"/>
    <n v="0"/>
    <n v="-6.4848677538975608E-8"/>
    <n v="0"/>
    <n v="-46.928586647927204"/>
    <m/>
    <n v="0"/>
    <n v="0"/>
    <n v="0"/>
    <n v="0"/>
    <n v="-7.2038764352939779"/>
    <n v="-2.3431936007321781"/>
    <n v="0"/>
    <n v="0"/>
    <m/>
    <m/>
    <n v="15042.976081583904"/>
    <n v="0"/>
    <n v="0"/>
    <n v="0"/>
    <n v="-9298.3049599999995"/>
    <n v="0"/>
    <n v="0"/>
    <n v="0"/>
    <n v="-9223.527402000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"/>
    <s v="Regular"/>
    <s v="Convencional"/>
    <s v="B3"/>
    <s v="Comercial"/>
    <s v="Não se aplica"/>
    <s v="Não se aplica"/>
    <s v="Não se aplica"/>
    <s v="Não se aplica"/>
    <s v="CATIVO"/>
    <x v="0"/>
    <n v="0"/>
    <n v="0"/>
    <n v="340.55"/>
    <n v="340.55"/>
    <n v="340.55"/>
    <n v="340.55"/>
    <m/>
    <n v="739.04"/>
    <n v="252.22"/>
    <m/>
    <n v="337573.59299999999"/>
    <n v="337573.59299999999"/>
    <n v="230882.68350000001"/>
    <n v="0"/>
    <n v="21064.092488100949"/>
    <n v="0"/>
    <n v="0"/>
    <n v="0"/>
    <n v="42057.101174212825"/>
    <n v="172654.6850917293"/>
    <n v="85894.463464278393"/>
    <n v="0"/>
    <n v="0"/>
    <n v="0"/>
    <n v="0"/>
    <n v="0"/>
    <n v="3256.0084886109516"/>
    <m/>
    <n v="798.01031751881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49.181143312053"/>
    <n v="0"/>
    <n v="0"/>
    <n v="0"/>
    <n v="97296.49"/>
    <n v="859"/>
    <m/>
    <m/>
    <m/>
    <m/>
    <m/>
    <m/>
    <m/>
    <m/>
    <m/>
    <n v="97743.644607590453"/>
    <m/>
    <m/>
    <m/>
    <m/>
    <m/>
    <m/>
    <m/>
    <m/>
    <m/>
    <m/>
    <m/>
    <m/>
    <n v="230882.68350000001"/>
    <n v="-106690.93950000001"/>
    <m/>
    <m/>
    <m/>
    <m/>
    <n v="-106690.90949999999"/>
    <n v="0"/>
    <n v="31"/>
    <n v="-828.28466451476561"/>
    <n v="0"/>
    <n v="0"/>
    <n v="0"/>
    <n v="0"/>
    <n v="0"/>
    <n v="0"/>
    <n v="0"/>
    <n v="-108.09045364734629"/>
    <n v="0"/>
    <n v="0"/>
    <n v="-1.2041855370625854E-5"/>
    <n v="0"/>
    <n v="0"/>
    <n v="0"/>
    <n v="-1.6611720639048144E-6"/>
    <n v="0"/>
    <n v="-612.48249276250135"/>
    <m/>
    <n v="0"/>
    <n v="0"/>
    <n v="0"/>
    <n v="0"/>
    <n v="-81.797816752446124"/>
    <n v="-25.913887649477942"/>
    <n v="0"/>
    <n v="0"/>
    <m/>
    <m/>
    <m/>
    <n v="172654.6850917293"/>
    <n v="0"/>
    <n v="0"/>
    <n v="-106690.90949999998"/>
    <n v="0"/>
    <n v="0"/>
    <n v="0"/>
    <n v="-105862.37792246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62.747"/>
    <n v="62.747"/>
    <n v="62.747"/>
    <n v="62.747"/>
    <m/>
    <n v="739.04"/>
    <n v="252.22"/>
    <m/>
    <n v="62198.591220000002"/>
    <n v="62198.591220000002"/>
    <n v="42540.583590000002"/>
    <n v="0"/>
    <n v="3881.1000186488627"/>
    <n v="0"/>
    <n v="0"/>
    <n v="0"/>
    <n v="7749.1027084960569"/>
    <n v="31811.961607548783"/>
    <n v="15826.221990876747"/>
    <n v="0"/>
    <n v="0"/>
    <n v="0"/>
    <n v="0"/>
    <n v="0"/>
    <n v="599.92589820840226"/>
    <m/>
    <n v="147.03495343812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3.23467684452"/>
    <n v="0"/>
    <n v="0"/>
    <n v="0"/>
    <n v="26814.880000000001"/>
    <n v="108"/>
    <m/>
    <m/>
    <m/>
    <m/>
    <m/>
    <m/>
    <m/>
    <m/>
    <m/>
    <n v="18009.456667721268"/>
    <m/>
    <m/>
    <m/>
    <m/>
    <m/>
    <m/>
    <m/>
    <m/>
    <m/>
    <m/>
    <m/>
    <m/>
    <n v="42542.6175"/>
    <n v="-19656.003720000008"/>
    <m/>
    <m/>
    <m/>
    <m/>
    <n v="-19658.007629999996"/>
    <n v="0"/>
    <n v="31"/>
    <n v="-152.61306076732217"/>
    <n v="0"/>
    <n v="0"/>
    <n v="0"/>
    <n v="0"/>
    <n v="0"/>
    <n v="0"/>
    <n v="0"/>
    <n v="-19.915876361797018"/>
    <n v="0"/>
    <n v="0"/>
    <n v="-2.2187359718373045E-6"/>
    <n v="0"/>
    <n v="0"/>
    <n v="0"/>
    <n v="-3.060736162296962E-7"/>
    <n v="0"/>
    <n v="-112.85109080419534"/>
    <m/>
    <n v="0"/>
    <n v="0"/>
    <n v="0"/>
    <n v="0"/>
    <n v="-15.071406864676987"/>
    <n v="-4.7746842118390589"/>
    <n v="0"/>
    <n v="0"/>
    <m/>
    <m/>
    <m/>
    <n v="31811.961607548783"/>
    <n v="0"/>
    <n v="0"/>
    <n v="-19658.00763"/>
    <n v="0"/>
    <n v="0"/>
    <n v="0"/>
    <n v="-19505.349075028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Ponta"/>
    <s v="CATIVO"/>
    <x v="0"/>
    <n v="0"/>
    <n v="0"/>
    <n v="6.1849999999999996"/>
    <n v="6.1849999999999996"/>
    <n v="6.1849999999999996"/>
    <n v="6.1849999999999996"/>
    <m/>
    <n v="2641.06"/>
    <n v="252.22"/>
    <m/>
    <n v="17894.936799999999"/>
    <n v="17894.936799999999"/>
    <n v="10621.747899999998"/>
    <n v="0"/>
    <n v="332.82874313271702"/>
    <n v="0"/>
    <n v="0"/>
    <n v="0"/>
    <n v="4006.4388364851807"/>
    <n v="11826.278757230983"/>
    <n v="1559.9978168449913"/>
    <n v="0"/>
    <n v="0"/>
    <n v="0"/>
    <n v="0"/>
    <n v="0"/>
    <n v="59.134965503035481"/>
    <m/>
    <n v="14.880529461296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390273270024082"/>
    <n v="0"/>
    <n v="0"/>
    <n v="0"/>
    <n v="0"/>
    <n v="0"/>
    <m/>
    <m/>
    <m/>
    <m/>
    <m/>
    <m/>
    <m/>
    <m/>
    <m/>
    <n v="1655.3880901150155"/>
    <m/>
    <m/>
    <m/>
    <m/>
    <m/>
    <m/>
    <m/>
    <m/>
    <m/>
    <m/>
    <m/>
    <m/>
    <n v="10630.3346"/>
    <n v="-7264.6321999999982"/>
    <m/>
    <m/>
    <m/>
    <m/>
    <n v="-7273.1889000000001"/>
    <n v="0"/>
    <n v="31"/>
    <n v="-21.943404477241529"/>
    <n v="0"/>
    <n v="0"/>
    <n v="0"/>
    <n v="0"/>
    <n v="0"/>
    <n v="0"/>
    <n v="0"/>
    <n v="-10.296900624526643"/>
    <n v="0"/>
    <n v="0"/>
    <n v="-2.1870164346182719E-7"/>
    <n v="0"/>
    <n v="0"/>
    <n v="0"/>
    <n v="-1.3373210094869137E-8"/>
    <n v="0"/>
    <n v="-9.6776909981805375"/>
    <m/>
    <n v="0"/>
    <n v="0"/>
    <n v="0"/>
    <n v="0"/>
    <n v="-1.4855953505032389"/>
    <n v="-0.48321727195680708"/>
    <n v="0"/>
    <n v="0"/>
    <m/>
    <m/>
    <m/>
    <n v="11826.278757230983"/>
    <n v="0"/>
    <n v="0"/>
    <n v="-7273.188900000001"/>
    <n v="0"/>
    <n v="0"/>
    <n v="0"/>
    <n v="-7251.225129218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"/>
    <s v="Sistema de Compensação"/>
    <s v="Verde"/>
    <s v="A4"/>
    <s v="Comercial"/>
    <s v="Não se aplica"/>
    <s v="Não se aplica"/>
    <s v="Não se aplica"/>
    <s v="Ponta"/>
    <s v="CATIVO"/>
    <x v="0"/>
    <n v="0"/>
    <n v="0"/>
    <n v="1.23"/>
    <n v="1.23"/>
    <n v="1.23"/>
    <n v="1.23"/>
    <m/>
    <n v="2641.06"/>
    <n v="252.22"/>
    <m/>
    <n v="3558.7343999999998"/>
    <n v="3558.7343999999998"/>
    <n v="2112.3281999999999"/>
    <n v="0"/>
    <n v="66.189062902706866"/>
    <n v="0"/>
    <n v="0"/>
    <n v="0"/>
    <n v="796.75339836326145"/>
    <n v="2351.8711190612953"/>
    <n v="310.23400399665957"/>
    <n v="0"/>
    <n v="0"/>
    <n v="0"/>
    <n v="0"/>
    <n v="0"/>
    <n v="11.760065896319103"/>
    <m/>
    <n v="2.9592645492959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970094765097755"/>
    <n v="0"/>
    <n v="0"/>
    <n v="0"/>
    <n v="0"/>
    <n v="0"/>
    <m/>
    <m/>
    <m/>
    <m/>
    <m/>
    <m/>
    <m/>
    <m/>
    <m/>
    <n v="329.20409876175734"/>
    <m/>
    <m/>
    <m/>
    <m/>
    <m/>
    <m/>
    <m/>
    <m/>
    <m/>
    <m/>
    <m/>
    <m/>
    <n v="2112.3281999999999"/>
    <n v="-1446.4362000000006"/>
    <m/>
    <m/>
    <m/>
    <m/>
    <n v="-1446.4062000000001"/>
    <n v="0"/>
    <n v="31"/>
    <n v="-4.3638459995161156"/>
    <n v="0"/>
    <n v="0"/>
    <n v="0"/>
    <n v="0"/>
    <n v="0"/>
    <n v="0"/>
    <n v="0"/>
    <n v="-2.0477263974401012"/>
    <n v="0"/>
    <n v="0"/>
    <n v="-4.349283244664548E-8"/>
    <n v="0"/>
    <n v="0"/>
    <n v="0"/>
    <n v="-2.6595046165311942E-9"/>
    <n v="0"/>
    <n v="-1.9245852753051054"/>
    <m/>
    <n v="0"/>
    <n v="0"/>
    <n v="0"/>
    <n v="0"/>
    <n v="-0.29543771723831647"/>
    <n v="-9.6096563380254185E-2"/>
    <n v="0"/>
    <n v="0"/>
    <m/>
    <m/>
    <m/>
    <n v="2351.8711190612953"/>
    <n v="0"/>
    <n v="0"/>
    <n v="-1446.4062000000001"/>
    <n v="0"/>
    <n v="0"/>
    <n v="0"/>
    <n v="-1442.03830378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Fora ponta"/>
    <s v="CATIVO"/>
    <x v="0"/>
    <n v="0"/>
    <n v="0"/>
    <n v="212.73"/>
    <n v="212.73"/>
    <n v="212.73"/>
    <n v="212.73"/>
    <m/>
    <n v="81.2"/>
    <n v="252.22"/>
    <m/>
    <n v="70928.436599999986"/>
    <n v="70928.436599999986"/>
    <n v="70528.504199999996"/>
    <n v="0"/>
    <n v="11447.479147392545"/>
    <n v="0"/>
    <n v="0"/>
    <n v="0"/>
    <n v="0"/>
    <n v="0"/>
    <n v="53655.349325373485"/>
    <n v="0"/>
    <n v="0"/>
    <n v="0"/>
    <n v="0"/>
    <n v="0"/>
    <n v="2033.9177383121646"/>
    <m/>
    <n v="511.80841265993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0.9010238855653"/>
    <n v="0"/>
    <n v="0"/>
    <n v="0"/>
    <n v="0"/>
    <n v="0"/>
    <m/>
    <m/>
    <m/>
    <m/>
    <m/>
    <m/>
    <m/>
    <m/>
    <m/>
    <n v="56936.250349259048"/>
    <m/>
    <m/>
    <m/>
    <m/>
    <m/>
    <m/>
    <m/>
    <m/>
    <m/>
    <m/>
    <m/>
    <m/>
    <n v="70528.504199999996"/>
    <n v="-399.96239999998943"/>
    <m/>
    <m/>
    <m/>
    <m/>
    <n v="-399.93240000000202"/>
    <n v="0"/>
    <n v="31"/>
    <n v="-400.57570971513633"/>
    <n v="0"/>
    <n v="0"/>
    <n v="0"/>
    <n v="0"/>
    <n v="0"/>
    <n v="0"/>
    <n v="0"/>
    <n v="0"/>
    <n v="0"/>
    <n v="0"/>
    <n v="-7.5221323641017079E-6"/>
    <n v="0"/>
    <n v="0"/>
    <n v="0"/>
    <n v="-4.5996466724318452E-7"/>
    <n v="0"/>
    <n v="-332.85937041923171"/>
    <m/>
    <n v="0"/>
    <n v="0"/>
    <n v="0"/>
    <n v="0"/>
    <n v="-51.096313486265672"/>
    <n v="-16.620017827545894"/>
    <n v="0"/>
    <n v="0"/>
    <m/>
    <m/>
    <m/>
    <n v="0"/>
    <n v="0"/>
    <n v="0"/>
    <n v="-399.9324000000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15.42"/>
    <n v="15.42"/>
    <n v="15.42"/>
    <n v="15.42"/>
    <m/>
    <n v="81.2"/>
    <n v="252.22"/>
    <m/>
    <n v="5141.3364000000001"/>
    <n v="5141.3364000000001"/>
    <n v="5112.3467999999993"/>
    <n v="0"/>
    <n v="829.78483736564215"/>
    <n v="0"/>
    <n v="0"/>
    <n v="0"/>
    <n v="0"/>
    <n v="0"/>
    <n v="3889.275074494708"/>
    <n v="0"/>
    <n v="0"/>
    <n v="0"/>
    <n v="0"/>
    <n v="0"/>
    <n v="147.43107001726875"/>
    <m/>
    <n v="37.099072642392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82021242098162"/>
    <n v="0"/>
    <n v="0"/>
    <n v="0"/>
    <n v="0"/>
    <n v="0"/>
    <m/>
    <m/>
    <m/>
    <m/>
    <m/>
    <m/>
    <m/>
    <m/>
    <m/>
    <n v="4127.0952869156899"/>
    <m/>
    <m/>
    <m/>
    <m/>
    <m/>
    <m/>
    <m/>
    <m/>
    <m/>
    <m/>
    <m/>
    <m/>
    <n v="5112.3467999999993"/>
    <n v="-29.019600000000537"/>
    <m/>
    <m/>
    <m/>
    <m/>
    <n v="-28.989600000000149"/>
    <n v="0"/>
    <n v="31"/>
    <n v="-29.036231108952961"/>
    <n v="0"/>
    <n v="0"/>
    <n v="0"/>
    <n v="0"/>
    <n v="0"/>
    <n v="0"/>
    <n v="0"/>
    <n v="0"/>
    <n v="0"/>
    <n v="0"/>
    <n v="-5.4525162340723909E-7"/>
    <n v="0"/>
    <n v="0"/>
    <n v="0"/>
    <n v="-3.3341109428874915E-8"/>
    <n v="0"/>
    <n v="-24.127727597727358"/>
    <m/>
    <n v="0"/>
    <n v="0"/>
    <n v="0"/>
    <n v="0"/>
    <n v="-3.7037801624510962"/>
    <n v="-1.2047227701817249"/>
    <n v="0"/>
    <n v="0"/>
    <m/>
    <m/>
    <m/>
    <n v="0"/>
    <n v="0"/>
    <n v="0"/>
    <n v="-28.9896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"/>
    <s v="Regular"/>
    <s v="Verde"/>
    <s v="A4"/>
    <s v="Comercial"/>
    <s v="Não se aplica"/>
    <s v="Não se aplica"/>
    <s v="Não se aplica"/>
    <s v="Não se aplica"/>
    <s v="CATIVO"/>
    <x v="0"/>
    <n v="2587"/>
    <n v="2587"/>
    <n v="0"/>
    <n v="0"/>
    <n v="0"/>
    <n v="0"/>
    <n v="74.44"/>
    <m/>
    <m/>
    <n v="192576.28"/>
    <m/>
    <n v="192576.28"/>
    <n v="117501.54000000001"/>
    <n v="0"/>
    <n v="0"/>
    <n v="0"/>
    <n v="0"/>
    <n v="0"/>
    <n v="70410.618376278813"/>
    <n v="122162.1186357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068.37"/>
    <n v="13"/>
    <m/>
    <m/>
    <m/>
    <m/>
    <m/>
    <m/>
    <m/>
    <m/>
    <m/>
    <n v="0"/>
    <m/>
    <m/>
    <m/>
    <m/>
    <m/>
    <m/>
    <m/>
    <m/>
    <m/>
    <m/>
    <m/>
    <m/>
    <n v="117501.54000000001"/>
    <n v="-75074.770000000019"/>
    <m/>
    <m/>
    <m/>
    <m/>
    <n v="-75074.739999999991"/>
    <n v="0"/>
    <n v="31"/>
    <n v="-180.96148972235096"/>
    <n v="0"/>
    <n v="0"/>
    <n v="0"/>
    <n v="0"/>
    <m/>
    <m/>
    <m/>
    <n v="-180.961489722350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162.118635719"/>
    <m/>
    <n v="0"/>
    <n v="0"/>
    <n v="-75074.739999999991"/>
    <m/>
    <n v="0"/>
    <m/>
    <n v="-74903.10711205354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6"/>
    <s v="Sistema de Compensação"/>
    <s v="Verde"/>
    <s v="A4"/>
    <s v="Comercial"/>
    <s v="Não se aplica"/>
    <s v="Não se aplica"/>
    <s v="Não se aplica"/>
    <s v="Não se aplica"/>
    <s v="CATIVO"/>
    <x v="0"/>
    <n v="219"/>
    <n v="219"/>
    <n v="0"/>
    <n v="0"/>
    <n v="0"/>
    <n v="0"/>
    <n v="74.44"/>
    <m/>
    <m/>
    <n v="16302.359999999999"/>
    <m/>
    <n v="16302.359999999999"/>
    <n v="9946.98"/>
    <n v="0"/>
    <n v="0"/>
    <n v="0"/>
    <n v="0"/>
    <n v="0"/>
    <n v="5960.543264168944"/>
    <n v="10341.5168075850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219.5"/>
    <n v="1"/>
    <m/>
    <m/>
    <m/>
    <m/>
    <m/>
    <m/>
    <m/>
    <m/>
    <m/>
    <n v="0"/>
    <m/>
    <m/>
    <m/>
    <m/>
    <m/>
    <m/>
    <m/>
    <m/>
    <m/>
    <m/>
    <m/>
    <m/>
    <n v="9946.98"/>
    <n v="-6355.41"/>
    <m/>
    <m/>
    <m/>
    <m/>
    <n v="-6355.3799999999992"/>
    <n v="0"/>
    <n v="31"/>
    <n v="-15.319121085888582"/>
    <n v="0"/>
    <n v="0"/>
    <n v="0"/>
    <n v="0"/>
    <m/>
    <m/>
    <m/>
    <n v="-15.3191210858885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41.516807585025"/>
    <m/>
    <n v="0"/>
    <n v="0"/>
    <n v="-6355.3799999999992"/>
    <m/>
    <n v="0"/>
    <m/>
    <n v="-6340.850582736655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7"/>
    <s v="Sistema de Compensação"/>
    <s v="Convencional"/>
    <s v="A4"/>
    <s v="Rural"/>
    <s v="Não se aplica"/>
    <s v="Não se aplica"/>
    <s v="Não se aplica"/>
    <s v="Não se aplica"/>
    <s v="CATIVO"/>
    <x v="0"/>
    <n v="66"/>
    <n v="63.36"/>
    <n v="0"/>
    <n v="0"/>
    <n v="0"/>
    <n v="0"/>
    <n v="151.13"/>
    <m/>
    <m/>
    <n v="9974.58"/>
    <m/>
    <n v="9974.58"/>
    <n v="5738.7"/>
    <n v="0"/>
    <n v="0"/>
    <n v="0"/>
    <n v="0"/>
    <n v="0"/>
    <n v="3079.6770648200172"/>
    <n v="6894.69737072595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29.54800000000006"/>
    <m/>
    <m/>
    <m/>
    <n v="0"/>
    <m/>
    <m/>
    <m/>
    <m/>
    <m/>
    <m/>
    <m/>
    <m/>
    <m/>
    <m/>
    <m/>
    <m/>
    <n v="5509.152"/>
    <n v="-4066.4748"/>
    <m/>
    <m/>
    <m/>
    <m/>
    <n v="-4235.8799999999992"/>
    <n v="0"/>
    <n v="31"/>
    <n v="-7.9150412589074222"/>
    <n v="0"/>
    <n v="0"/>
    <n v="0"/>
    <n v="0"/>
    <m/>
    <m/>
    <m/>
    <n v="-7.91504125890742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894.6973707259558"/>
    <m/>
    <n v="0"/>
    <n v="0"/>
    <n v="-4235.88"/>
    <m/>
    <n v="0"/>
    <m/>
    <n v="-4227.45005925003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8"/>
    <s v="Regular"/>
    <s v="Convencional"/>
    <s v="B2"/>
    <s v="Rural"/>
    <s v="Não se aplica"/>
    <s v="Não se aplica"/>
    <s v="Não se aplica"/>
    <s v="Não se aplica"/>
    <s v="CATIVO"/>
    <x v="0"/>
    <n v="0"/>
    <n v="0"/>
    <n v="2436.2240000000002"/>
    <n v="2436.2240000000002"/>
    <n v="2436.2240000000002"/>
    <n v="2436.2240000000002"/>
    <m/>
    <n v="739.04"/>
    <n v="252.22"/>
    <m/>
    <n v="2414931.4022400002"/>
    <n v="2414931.4022400002"/>
    <n v="1651686.78528"/>
    <n v="0"/>
    <n v="150688.1446417009"/>
    <n v="0"/>
    <n v="0"/>
    <n v="0"/>
    <n v="300867.77052134922"/>
    <n v="1235135.7731108887"/>
    <n v="614471.15947378706"/>
    <n v="0"/>
    <n v="0"/>
    <n v="0"/>
    <n v="0"/>
    <n v="0"/>
    <n v="23292.80876275944"/>
    <m/>
    <n v="5708.8001403229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766.581945923535"/>
    <n v="0"/>
    <n v="0"/>
    <n v="0"/>
    <n v="97239.44"/>
    <n v="12117"/>
    <m/>
    <m/>
    <m/>
    <m/>
    <m/>
    <n v="198186.82239999995"/>
    <m/>
    <m/>
    <m/>
    <n v="699237.74141971057"/>
    <m/>
    <m/>
    <m/>
    <m/>
    <m/>
    <m/>
    <m/>
    <m/>
    <m/>
    <m/>
    <m/>
    <m/>
    <n v="1453497.5763999999"/>
    <n v="-671645.01104000001"/>
    <m/>
    <m/>
    <m/>
    <m/>
    <n v="-763244.61696000001"/>
    <n v="0"/>
    <n v="31"/>
    <n v="-5925.3765336156357"/>
    <n v="0"/>
    <n v="0"/>
    <n v="0"/>
    <n v="0"/>
    <n v="0"/>
    <n v="0"/>
    <n v="0"/>
    <n v="-773.25666523724794"/>
    <n v="0"/>
    <n v="0"/>
    <n v="-8.6145009845495224E-5"/>
    <n v="0"/>
    <n v="0"/>
    <n v="0"/>
    <n v="-1.1883661500178277E-5"/>
    <n v="0"/>
    <n v="-4381.5725985841418"/>
    <m/>
    <n v="0"/>
    <n v="0"/>
    <n v="0"/>
    <n v="0"/>
    <n v="-585.16459938308617"/>
    <n v="-185.38257238279857"/>
    <n v="0"/>
    <n v="0"/>
    <m/>
    <m/>
    <m/>
    <n v="1235135.7731108887"/>
    <n v="0"/>
    <n v="0"/>
    <n v="-763244.61696000001"/>
    <n v="0"/>
    <n v="0"/>
    <n v="0"/>
    <n v="-757317.4740619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8.2919999999999998"/>
    <n v="-8.2919999999999998"/>
    <n v="-8.2919999999999998"/>
    <n v="-8.2919999999999998"/>
    <m/>
    <n v="739.04"/>
    <n v="252.22"/>
    <m/>
    <n v="-8219.5279200000004"/>
    <n v="-8219.5279200000004"/>
    <n v="-5621.7272400000002"/>
    <n v="0"/>
    <n v="-512.88637472128335"/>
    <n v="0"/>
    <n v="0"/>
    <n v="0"/>
    <n v="-1024.0419407915806"/>
    <n v="-4203.9425892838626"/>
    <n v="-2091.431187918944"/>
    <n v="0"/>
    <n v="0"/>
    <n v="0"/>
    <n v="0"/>
    <n v="0"/>
    <n v="-79.28005399372195"/>
    <m/>
    <n v="-19.430631486906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8.51390409732352"/>
    <n v="0"/>
    <n v="0"/>
    <n v="0"/>
    <n v="-5.58"/>
    <n v="0"/>
    <m/>
    <m/>
    <m/>
    <m/>
    <m/>
    <n v="-674.5541999999997"/>
    <m/>
    <m/>
    <m/>
    <n v="-2379.9450920162676"/>
    <m/>
    <m/>
    <m/>
    <m/>
    <m/>
    <m/>
    <m/>
    <m/>
    <m/>
    <m/>
    <m/>
    <m/>
    <n v="-4945.9798000000001"/>
    <n v="2287.1847199999993"/>
    <m/>
    <m/>
    <m/>
    <m/>
    <n v="2597.8006799999998"/>
    <n v="0"/>
    <n v="31"/>
    <n v="20.167776943639637"/>
    <n v="0"/>
    <n v="0"/>
    <n v="0"/>
    <n v="0"/>
    <n v="0"/>
    <n v="0"/>
    <n v="0"/>
    <n v="2.6318779669470587"/>
    <n v="0"/>
    <n v="0"/>
    <n v="2.9320517569431104E-7"/>
    <n v="0"/>
    <n v="0"/>
    <n v="0"/>
    <n v="4.0447559968015412E-8"/>
    <n v="0"/>
    <n v="14.913242783693022"/>
    <m/>
    <n v="0"/>
    <n v="0"/>
    <n v="0"/>
    <n v="0"/>
    <n v="1.9916825620651366"/>
    <n v="0.63097329728225304"/>
    <n v="0"/>
    <n v="0"/>
    <m/>
    <m/>
    <m/>
    <n v="-4203.9425892838626"/>
    <n v="0"/>
    <n v="0"/>
    <n v="2597.8006799999998"/>
    <n v="0"/>
    <n v="0"/>
    <n v="0"/>
    <n v="2577.6268910089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19.592"/>
    <n v="119.592"/>
    <n v="119.592"/>
    <n v="119.592"/>
    <m/>
    <n v="739.04"/>
    <n v="252.22"/>
    <m/>
    <n v="118546.76591999999"/>
    <n v="118546.76591999999"/>
    <n v="81079.788239999994"/>
    <n v="0"/>
    <n v="7397.142706906382"/>
    <n v="0"/>
    <n v="0"/>
    <n v="0"/>
    <n v="14769.322694542536"/>
    <n v="60631.681396241642"/>
    <n v="30163.825208104481"/>
    <n v="0"/>
    <n v="0"/>
    <n v="0"/>
    <n v="0"/>
    <n v="0"/>
    <n v="1143.4226021728407"/>
    <m/>
    <n v="280.23975889799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1.1137022198645"/>
    <n v="0"/>
    <n v="0"/>
    <n v="0"/>
    <n v="6033.25"/>
    <n v="747"/>
    <m/>
    <m/>
    <m/>
    <m/>
    <m/>
    <n v="9728.8091999999961"/>
    <m/>
    <m/>
    <m/>
    <n v="34324.938910324345"/>
    <m/>
    <m/>
    <m/>
    <m/>
    <m/>
    <m/>
    <m/>
    <m/>
    <m/>
    <m/>
    <m/>
    <m/>
    <n v="71349.785800000012"/>
    <n v="-32971.541719999979"/>
    <m/>
    <m/>
    <m/>
    <m/>
    <n v="-37466.977679999996"/>
    <n v="0"/>
    <n v="31"/>
    <n v="-290.87129525372438"/>
    <n v="0"/>
    <n v="0"/>
    <n v="0"/>
    <n v="0"/>
    <n v="0"/>
    <n v="0"/>
    <n v="0"/>
    <n v="-37.958459940078683"/>
    <n v="0"/>
    <n v="0"/>
    <n v="-4.2287756514269859E-6"/>
    <n v="0"/>
    <n v="0"/>
    <n v="0"/>
    <n v="-5.8335808716947213E-7"/>
    <n v="0"/>
    <n v="-215.08737710895002"/>
    <m/>
    <n v="0"/>
    <n v="0"/>
    <n v="0"/>
    <n v="0"/>
    <n v="-28.725193073142009"/>
    <n v="-9.1002603194137919"/>
    <n v="0"/>
    <n v="0"/>
    <m/>
    <m/>
    <m/>
    <n v="60631.681396241642"/>
    <n v="0"/>
    <n v="0"/>
    <n v="-37466.977679999989"/>
    <n v="0"/>
    <n v="0"/>
    <n v="0"/>
    <n v="-37176.01967553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"/>
    <s v="Regular"/>
    <s v="Verde"/>
    <s v="A4"/>
    <s v="Rural"/>
    <s v="Não se aplica"/>
    <s v="Não se aplica"/>
    <s v="Não se aplica"/>
    <s v="Ponta"/>
    <s v="CATIVO"/>
    <x v="0"/>
    <n v="0"/>
    <n v="0"/>
    <n v="2.3250000000000002"/>
    <n v="2.2320000000000002"/>
    <n v="2.3250000000000002"/>
    <n v="2.2320000000000002"/>
    <m/>
    <n v="2641.06"/>
    <n v="252.22"/>
    <m/>
    <n v="6726.8760000000002"/>
    <n v="6726.8760000000002"/>
    <n v="3992.8155000000002"/>
    <n v="0"/>
    <n v="125.11347255999469"/>
    <n v="0"/>
    <n v="0"/>
    <n v="0"/>
    <n v="1506.0582530037261"/>
    <n v="4445.610042128058"/>
    <n v="586.41793438392972"/>
    <n v="0"/>
    <n v="0"/>
    <n v="0"/>
    <n v="0"/>
    <n v="0"/>
    <n v="22.229392852798306"/>
    <m/>
    <n v="5.5937317700105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858105958416495"/>
    <n v="0"/>
    <n v="0"/>
    <n v="0"/>
    <n v="0"/>
    <n v="0"/>
    <m/>
    <m/>
    <m/>
    <m/>
    <m/>
    <n v="159.71261999999993"/>
    <m/>
    <m/>
    <m/>
    <n v="622.27604034234616"/>
    <m/>
    <m/>
    <m/>
    <m/>
    <m/>
    <m/>
    <m/>
    <m/>
    <m/>
    <m/>
    <m/>
    <m/>
    <n v="3829.6682000000001"/>
    <n v="-2628.1627600000011"/>
    <m/>
    <m/>
    <m/>
    <m/>
    <n v="-2734.0605000000005"/>
    <n v="0"/>
    <n v="31"/>
    <n v="-8.248733291768076"/>
    <n v="0"/>
    <n v="0"/>
    <n v="0"/>
    <n v="0"/>
    <n v="0"/>
    <n v="0"/>
    <n v="0"/>
    <n v="-3.870702336624845"/>
    <n v="0"/>
    <n v="0"/>
    <n v="-8.2212068264198024E-8"/>
    <n v="0"/>
    <n v="0"/>
    <n v="0"/>
    <n v="-5.0271182772121392E-9"/>
    <n v="0"/>
    <n v="-3.6379355813694048"/>
    <m/>
    <n v="0"/>
    <n v="0"/>
    <n v="0"/>
    <n v="0"/>
    <n v="-0.55844934356023046"/>
    <n v="-0.18164594297487113"/>
    <n v="0"/>
    <n v="0"/>
    <m/>
    <m/>
    <m/>
    <n v="4445.610042128058"/>
    <n v="0"/>
    <n v="0"/>
    <n v="-2734.0605"/>
    <n v="0"/>
    <n v="0"/>
    <n v="0"/>
    <n v="-2725.8041108217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"/>
    <s v="Sistema de Compensação"/>
    <s v="Verde"/>
    <s v="A4"/>
    <s v="Rural"/>
    <s v="Não se aplica"/>
    <s v="Não se aplica"/>
    <s v="Não se aplica"/>
    <s v="Ponta"/>
    <s v="CATIVO"/>
    <x v="0"/>
    <n v="0"/>
    <n v="0"/>
    <n v="-11.004"/>
    <n v="-10.563839999999999"/>
    <n v="-11.004"/>
    <n v="-10.563839999999999"/>
    <m/>
    <n v="2641.06"/>
    <n v="252.22"/>
    <m/>
    <n v="-31837.653119999999"/>
    <n v="-31837.653119999999"/>
    <n v="-18897.609359999999"/>
    <n v="0"/>
    <n v="-592.14995787104579"/>
    <n v="0"/>
    <n v="0"/>
    <n v="0"/>
    <n v="-7128.0279638937636"/>
    <n v="-21040.64210906544"/>
    <n v="-2775.4593333164567"/>
    <n v="0"/>
    <n v="0"/>
    <n v="0"/>
    <n v="0"/>
    <n v="0"/>
    <n v="-105.20956514072797"/>
    <m/>
    <n v="-26.474591138579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9.71294536189893"/>
    <n v="0"/>
    <n v="0"/>
    <n v="0"/>
    <n v="0"/>
    <n v="0"/>
    <m/>
    <m/>
    <m/>
    <m/>
    <m/>
    <n v="-755.90437440000096"/>
    <m/>
    <m/>
    <m/>
    <n v="-2945.1722786783557"/>
    <m/>
    <m/>
    <m/>
    <m/>
    <m/>
    <m/>
    <m/>
    <m/>
    <m/>
    <m/>
    <m/>
    <m/>
    <n v="-18135.110400000001"/>
    <n v="12429.0065952"/>
    <m/>
    <m/>
    <m/>
    <m/>
    <n v="12940.04376"/>
    <n v="0"/>
    <n v="31"/>
    <n v="39.040456405427904"/>
    <n v="0"/>
    <n v="0"/>
    <n v="0"/>
    <n v="0"/>
    <n v="0"/>
    <n v="0"/>
    <n v="0"/>
    <n v="18.319659575147853"/>
    <n v="0"/>
    <n v="0"/>
    <n v="3.8910138755454682E-7"/>
    <n v="0"/>
    <n v="0"/>
    <n v="0"/>
    <n v="2.3792836145730689E-8"/>
    <n v="0"/>
    <n v="17.217997048339271"/>
    <m/>
    <n v="0"/>
    <n v="0"/>
    <n v="0"/>
    <n v="0"/>
    <n v="2.643086699585723"/>
    <n v="0.85971266946042135"/>
    <n v="0"/>
    <n v="0"/>
    <m/>
    <m/>
    <m/>
    <n v="-21040.64210906544"/>
    <n v="0"/>
    <n v="0"/>
    <n v="12940.043760000002"/>
    <n v="0"/>
    <n v="0"/>
    <n v="0"/>
    <n v="12900.96706902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"/>
    <s v="Regular"/>
    <s v="Verde"/>
    <s v="A4"/>
    <s v="Rural"/>
    <s v="Não se aplica"/>
    <s v="Não se aplica"/>
    <s v="Não se aplica"/>
    <s v="Fora ponta"/>
    <s v="CATIVO"/>
    <x v="0"/>
    <n v="0"/>
    <n v="0"/>
    <n v="26.263000000000002"/>
    <n v="25.212479999999999"/>
    <n v="26.263000000000002"/>
    <n v="25.212479999999999"/>
    <m/>
    <n v="81.2"/>
    <n v="252.22"/>
    <m/>
    <n v="8756.6094599999997"/>
    <n v="8756.6094599999997"/>
    <n v="8707.2350200000001"/>
    <n v="0"/>
    <n v="1413.2710235884474"/>
    <n v="0"/>
    <n v="0"/>
    <n v="0"/>
    <n v="0"/>
    <n v="0"/>
    <n v="6624.1265422473753"/>
    <n v="0"/>
    <n v="0"/>
    <n v="0"/>
    <n v="0"/>
    <n v="0"/>
    <n v="251.10130945937286"/>
    <m/>
    <n v="63.186312892811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.05008033801823"/>
    <n v="0"/>
    <n v="0"/>
    <n v="0"/>
    <n v="0"/>
    <n v="0"/>
    <m/>
    <m/>
    <m/>
    <m/>
    <m/>
    <n v="348.28940080000075"/>
    <m/>
    <m/>
    <m/>
    <n v="7029.1766225853935"/>
    <m/>
    <m/>
    <m/>
    <m/>
    <m/>
    <m/>
    <m/>
    <m/>
    <m/>
    <m/>
    <m/>
    <m/>
    <n v="8358.1234000000004"/>
    <n v="-48.251681600000666"/>
    <m/>
    <m/>
    <m/>
    <m/>
    <n v="-49.374440000000256"/>
    <n v="0"/>
    <n v="31"/>
    <n v="-49.453861064490411"/>
    <n v="0"/>
    <n v="0"/>
    <n v="0"/>
    <n v="0"/>
    <n v="0"/>
    <n v="0"/>
    <n v="0"/>
    <n v="0"/>
    <n v="0"/>
    <n v="0"/>
    <n v="-9.2866048362338915E-7"/>
    <n v="0"/>
    <n v="0"/>
    <n v="0"/>
    <n v="-5.6785893320920877E-8"/>
    <n v="0"/>
    <n v="-41.093807386453364"/>
    <m/>
    <n v="0"/>
    <n v="0"/>
    <n v="0"/>
    <n v="0"/>
    <n v="-6.3081957462031539"/>
    <n v="-2.0518569463866783"/>
    <n v="0"/>
    <n v="0"/>
    <m/>
    <m/>
    <m/>
    <n v="0"/>
    <n v="0"/>
    <n v="0"/>
    <n v="-49.3744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"/>
    <s v="Sistema de Compensação"/>
    <s v="Verde"/>
    <s v="A4"/>
    <s v="Rural"/>
    <s v="Não se aplica"/>
    <s v="Não se aplica"/>
    <s v="Não se aplica"/>
    <s v="Fora ponta"/>
    <s v="CATIVO"/>
    <x v="0"/>
    <n v="0"/>
    <n v="0"/>
    <n v="-48.38"/>
    <n v="-46.444800000000001"/>
    <n v="-48.38"/>
    <n v="-46.444800000000001"/>
    <m/>
    <n v="81.2"/>
    <n v="252.22"/>
    <m/>
    <n v="-16130.859600000002"/>
    <n v="-16130.859600000002"/>
    <n v="-16039.905200000001"/>
    <n v="0"/>
    <n v="-2603.4364741731365"/>
    <n v="0"/>
    <n v="0"/>
    <n v="0"/>
    <n v="0"/>
    <n v="0"/>
    <n v="-12202.537490535278"/>
    <n v="0"/>
    <n v="0"/>
    <n v="0"/>
    <n v="0"/>
    <n v="0"/>
    <n v="-462.56259192188475"/>
    <m/>
    <n v="-116.3977389389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46.15706076051174"/>
    <n v="0"/>
    <n v="0"/>
    <n v="0"/>
    <n v="0"/>
    <n v="0"/>
    <m/>
    <m/>
    <m/>
    <m/>
    <m/>
    <n v="-641.59620800000062"/>
    <m/>
    <m/>
    <m/>
    <n v="-12948.69455129579"/>
    <m/>
    <m/>
    <m/>
    <m/>
    <m/>
    <m/>
    <m/>
    <m/>
    <m/>
    <m/>
    <m/>
    <m/>
    <n v="-15396.7176"/>
    <n v="88.877615999999762"/>
    <m/>
    <m/>
    <m/>
    <m/>
    <n v="90.954400000000476"/>
    <n v="0"/>
    <n v="31"/>
    <n v="91.100704348322324"/>
    <n v="0"/>
    <n v="0"/>
    <n v="0"/>
    <n v="0"/>
    <n v="0"/>
    <n v="0"/>
    <n v="0"/>
    <n v="0"/>
    <n v="0"/>
    <n v="0"/>
    <n v="1.7107176972785965E-6"/>
    <n v="0"/>
    <n v="0"/>
    <n v="0"/>
    <n v="1.0460712474014144E-7"/>
    <n v="0"/>
    <n v="75.700354162000167"/>
    <m/>
    <n v="0"/>
    <n v="0"/>
    <n v="0"/>
    <n v="0"/>
    <n v="11.620550211373768"/>
    <n v="3.7797981596233257"/>
    <n v="0"/>
    <n v="0"/>
    <m/>
    <m/>
    <m/>
    <n v="0"/>
    <n v="0"/>
    <n v="0"/>
    <n v="90.9544000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"/>
    <s v="Regular"/>
    <s v="Verde"/>
    <s v="A4"/>
    <s v="Rural"/>
    <s v="Não se aplica"/>
    <s v="Não se aplica"/>
    <s v="Não se aplica"/>
    <s v="Não se aplica"/>
    <s v="CATIVO"/>
    <x v="0"/>
    <n v="198"/>
    <n v="190.07999999999998"/>
    <n v="0"/>
    <n v="0"/>
    <n v="0"/>
    <n v="0"/>
    <n v="74.44"/>
    <m/>
    <m/>
    <n v="14739.119999999999"/>
    <m/>
    <n v="14739.119999999999"/>
    <n v="8993.16"/>
    <n v="0"/>
    <n v="0"/>
    <n v="0"/>
    <n v="0"/>
    <n v="0"/>
    <n v="5388.9843210294566"/>
    <n v="9349.86451096728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.71"/>
    <n v="2"/>
    <m/>
    <m/>
    <m/>
    <m/>
    <m/>
    <n v="359.72640000000075"/>
    <m/>
    <m/>
    <m/>
    <n v="0"/>
    <m/>
    <m/>
    <m/>
    <m/>
    <m/>
    <m/>
    <m/>
    <m/>
    <m/>
    <m/>
    <m/>
    <m/>
    <n v="8633.4336000000003"/>
    <n v="-5516.1515999999992"/>
    <m/>
    <m/>
    <m/>
    <m/>
    <n v="-5745.9599999999991"/>
    <n v="0"/>
    <n v="31"/>
    <n v="-13.850164269433662"/>
    <n v="0"/>
    <n v="0"/>
    <n v="0"/>
    <n v="0"/>
    <m/>
    <m/>
    <m/>
    <n v="-13.8501642694336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49.8645109672834"/>
    <m/>
    <n v="0"/>
    <n v="0"/>
    <n v="-5745.9599999999991"/>
    <m/>
    <n v="0"/>
    <m/>
    <n v="-5732.823814529030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6"/>
    <s v="Sistema de Compensação"/>
    <s v="Verde"/>
    <s v="A4"/>
    <s v="Rural"/>
    <s v="Não se aplica"/>
    <s v="Não se aplica"/>
    <s v="Não se aplica"/>
    <s v="Não se aplica"/>
    <s v="CATIVO"/>
    <x v="0"/>
    <n v="315"/>
    <n v="302.39999999999998"/>
    <n v="0"/>
    <n v="0"/>
    <n v="0"/>
    <n v="0"/>
    <n v="74.44"/>
    <m/>
    <m/>
    <n v="23448.6"/>
    <m/>
    <n v="23448.6"/>
    <n v="14307.300000000001"/>
    <n v="0"/>
    <n v="0"/>
    <n v="0"/>
    <n v="0"/>
    <n v="0"/>
    <n v="8573.384147092318"/>
    <n v="14874.7844492661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.38"/>
    <n v="3"/>
    <m/>
    <m/>
    <m/>
    <m/>
    <m/>
    <n v="572.29200000000105"/>
    <m/>
    <m/>
    <m/>
    <n v="0"/>
    <m/>
    <m/>
    <m/>
    <m/>
    <m/>
    <m/>
    <m/>
    <m/>
    <m/>
    <m/>
    <m/>
    <m/>
    <n v="13735.008"/>
    <n v="-8775.6779999999944"/>
    <m/>
    <m/>
    <m/>
    <m/>
    <n v="-9141.2999999999993"/>
    <n v="0"/>
    <n v="31"/>
    <n v="-22.034352246828348"/>
    <n v="0"/>
    <n v="0"/>
    <n v="0"/>
    <n v="0"/>
    <m/>
    <m/>
    <m/>
    <n v="-22.0343522468283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874.784449266133"/>
    <m/>
    <n v="0"/>
    <n v="0"/>
    <n v="-9141.2999999999975"/>
    <m/>
    <n v="0"/>
    <m/>
    <n v="-9120.401523114367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7"/>
    <s v="Sistema de Compensação"/>
    <s v="Verde"/>
    <s v="A4"/>
    <s v="Rur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3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8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95.035"/>
    <n v="195.035"/>
    <n v="195.035"/>
    <n v="195.035"/>
    <m/>
    <n v="739.04"/>
    <n v="252.22"/>
    <m/>
    <n v="193330.39409999998"/>
    <n v="193330.39409999998"/>
    <n v="132227.87894999998"/>
    <n v="0"/>
    <n v="12063.530402046008"/>
    <n v="0"/>
    <n v="0"/>
    <n v="0"/>
    <n v="24086.350690097192"/>
    <n v="98880.359732390032"/>
    <n v="49192.267454868699"/>
    <n v="0"/>
    <n v="0"/>
    <n v="0"/>
    <n v="0"/>
    <n v="0"/>
    <n v="1864.7353269012976"/>
    <m/>
    <n v="457.02523058958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86.0961511844544"/>
    <n v="0"/>
    <n v="0"/>
    <n v="0"/>
    <n v="51165.23"/>
    <n v="366"/>
    <m/>
    <m/>
    <m/>
    <m/>
    <m/>
    <m/>
    <m/>
    <m/>
    <m/>
    <n v="55978.363606053157"/>
    <m/>
    <m/>
    <m/>
    <m/>
    <m/>
    <m/>
    <m/>
    <m/>
    <m/>
    <m/>
    <m/>
    <m/>
    <n v="132231.26879999999"/>
    <n v="-61099.155300000013"/>
    <m/>
    <m/>
    <m/>
    <m/>
    <n v="-61102.515149999992"/>
    <n v="0"/>
    <n v="31"/>
    <n v="-474.36352824444475"/>
    <n v="0"/>
    <n v="0"/>
    <n v="0"/>
    <n v="0"/>
    <n v="0"/>
    <n v="0"/>
    <n v="0"/>
    <n v="-61.904042364145425"/>
    <n v="0"/>
    <n v="0"/>
    <n v="-6.8964436650276184E-6"/>
    <n v="0"/>
    <n v="0"/>
    <n v="0"/>
    <n v="-9.5136238087434322E-7"/>
    <n v="0"/>
    <n v="-350.77234760221472"/>
    <m/>
    <n v="0"/>
    <n v="0"/>
    <n v="0"/>
    <n v="0"/>
    <n v="-46.846093643556742"/>
    <n v="-14.841036786715449"/>
    <n v="0"/>
    <n v="0"/>
    <m/>
    <m/>
    <m/>
    <n v="98880.359732390032"/>
    <n v="0"/>
    <n v="0"/>
    <n v="-61102.515149999992"/>
    <n v="0"/>
    <n v="0"/>
    <n v="0"/>
    <n v="-60628.010213208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"/>
    <s v="Sistema de Compensação"/>
    <s v="Convencional"/>
    <s v="B3"/>
    <s v="Poder público"/>
    <s v="Não se aplica"/>
    <s v="Não se aplica"/>
    <s v="Não se aplica"/>
    <s v="Não se aplica"/>
    <s v="CATIVO"/>
    <x v="0"/>
    <n v="0"/>
    <n v="0"/>
    <n v="2.0110000000000001"/>
    <n v="2.0110000000000001"/>
    <n v="2.0110000000000001"/>
    <n v="2.0110000000000001"/>
    <m/>
    <n v="739.04"/>
    <n v="252.22"/>
    <m/>
    <n v="1993.4238600000001"/>
    <n v="1993.4238600000001"/>
    <n v="1363.3976700000001"/>
    <n v="0"/>
    <n v="124.38669796966967"/>
    <n v="0"/>
    <n v="0"/>
    <n v="0"/>
    <n v="248.35363518232859"/>
    <n v="1019.5524055776469"/>
    <n v="507.21998539616459"/>
    <n v="0"/>
    <n v="0"/>
    <n v="0"/>
    <n v="0"/>
    <n v="0"/>
    <n v="19.227229689022533"/>
    <m/>
    <n v="4.7123733622972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971232650713659"/>
    <n v="0"/>
    <n v="0"/>
    <n v="0"/>
    <n v="644.16999999999996"/>
    <n v="2"/>
    <m/>
    <m/>
    <m/>
    <m/>
    <m/>
    <m/>
    <m/>
    <m/>
    <m/>
    <n v="577.19121804687825"/>
    <m/>
    <m/>
    <m/>
    <m/>
    <m/>
    <m/>
    <m/>
    <m/>
    <m/>
    <m/>
    <m/>
    <m/>
    <n v="1362.7196999999999"/>
    <n v="-630.7341600000002"/>
    <m/>
    <m/>
    <m/>
    <m/>
    <n v="-630.02618999999993"/>
    <n v="0"/>
    <n v="31"/>
    <n v="-4.8911480262494251"/>
    <n v="0"/>
    <n v="0"/>
    <n v="0"/>
    <n v="0"/>
    <n v="0"/>
    <n v="0"/>
    <n v="0"/>
    <n v="-0.6382907129197406"/>
    <n v="0"/>
    <n v="0"/>
    <n v="-7.1109013788372977E-8"/>
    <n v="0"/>
    <n v="0"/>
    <n v="0"/>
    <n v="-9.8094687928096391E-9"/>
    <n v="0"/>
    <n v="-3.6168030918966139"/>
    <m/>
    <n v="0"/>
    <n v="0"/>
    <n v="0"/>
    <n v="0"/>
    <n v="-0.4830286580213432"/>
    <n v="-0.15302548249332037"/>
    <n v="0"/>
    <n v="0"/>
    <m/>
    <m/>
    <m/>
    <n v="1019.5524055776469"/>
    <n v="0"/>
    <n v="0"/>
    <n v="-630.02619000000004"/>
    <n v="0"/>
    <n v="0"/>
    <n v="0"/>
    <n v="-625.1335839144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16.529"/>
    <n v="416.529"/>
    <n v="416.529"/>
    <n v="416.529"/>
    <m/>
    <n v="406.47"/>
    <n v="138.72"/>
    <m/>
    <n v="227087.44551000002"/>
    <n v="227087.44551000002"/>
    <n v="155315.33351999999"/>
    <n v="0"/>
    <n v="14169.998411354871"/>
    <n v="0"/>
    <n v="0"/>
    <n v="0"/>
    <n v="28292.178130220433"/>
    <n v="116146.30987994451"/>
    <n v="57781.953412925453"/>
    <n v="0"/>
    <n v="0"/>
    <n v="0"/>
    <n v="0"/>
    <n v="0"/>
    <n v="2190.3452587401184"/>
    <m/>
    <n v="536.82848847507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71.0473200512188"/>
    <n v="0"/>
    <n v="0"/>
    <n v="0"/>
    <n v="43211.46"/>
    <n v="66"/>
    <m/>
    <m/>
    <m/>
    <m/>
    <m/>
    <m/>
    <m/>
    <m/>
    <m/>
    <n v="65753.000732976667"/>
    <m/>
    <m/>
    <m/>
    <m/>
    <m/>
    <m/>
    <m/>
    <m/>
    <m/>
    <m/>
    <m/>
    <m/>
    <n v="155315.7064"/>
    <n v="-71771.769110000052"/>
    <m/>
    <m/>
    <m/>
    <m/>
    <n v="-71772.111990000019"/>
    <n v="0"/>
    <n v="31"/>
    <n v="-557.19430528262455"/>
    <n v="0"/>
    <n v="0"/>
    <n v="0"/>
    <n v="0"/>
    <n v="0"/>
    <n v="0"/>
    <n v="0"/>
    <n v="-72.713389258620737"/>
    <n v="0"/>
    <n v="0"/>
    <n v="-8.1002363003790379E-6"/>
    <n v="0"/>
    <n v="0"/>
    <n v="0"/>
    <n v="-1.1174643077538349E-6"/>
    <n v="0"/>
    <n v="-412.02230546271494"/>
    <m/>
    <n v="0"/>
    <n v="0"/>
    <n v="0"/>
    <n v="0"/>
    <n v="-55.026103502405931"/>
    <n v="-17.432497841176087"/>
    <n v="0"/>
    <n v="0"/>
    <m/>
    <m/>
    <m/>
    <n v="116146.30987994451"/>
    <n v="0"/>
    <n v="0"/>
    <n v="-71772.111990000019"/>
    <n v="0"/>
    <n v="0"/>
    <n v="0"/>
    <n v="-71214.543319679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79.802999999999997"/>
    <n v="75.01482"/>
    <n v="79.802999999999997"/>
    <n v="75.01482"/>
    <m/>
    <n v="739.04"/>
    <n v="252.22"/>
    <m/>
    <n v="79105.521779999995"/>
    <n v="79105.521779999995"/>
    <n v="54104.039909999992"/>
    <n v="0"/>
    <n v="4936.0674580176765"/>
    <n v="0"/>
    <n v="0"/>
    <n v="0"/>
    <n v="9855.4774482622415"/>
    <n v="40459.145013581772"/>
    <n v="20128.133512963759"/>
    <n v="0"/>
    <n v="0"/>
    <n v="0"/>
    <n v="0"/>
    <n v="0"/>
    <n v="762.99881197069374"/>
    <m/>
    <n v="187.0022533224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6.6853700770271"/>
    <n v="0"/>
    <n v="0"/>
    <n v="0"/>
    <n v="22803.279999999999"/>
    <n v="28"/>
    <m/>
    <m/>
    <m/>
    <m/>
    <n v="3246.2423945999981"/>
    <m/>
    <m/>
    <m/>
    <m/>
    <n v="22904.818883040785"/>
    <m/>
    <m/>
    <m/>
    <m/>
    <m/>
    <m/>
    <m/>
    <m/>
    <m/>
    <m/>
    <m/>
    <m/>
    <n v="50854.529699999999"/>
    <n v="-23504.690773199996"/>
    <m/>
    <m/>
    <m/>
    <m/>
    <n v="-25001.481869999996"/>
    <n v="0"/>
    <n v="31"/>
    <n v="-194.09661160555697"/>
    <n v="0"/>
    <n v="0"/>
    <n v="0"/>
    <n v="0"/>
    <n v="0"/>
    <n v="0"/>
    <n v="0"/>
    <n v="-25.329444934428466"/>
    <n v="0"/>
    <n v="0"/>
    <n v="-2.8218346415087581E-6"/>
    <n v="0"/>
    <n v="0"/>
    <n v="0"/>
    <n v="-3.8927146306377836E-7"/>
    <n v="0"/>
    <n v="-143.52647296997748"/>
    <m/>
    <n v="0"/>
    <n v="0"/>
    <n v="0"/>
    <n v="0"/>
    <n v="-19.168143210381572"/>
    <n v="-6.0725472796690383"/>
    <n v="0"/>
    <n v="0"/>
    <m/>
    <m/>
    <m/>
    <n v="40459.145013581772"/>
    <n v="0"/>
    <n v="0"/>
    <n v="-25001.481869999996"/>
    <n v="0"/>
    <n v="0"/>
    <n v="0"/>
    <n v="-24807.32739787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7.5949999999999998"/>
    <n v="7.5949999999999998"/>
    <n v="7.5949999999999998"/>
    <n v="7.5949999999999998"/>
    <m/>
    <n v="739.04"/>
    <n v="252.22"/>
    <m/>
    <n v="7528.6196999999993"/>
    <n v="7528.6196999999993"/>
    <n v="5149.1821499999996"/>
    <n v="0"/>
    <n v="469.77472455476931"/>
    <n v="0"/>
    <n v="0"/>
    <n v="0"/>
    <n v="937.96412690690477"/>
    <n v="3850.5721135565527"/>
    <n v="1915.6319189875037"/>
    <n v="0"/>
    <n v="0"/>
    <n v="0"/>
    <n v="0"/>
    <n v="0"/>
    <n v="72.616016652474457"/>
    <m/>
    <n v="17.797352405095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26231326811052"/>
    <n v="0"/>
    <n v="0"/>
    <n v="0"/>
    <n v="2170.84"/>
    <n v="11"/>
    <m/>
    <m/>
    <m/>
    <m/>
    <m/>
    <m/>
    <m/>
    <m/>
    <m/>
    <n v="2179.894232255614"/>
    <m/>
    <m/>
    <m/>
    <m/>
    <m/>
    <m/>
    <m/>
    <m/>
    <m/>
    <m/>
    <m/>
    <m/>
    <n v="5152.5720000000001"/>
    <n v="-2376.0776999999998"/>
    <m/>
    <m/>
    <m/>
    <m/>
    <n v="-2379.4375499999996"/>
    <n v="0"/>
    <n v="31"/>
    <n v="-18.472535683423757"/>
    <n v="0"/>
    <n v="0"/>
    <n v="0"/>
    <n v="0"/>
    <n v="0"/>
    <n v="0"/>
    <n v="0"/>
    <n v="-2.4106504050847661"/>
    <n v="0"/>
    <n v="0"/>
    <n v="-2.6855946089199279E-7"/>
    <n v="0"/>
    <n v="0"/>
    <n v="0"/>
    <n v="-3.7047698242531624E-8"/>
    <n v="0"/>
    <n v="-13.659681493264429"/>
    <m/>
    <n v="0"/>
    <n v="0"/>
    <n v="0"/>
    <n v="0"/>
    <n v="-1.8242678556300831"/>
    <n v="-0.57793562383727703"/>
    <n v="0"/>
    <n v="0"/>
    <m/>
    <m/>
    <m/>
    <n v="3850.5721135565527"/>
    <n v="0"/>
    <n v="0"/>
    <n v="-2379.4375499999996"/>
    <n v="0"/>
    <n v="0"/>
    <n v="0"/>
    <n v="-2360.959507623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4.1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4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.7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5"/>
    <s v="Regular"/>
    <s v="Convencional"/>
    <s v="B2"/>
    <s v="Rural"/>
    <s v="Agropecuária rural"/>
    <s v="IRRIG./AQUIC."/>
    <s v="Não se aplica"/>
    <s v="Não se aplica"/>
    <s v="CATIVO"/>
    <x v="0"/>
    <n v="0"/>
    <n v="0"/>
    <n v="4.234"/>
    <n v="4.234"/>
    <n v="4.234"/>
    <n v="4.234"/>
    <m/>
    <n v="739.04"/>
    <n v="252.22"/>
    <m/>
    <n v="4196.9948399999994"/>
    <n v="4196.9948399999994"/>
    <n v="2870.5249800000001"/>
    <n v="0"/>
    <n v="261.88626514350142"/>
    <n v="0"/>
    <n v="0"/>
    <n v="0"/>
    <n v="522.88875751465901"/>
    <n v="2146.5862184066418"/>
    <n v="1067.9111974974444"/>
    <n v="0"/>
    <n v="0"/>
    <n v="0"/>
    <n v="0"/>
    <n v="0"/>
    <n v="40.481397565052909"/>
    <m/>
    <n v="9.92152601490141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31884586927978"/>
    <n v="0"/>
    <n v="0"/>
    <n v="0"/>
    <n v="0"/>
    <n v="0"/>
    <m/>
    <m/>
    <m/>
    <m/>
    <m/>
    <n v="416.54092000000003"/>
    <m/>
    <m/>
    <m/>
    <n v="1215.2300433667242"/>
    <m/>
    <m/>
    <m/>
    <m/>
    <m/>
    <m/>
    <m/>
    <m/>
    <m/>
    <m/>
    <m/>
    <m/>
    <n v="2451.6657000000005"/>
    <n v="-1116.5677999999998"/>
    <m/>
    <m/>
    <m/>
    <m/>
    <n v="-1326.4698599999999"/>
    <n v="0"/>
    <n v="31"/>
    <n v="-10.297921801661005"/>
    <n v="0"/>
    <n v="0"/>
    <n v="0"/>
    <n v="0"/>
    <n v="0"/>
    <n v="0"/>
    <n v="0"/>
    <n v="-1.3438701534073516"/>
    <n v="0"/>
    <n v="0"/>
    <n v="-1.4971419659559615E-7"/>
    <n v="0"/>
    <n v="0"/>
    <n v="0"/>
    <n v="-2.0653061483244528E-8"/>
    <n v="0"/>
    <n v="-7.6148902491746639"/>
    <m/>
    <n v="0"/>
    <n v="0"/>
    <n v="0"/>
    <n v="0"/>
    <n v="-1.01697828844474"/>
    <n v="-0.32218294026689165"/>
    <n v="0"/>
    <n v="0"/>
    <m/>
    <m/>
    <m/>
    <n v="2146.5862184066418"/>
    <n v="0"/>
    <n v="0"/>
    <n v="-1326.4698599999997"/>
    <n v="0"/>
    <n v="0"/>
    <n v="0"/>
    <n v="-1316.1688683709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04"/>
    <n v="0.04"/>
    <n v="0.04"/>
    <n v="0.04"/>
    <m/>
    <n v="739.04"/>
    <n v="252.22"/>
    <m/>
    <n v="39.650399999999998"/>
    <n v="39.650399999999998"/>
    <n v="27.1188"/>
    <n v="0"/>
    <n v="2.4741262649362441"/>
    <n v="0"/>
    <n v="0"/>
    <n v="0"/>
    <n v="4.9399032358493997"/>
    <n v="20.279510802141161"/>
    <n v="10.08891069907836"/>
    <n v="0"/>
    <n v="0"/>
    <n v="0"/>
    <n v="0"/>
    <n v="0"/>
    <n v="0.3824411673599708"/>
    <m/>
    <n v="9.37319415673255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917699184627281"/>
    <n v="0"/>
    <n v="0"/>
    <n v="0"/>
    <n v="0"/>
    <n v="0"/>
    <m/>
    <m/>
    <m/>
    <m/>
    <m/>
    <n v="3.9352"/>
    <m/>
    <m/>
    <m/>
    <n v="11.480680617541088"/>
    <m/>
    <m/>
    <m/>
    <m/>
    <m/>
    <m/>
    <m/>
    <m/>
    <m/>
    <m/>
    <m/>
    <m/>
    <n v="23.183599999999998"/>
    <n v="-10.556400000000004"/>
    <m/>
    <m/>
    <m/>
    <m/>
    <n v="-12.531599999999999"/>
    <n v="0"/>
    <n v="31"/>
    <n v="-9.7287877200386674E-2"/>
    <n v="0"/>
    <n v="0"/>
    <n v="0"/>
    <n v="0"/>
    <n v="0"/>
    <n v="0"/>
    <n v="0"/>
    <n v="-1.2695986333559617E-2"/>
    <n v="0"/>
    <n v="0"/>
    <n v="-1.4143992643766978E-9"/>
    <n v="0"/>
    <n v="0"/>
    <n v="0"/>
    <n v="-1.9511614546274814E-10"/>
    <n v="0"/>
    <n v="-7.1940389694611806E-2"/>
    <m/>
    <n v="0"/>
    <n v="0"/>
    <n v="0"/>
    <n v="0"/>
    <n v="-9.6077306418964059E-3"/>
    <n v="-3.0437689208019925E-3"/>
    <n v="0"/>
    <n v="0"/>
    <m/>
    <m/>
    <m/>
    <n v="20.279510802141161"/>
    <n v="0"/>
    <n v="0"/>
    <n v="-12.531599999999997"/>
    <n v="0"/>
    <n v="0"/>
    <n v="0"/>
    <n v="-12.43428312112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55600000000000005"/>
    <n v="0.22239999999999999"/>
    <n v="0.55600000000000005"/>
    <n v="0.22239999999999999"/>
    <m/>
    <n v="739.04"/>
    <n v="252.22"/>
    <m/>
    <n v="551.14056000000005"/>
    <n v="551.14056000000005"/>
    <n v="376.95132000000001"/>
    <n v="0"/>
    <n v="34.390355082613794"/>
    <n v="0"/>
    <n v="0"/>
    <n v="0"/>
    <n v="68.664654978306658"/>
    <n v="281.88520014976217"/>
    <n v="140.23585871718922"/>
    <n v="0"/>
    <n v="0"/>
    <n v="0"/>
    <n v="0"/>
    <n v="0"/>
    <n v="5.3159322263035946"/>
    <m/>
    <n v="1.3028739877858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345601866631924"/>
    <n v="0"/>
    <n v="0"/>
    <n v="0"/>
    <n v="0"/>
    <n v="0"/>
    <m/>
    <m/>
    <m/>
    <m/>
    <m/>
    <m/>
    <n v="248.05050400000002"/>
    <m/>
    <m/>
    <n v="159.58146058382113"/>
    <m/>
    <m/>
    <m/>
    <m/>
    <m/>
    <m/>
    <m/>
    <m/>
    <m/>
    <m/>
    <m/>
    <m/>
    <n v="127.50980000000001"/>
    <n v="-59.947799999999944"/>
    <m/>
    <m/>
    <m/>
    <m/>
    <n v="-174.18923999999998"/>
    <n v="0"/>
    <n v="31"/>
    <n v="-1.3523014930852923"/>
    <n v="0"/>
    <n v="0"/>
    <n v="0"/>
    <n v="0"/>
    <n v="0"/>
    <n v="0"/>
    <n v="0"/>
    <n v="-0.17647421003647423"/>
    <n v="0"/>
    <n v="0"/>
    <n v="-1.9660177486002794E-8"/>
    <n v="0"/>
    <n v="0"/>
    <n v="0"/>
    <n v="-2.7121167534005508E-9"/>
    <n v="0"/>
    <n v="-0.99997141675510193"/>
    <m/>
    <n v="0"/>
    <n v="0"/>
    <n v="0"/>
    <n v="0"/>
    <n v="-0.13354745592236039"/>
    <n v="-4.2308387999147712E-2"/>
    <n v="0"/>
    <n v="0"/>
    <m/>
    <m/>
    <m/>
    <n v="281.88520014976217"/>
    <n v="0"/>
    <n v="0"/>
    <n v="-174.18924000000001"/>
    <n v="0"/>
    <n v="0"/>
    <n v="0"/>
    <n v="-172.8365353836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0.247"/>
    <n v="0.247"/>
    <n v="0.247"/>
    <n v="0.247"/>
    <m/>
    <n v="739.04"/>
    <n v="252.22"/>
    <m/>
    <n v="244.84121999999999"/>
    <n v="244.84121999999999"/>
    <n v="167.45859000000002"/>
    <n v="0"/>
    <n v="15.277729685981306"/>
    <n v="0"/>
    <n v="0"/>
    <n v="0"/>
    <n v="30.503902481370044"/>
    <n v="125.22597920322167"/>
    <n v="62.299023566808877"/>
    <n v="0"/>
    <n v="0"/>
    <n v="0"/>
    <n v="0"/>
    <n v="0"/>
    <n v="2.36157420844782"/>
    <m/>
    <n v="0.57879473917823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941792465073465"/>
    <n v="0"/>
    <n v="0"/>
    <n v="0"/>
    <n v="0"/>
    <n v="0"/>
    <m/>
    <m/>
    <m/>
    <m/>
    <m/>
    <n v="24.299859999999999"/>
    <m/>
    <m/>
    <m/>
    <n v="70.893202813316222"/>
    <m/>
    <m/>
    <m/>
    <m/>
    <m/>
    <m/>
    <m/>
    <m/>
    <m/>
    <m/>
    <m/>
    <m/>
    <n v="144.89750000000001"/>
    <n v="-63.291749999999951"/>
    <m/>
    <m/>
    <m/>
    <m/>
    <n v="-77.382629999999992"/>
    <n v="0"/>
    <n v="31"/>
    <n v="-0.60075264171241827"/>
    <n v="0"/>
    <n v="0"/>
    <n v="0"/>
    <n v="0"/>
    <n v="0"/>
    <n v="0"/>
    <n v="0"/>
    <n v="-7.8397715609735741E-2"/>
    <n v="0"/>
    <n v="0"/>
    <n v="-8.7339273591169331E-9"/>
    <n v="0"/>
    <n v="0"/>
    <n v="0"/>
    <n v="-1.2048424480326503E-9"/>
    <n v="0"/>
    <n v="-0.44423190636422838"/>
    <m/>
    <n v="0"/>
    <n v="0"/>
    <n v="0"/>
    <n v="0"/>
    <n v="-5.932773671371061E-2"/>
    <n v="-1.8795273085952302E-2"/>
    <n v="0"/>
    <n v="0"/>
    <m/>
    <m/>
    <m/>
    <n v="125.22597920322167"/>
    <n v="0"/>
    <n v="0"/>
    <n v="-77.382629999999992"/>
    <n v="0"/>
    <n v="0"/>
    <n v="0"/>
    <n v="-76.781698272938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"/>
    <s v="Regular"/>
    <s v="Verde"/>
    <s v="A4"/>
    <s v="Rural"/>
    <s v="Agropecuária rural"/>
    <s v="Não se aplica"/>
    <s v="Não se aplica"/>
    <s v="Ponta"/>
    <s v="CATIVO"/>
    <x v="0"/>
    <n v="0"/>
    <n v="0"/>
    <n v="4.1559999999999997"/>
    <n v="3.9897599999999995"/>
    <n v="4.1559999999999997"/>
    <n v="3.9897599999999995"/>
    <m/>
    <n v="2641.06"/>
    <n v="252.22"/>
    <m/>
    <n v="12024.471679999999"/>
    <n v="12024.471679999999"/>
    <n v="7137.2650399999984"/>
    <n v="0"/>
    <n v="223.64369546638187"/>
    <n v="0"/>
    <n v="0"/>
    <n v="0"/>
    <n v="2692.1196126810687"/>
    <n v="7946.6474559501967"/>
    <n v="1048.2378216342415"/>
    <n v="0"/>
    <n v="0"/>
    <n v="0"/>
    <n v="0"/>
    <n v="0"/>
    <n v="39.735637288700964"/>
    <m/>
    <n v="9.9989459080274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097328328248992"/>
    <n v="0"/>
    <n v="0"/>
    <n v="0"/>
    <n v="0"/>
    <n v="0"/>
    <m/>
    <m/>
    <m/>
    <m/>
    <m/>
    <n v="285.49060160000028"/>
    <m/>
    <m/>
    <m/>
    <n v="1112.3351499624905"/>
    <m/>
    <m/>
    <m/>
    <m/>
    <m/>
    <m/>
    <m/>
    <m/>
    <m/>
    <m/>
    <m/>
    <m/>
    <n v="6852.1866"/>
    <n v="-4691.3362127999981"/>
    <m/>
    <m/>
    <m/>
    <m/>
    <n v="-4887.2066399999994"/>
    <n v="0"/>
    <n v="31"/>
    <n v="-14.744832499177846"/>
    <n v="0"/>
    <n v="0"/>
    <n v="0"/>
    <n v="0"/>
    <n v="0"/>
    <n v="0"/>
    <n v="0"/>
    <n v="-6.9189844778547922"/>
    <n v="0"/>
    <n v="0"/>
    <n v="-1.4695615391246974E-7"/>
    <n v="0"/>
    <n v="0"/>
    <n v="0"/>
    <n v="-8.986091870610835E-9"/>
    <n v="0"/>
    <n v="-6.502907645665033"/>
    <m/>
    <n v="0"/>
    <n v="0"/>
    <n v="0"/>
    <n v="0"/>
    <n v="-0.99824321369303703"/>
    <n v="-0.32469700602303675"/>
    <n v="0"/>
    <n v="0"/>
    <m/>
    <m/>
    <m/>
    <n v="7946.6474559501967"/>
    <n v="0"/>
    <n v="0"/>
    <n v="-4887.2066400000003"/>
    <n v="0"/>
    <n v="0"/>
    <n v="0"/>
    <n v="-4872.448122397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"/>
    <s v="Regular"/>
    <s v="Verde"/>
    <s v="A4"/>
    <s v="Rural"/>
    <s v="Agropecuária rural"/>
    <s v="Não se aplica"/>
    <s v="Não se aplica"/>
    <s v="Fora ponta"/>
    <s v="CATIVO"/>
    <x v="0"/>
    <n v="0"/>
    <n v="0"/>
    <n v="30.774000000000001"/>
    <n v="29.543040000000001"/>
    <n v="30.774000000000001"/>
    <n v="29.543040000000001"/>
    <m/>
    <n v="81.2"/>
    <n v="252.22"/>
    <m/>
    <n v="10260.667080000001"/>
    <n v="10260.667080000001"/>
    <n v="10202.811960000001"/>
    <n v="0"/>
    <n v="1656.0180664779684"/>
    <n v="0"/>
    <n v="0"/>
    <n v="0"/>
    <n v="0"/>
    <n v="0"/>
    <n v="7761.9034463359367"/>
    <n v="0"/>
    <n v="0"/>
    <n v="0"/>
    <n v="0"/>
    <n v="0"/>
    <n v="294.23111210839357"/>
    <m/>
    <n v="74.039355479701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4.62251731798239"/>
    <n v="0"/>
    <n v="0"/>
    <n v="0"/>
    <n v="0"/>
    <n v="0"/>
    <m/>
    <m/>
    <m/>
    <m/>
    <m/>
    <n v="408.11247839999987"/>
    <m/>
    <m/>
    <m/>
    <n v="8236.5259636539195"/>
    <m/>
    <m/>
    <m/>
    <m/>
    <m/>
    <m/>
    <m/>
    <m/>
    <m/>
    <m/>
    <m/>
    <m/>
    <n v="9793.6915999999983"/>
    <n v="-56.578796800002237"/>
    <m/>
    <m/>
    <m/>
    <m/>
    <n v="-57.855120000000298"/>
    <n v="0"/>
    <n v="31"/>
    <n v="-57.948182629503208"/>
    <n v="0"/>
    <n v="0"/>
    <n v="0"/>
    <n v="0"/>
    <n v="0"/>
    <n v="0"/>
    <n v="0"/>
    <n v="0"/>
    <n v="0"/>
    <n v="0"/>
    <n v="-1.0881694834097289E-6"/>
    <n v="0"/>
    <n v="0"/>
    <n v="0"/>
    <n v="-6.6539485032990342E-8"/>
    <n v="0"/>
    <n v="-48.152184766048094"/>
    <m/>
    <n v="0"/>
    <n v="0"/>
    <n v="0"/>
    <n v="0"/>
    <n v="-7.3917075693430547"/>
    <n v="-2.404289139401584"/>
    <n v="0"/>
    <n v="0"/>
    <m/>
    <m/>
    <m/>
    <n v="0"/>
    <n v="0"/>
    <n v="0"/>
    <n v="-57.85512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"/>
    <s v="Regular"/>
    <s v="Verde"/>
    <s v="A4"/>
    <s v="Rural"/>
    <s v="Agropecuária rural"/>
    <s v="Não se aplica"/>
    <s v="Não se aplica"/>
    <s v="Não se aplica"/>
    <s v="CATIVO"/>
    <x v="0"/>
    <n v="1250"/>
    <n v="1200"/>
    <n v="0"/>
    <n v="0"/>
    <n v="0"/>
    <n v="0"/>
    <n v="74.44"/>
    <m/>
    <m/>
    <n v="93050"/>
    <m/>
    <n v="93050"/>
    <n v="56775"/>
    <n v="0"/>
    <n v="0"/>
    <n v="0"/>
    <n v="0"/>
    <n v="0"/>
    <n v="34021.365663064753"/>
    <n v="59026.922417722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4.35"/>
    <n v="24"/>
    <m/>
    <m/>
    <m/>
    <m/>
    <m/>
    <n v="2271"/>
    <m/>
    <m/>
    <m/>
    <n v="0"/>
    <m/>
    <m/>
    <m/>
    <m/>
    <m/>
    <m/>
    <m/>
    <m/>
    <m/>
    <m/>
    <m/>
    <m/>
    <n v="54504"/>
    <n v="-34824.029999999984"/>
    <m/>
    <m/>
    <m/>
    <m/>
    <n v="-36274.999999999993"/>
    <n v="0"/>
    <n v="31"/>
    <n v="-87.437905741375289"/>
    <n v="0"/>
    <n v="0"/>
    <n v="0"/>
    <n v="0"/>
    <m/>
    <m/>
    <m/>
    <n v="-87.4379057413752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026.922417722752"/>
    <m/>
    <n v="0"/>
    <n v="0"/>
    <n v="-36275"/>
    <m/>
    <n v="0"/>
    <m/>
    <n v="-36192.06953616812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2"/>
    <s v="Regular"/>
    <s v="Verde"/>
    <s v="A4"/>
    <s v="Rural"/>
    <s v="Agropecuária rural"/>
    <s v="IRRIG./AQUIC. PR"/>
    <s v="Não se aplica"/>
    <s v="Fora ponta"/>
    <s v="CATIVO"/>
    <x v="0"/>
    <n v="0"/>
    <n v="0"/>
    <n v="17.12"/>
    <n v="5.1360000000000001"/>
    <n v="17.12"/>
    <n v="5.1360000000000001"/>
    <m/>
    <n v="81.2"/>
    <n v="252.22"/>
    <m/>
    <n v="5708.1504000000004"/>
    <n v="5708.1504000000004"/>
    <n v="5675.9647999999997"/>
    <n v="0"/>
    <n v="921.26565601165976"/>
    <n v="0"/>
    <n v="0"/>
    <n v="0"/>
    <n v="0"/>
    <n v="0"/>
    <n v="4318.0537792055384"/>
    <n v="0"/>
    <n v="0"/>
    <n v="0"/>
    <n v="0"/>
    <n v="0"/>
    <n v="163.68481963006752"/>
    <m/>
    <n v="41.189113076378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0390425841249"/>
    <n v="0"/>
    <n v="0"/>
    <n v="0"/>
    <n v="0"/>
    <n v="0"/>
    <m/>
    <m/>
    <m/>
    <m/>
    <m/>
    <m/>
    <n v="3973.1753600000006"/>
    <m/>
    <m/>
    <n v="4582.0928217896635"/>
    <m/>
    <m/>
    <m/>
    <m/>
    <m/>
    <m/>
    <m/>
    <m/>
    <m/>
    <m/>
    <m/>
    <m/>
    <n v="1704.1155999999999"/>
    <n v="-8.3595200000002023"/>
    <m/>
    <m/>
    <m/>
    <m/>
    <n v="-32.185600000000164"/>
    <n v="0"/>
    <n v="31"/>
    <n v="-32.237372022390446"/>
    <n v="0"/>
    <n v="0"/>
    <n v="0"/>
    <n v="0"/>
    <n v="0"/>
    <n v="0"/>
    <n v="0"/>
    <n v="0"/>
    <n v="0"/>
    <n v="0"/>
    <n v="-6.0536331147886813E-7"/>
    <n v="0"/>
    <n v="0"/>
    <n v="0"/>
    <n v="-3.7016889109509066E-8"/>
    <n v="0"/>
    <n v="-26.787723506685552"/>
    <m/>
    <n v="0"/>
    <n v="0"/>
    <n v="0"/>
    <n v="0"/>
    <n v="-4.1121087147316757"/>
    <n v="-1.337539158593458"/>
    <n v="0"/>
    <n v="0"/>
    <m/>
    <m/>
    <m/>
    <n v="0"/>
    <n v="0"/>
    <n v="0"/>
    <n v="-32.18560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"/>
    <s v="Regular"/>
    <s v="Convencional"/>
    <s v="B1"/>
    <s v="Residencial"/>
    <s v="Residencial"/>
    <s v="Não se aplica"/>
    <s v="Não se aplica"/>
    <s v="Não se aplica"/>
    <s v="CATIVO"/>
    <x v="1"/>
    <n v="0"/>
    <n v="0"/>
    <n v="1012.851"/>
    <n v="1012.851"/>
    <n v="1012.851"/>
    <n v="1012.851"/>
    <m/>
    <n v="739.04"/>
    <n v="252.22"/>
    <m/>
    <n v="1003998.68226"/>
    <n v="1003998.68226"/>
    <n v="686682.59247000003"/>
    <n v="0"/>
    <n v="62648.031539173491"/>
    <n v="0"/>
    <n v="0"/>
    <n v="0"/>
    <n v="125084.64830833251"/>
    <n v="513503.06988648692"/>
    <n v="255464.08226180539"/>
    <n v="0"/>
    <n v="0"/>
    <n v="0"/>
    <n v="0"/>
    <n v="0"/>
    <n v="9683.8979700428445"/>
    <m/>
    <n v="2373.4122687101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41.388842122316"/>
    <n v="0"/>
    <n v="0"/>
    <n v="0"/>
    <n v="299641.03999999998"/>
    <n v="8243"/>
    <m/>
    <m/>
    <m/>
    <m/>
    <m/>
    <m/>
    <m/>
    <m/>
    <m/>
    <n v="290705.4711039277"/>
    <m/>
    <m/>
    <m/>
    <m/>
    <m/>
    <m/>
    <m/>
    <m/>
    <m/>
    <m/>
    <m/>
    <m/>
    <n v="686681.91449999996"/>
    <n v="-317316.7977600001"/>
    <m/>
    <m/>
    <m/>
    <m/>
    <n v="-317316.08978999994"/>
    <n v="0"/>
    <n v="31"/>
    <n v="-2463.453092757205"/>
    <n v="0"/>
    <n v="0"/>
    <n v="0"/>
    <n v="0"/>
    <n v="0"/>
    <n v="0"/>
    <n v="0"/>
    <n v="-321.47856134832546"/>
    <n v="0"/>
    <n v="0"/>
    <n v="-3.5814417060464621E-5"/>
    <n v="0"/>
    <n v="0"/>
    <n v="0"/>
    <n v="-4.9405934987589717E-6"/>
    <n v="0"/>
    <n v="-1821.622391064433"/>
    <m/>
    <n v="0"/>
    <n v="0"/>
    <n v="0"/>
    <n v="0"/>
    <n v="-243.27998970938643"/>
    <n v="-77.072109880080461"/>
    <n v="0"/>
    <n v="0"/>
    <m/>
    <m/>
    <m/>
    <n v="513503.06988648692"/>
    <n v="0"/>
    <n v="0"/>
    <n v="-317316.08979"/>
    <n v="0"/>
    <n v="0"/>
    <n v="0"/>
    <n v="-314851.90233783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32500000000000001"/>
    <n v="-0.32500000000000001"/>
    <n v="-0.32500000000000001"/>
    <n v="-0.32500000000000001"/>
    <m/>
    <n v="739.04"/>
    <n v="252.22"/>
    <m/>
    <n v="-322.15949999999998"/>
    <n v="-322.15949999999998"/>
    <n v="-220.34025000000003"/>
    <n v="0"/>
    <n v="-20.102275902606983"/>
    <n v="0"/>
    <n v="0"/>
    <n v="0"/>
    <n v="-40.136713791276371"/>
    <n v="-164.77102526739694"/>
    <n v="-81.972399430011677"/>
    <n v="0"/>
    <n v="0"/>
    <n v="0"/>
    <n v="0"/>
    <n v="0"/>
    <n v="-3.1073344847997628"/>
    <m/>
    <n v="-0.76157202523452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308130587509666"/>
    <n v="0"/>
    <n v="0"/>
    <n v="0"/>
    <n v="-121.02"/>
    <n v="0"/>
    <m/>
    <m/>
    <m/>
    <m/>
    <m/>
    <m/>
    <m/>
    <m/>
    <m/>
    <n v="-93.280530017521343"/>
    <m/>
    <m/>
    <m/>
    <m/>
    <m/>
    <m/>
    <m/>
    <m/>
    <m/>
    <m/>
    <m/>
    <m/>
    <n v="-223.73009999999999"/>
    <n v="98.399400000000014"/>
    <m/>
    <m/>
    <m/>
    <m/>
    <n v="101.81925"/>
    <n v="0"/>
    <n v="31"/>
    <n v="0.79046400225311686"/>
    <n v="0"/>
    <n v="0"/>
    <n v="0"/>
    <n v="0"/>
    <n v="0"/>
    <n v="0"/>
    <n v="0"/>
    <n v="0.10315488896016944"/>
    <n v="0"/>
    <n v="0"/>
    <n v="1.1492005569380126E-8"/>
    <n v="0"/>
    <n v="0"/>
    <n v="0"/>
    <n v="1.5853185431069505E-9"/>
    <n v="0"/>
    <n v="0.58451566626872165"/>
    <m/>
    <n v="0"/>
    <n v="0"/>
    <n v="0"/>
    <n v="0"/>
    <n v="7.8062811465408277E-2"/>
    <n v="2.4730622481516251E-2"/>
    <n v="0"/>
    <n v="0"/>
    <m/>
    <m/>
    <m/>
    <n v="-164.77102526739694"/>
    <n v="0"/>
    <n v="0"/>
    <n v="101.81924999999998"/>
    <n v="0"/>
    <n v="0"/>
    <n v="0"/>
    <n v="101.02855035912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5.491"/>
    <n v="35.491"/>
    <n v="35.491"/>
    <n v="35.491"/>
    <m/>
    <n v="739.04"/>
    <n v="252.22"/>
    <m/>
    <n v="35180.808659999995"/>
    <n v="35180.808659999995"/>
    <n v="24061.833270000003"/>
    <n v="0"/>
    <n v="2195.230381721306"/>
    <n v="0"/>
    <n v="0"/>
    <n v="0"/>
    <n v="4383.0526435882757"/>
    <n v="17993.502946969798"/>
    <n v="8951.6382405247514"/>
    <n v="0"/>
    <n v="0"/>
    <n v="0"/>
    <n v="0"/>
    <n v="0"/>
    <n v="339.3304867693181"/>
    <m/>
    <n v="83.166008454148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4.8826544040171"/>
    <n v="0"/>
    <n v="0"/>
    <n v="0"/>
    <n v="28321.599999999999"/>
    <n v="467"/>
    <m/>
    <m/>
    <m/>
    <m/>
    <m/>
    <m/>
    <m/>
    <m/>
    <m/>
    <n v="10186.520894928768"/>
    <m/>
    <m/>
    <m/>
    <m/>
    <m/>
    <m/>
    <m/>
    <m/>
    <m/>
    <m/>
    <m/>
    <m/>
    <n v="24061.155299999999"/>
    <n v="-11119.683360000003"/>
    <m/>
    <m/>
    <m/>
    <m/>
    <n v="-11118.975389999998"/>
    <n v="0"/>
    <n v="31"/>
    <n v="-86.321101242971054"/>
    <n v="0"/>
    <n v="0"/>
    <n v="0"/>
    <n v="0"/>
    <n v="0"/>
    <n v="0"/>
    <n v="0"/>
    <n v="-11.264831274109383"/>
    <n v="0"/>
    <n v="0"/>
    <n v="-1.2549626262625679E-6"/>
    <n v="0"/>
    <n v="0"/>
    <n v="0"/>
    <n v="-1.7312163436145056E-7"/>
    <n v="0"/>
    <n v="-63.830909266287108"/>
    <m/>
    <n v="0"/>
    <n v="0"/>
    <n v="0"/>
    <n v="0"/>
    <n v="-8.5246992052886412"/>
    <n v="-2.7006600692045879"/>
    <n v="0"/>
    <n v="0"/>
    <m/>
    <m/>
    <m/>
    <n v="17993.502946969798"/>
    <n v="0"/>
    <n v="0"/>
    <n v="-11118.975389999998"/>
    <n v="0"/>
    <n v="0"/>
    <n v="0"/>
    <n v="-11032.628556294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8.52"/>
    <n v="8.52"/>
    <n v="8.52"/>
    <n v="8.52"/>
    <m/>
    <n v="667.62"/>
    <n v="252.22"/>
    <m/>
    <n v="7837.0367999999999"/>
    <n v="7837.0367999999999"/>
    <n v="5185.1867999999995"/>
    <n v="0"/>
    <n v="0"/>
    <n v="0"/>
    <n v="0"/>
    <n v="0"/>
    <n v="1052.1993892359221"/>
    <n v="4319.535800856067"/>
    <n v="2148.9379789036907"/>
    <n v="0"/>
    <n v="0"/>
    <n v="0"/>
    <n v="0"/>
    <n v="0"/>
    <n v="0"/>
    <m/>
    <n v="19.964903553840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44699263256109"/>
    <n v="0"/>
    <n v="0"/>
    <n v="0"/>
    <n v="631.48"/>
    <n v="25"/>
    <m/>
    <m/>
    <m/>
    <m/>
    <m/>
    <m/>
    <m/>
    <n v="3370.3415999999997"/>
    <m/>
    <n v="2445.3849715362517"/>
    <m/>
    <m/>
    <m/>
    <m/>
    <m/>
    <m/>
    <m/>
    <m/>
    <m/>
    <m/>
    <m/>
    <m/>
    <n v="1814.8451999999997"/>
    <n v="-928.19880000000012"/>
    <m/>
    <m/>
    <m/>
    <m/>
    <n v="-2651.85"/>
    <n v="0"/>
    <n v="31"/>
    <n v="-3.3525682120061902"/>
    <n v="0"/>
    <n v="0"/>
    <n v="0"/>
    <n v="0"/>
    <n v="0"/>
    <n v="0"/>
    <n v="0"/>
    <n v="-2.7042450890482996"/>
    <n v="0"/>
    <n v="0"/>
    <n v="-3.0126739147817716E-7"/>
    <n v="0"/>
    <n v="0"/>
    <n v="0"/>
    <n v="-4.1559758301445981E-8"/>
    <n v="0"/>
    <n v="0"/>
    <m/>
    <n v="0"/>
    <n v="0"/>
    <n v="0"/>
    <n v="0"/>
    <n v="0"/>
    <n v="-0.648322780130826"/>
    <n v="0"/>
    <n v="0"/>
    <m/>
    <m/>
    <m/>
    <n v="4319.535800856067"/>
    <n v="0"/>
    <n v="0"/>
    <n v="-2651.8500000000004"/>
    <n v="0"/>
    <n v="0"/>
    <n v="0"/>
    <n v="-2648.5023047993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"/>
    <s v="Sistema de Compensação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7.5999999999999998E-2"/>
    <n v="-7.22E-2"/>
    <n v="7.5999999999999998E-2"/>
    <n v="-7.22E-2"/>
    <m/>
    <n v="667.62"/>
    <n v="252.22"/>
    <m/>
    <n v="69.907839999999993"/>
    <n v="69.907839999999993"/>
    <n v="46.252839999999999"/>
    <n v="0"/>
    <n v="0"/>
    <n v="0"/>
    <n v="0"/>
    <n v="0"/>
    <n v="9.3858161481138591"/>
    <n v="38.531070524068205"/>
    <n v="19.168930328248884"/>
    <n v="0"/>
    <n v="0"/>
    <n v="0"/>
    <n v="0"/>
    <n v="0"/>
    <n v="0"/>
    <m/>
    <n v="0.17809068897791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443628450791832"/>
    <n v="0"/>
    <n v="0"/>
    <n v="0"/>
    <n v="7.12"/>
    <n v="0"/>
    <m/>
    <m/>
    <m/>
    <m/>
    <m/>
    <m/>
    <m/>
    <n v="61.632161999999994"/>
    <m/>
    <n v="21.813293173328066"/>
    <m/>
    <m/>
    <m/>
    <m/>
    <m/>
    <m/>
    <m/>
    <m/>
    <m/>
    <m/>
    <m/>
    <m/>
    <n v="-14.910700000000002"/>
    <n v="8.3040899999999951"/>
    <m/>
    <m/>
    <m/>
    <m/>
    <n v="-23.655000000000001"/>
    <n v="0"/>
    <n v="31"/>
    <n v="-2.9905538041365531E-2"/>
    <n v="0"/>
    <n v="0"/>
    <n v="0"/>
    <n v="0"/>
    <n v="0"/>
    <n v="0"/>
    <n v="0"/>
    <n v="-2.412237403376416E-2"/>
    <n v="0"/>
    <n v="0"/>
    <n v="-2.6873614444866689E-9"/>
    <n v="0"/>
    <n v="0"/>
    <n v="0"/>
    <n v="-3.7072034331231407E-10"/>
    <n v="0"/>
    <n v="0"/>
    <m/>
    <n v="0"/>
    <n v="0"/>
    <n v="0"/>
    <n v="0"/>
    <n v="0"/>
    <n v="-5.7831609495238023E-3"/>
    <n v="0"/>
    <n v="0"/>
    <m/>
    <m/>
    <m/>
    <n v="38.531070524068205"/>
    <n v="0"/>
    <n v="0"/>
    <n v="-23.655000000000001"/>
    <n v="0"/>
    <n v="0"/>
    <n v="0"/>
    <n v="-23.62513793013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4.515000000000001"/>
    <n v="14.515000000000001"/>
    <n v="14.515000000000001"/>
    <n v="14.515000000000001"/>
    <m/>
    <n v="667.62"/>
    <n v="252.22"/>
    <m/>
    <n v="13351.4776"/>
    <n v="13351.4776"/>
    <n v="8833.6838500000013"/>
    <n v="0"/>
    <n v="0"/>
    <n v="0"/>
    <n v="0"/>
    <n v="0"/>
    <n v="1792.567386708851"/>
    <n v="7358.9274823269734"/>
    <n v="3661.0134699280602"/>
    <n v="0"/>
    <n v="0"/>
    <n v="0"/>
    <n v="0"/>
    <n v="0"/>
    <n v="0"/>
    <m/>
    <n v="34.012978296243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5.03850916216248"/>
    <n v="0"/>
    <n v="0"/>
    <n v="0"/>
    <n v="2220.1"/>
    <n v="113"/>
    <m/>
    <m/>
    <m/>
    <m/>
    <m/>
    <m/>
    <m/>
    <n v="3533.5316000000003"/>
    <m/>
    <n v="4166.0519790902226"/>
    <m/>
    <m/>
    <m/>
    <m/>
    <m/>
    <m/>
    <m/>
    <m/>
    <m/>
    <m/>
    <m/>
    <m/>
    <n v="5301.9779999999992"/>
    <n v="-2708.8805000000011"/>
    <m/>
    <m/>
    <m/>
    <m/>
    <n v="-4517.7937499999998"/>
    <n v="0"/>
    <n v="31"/>
    <n v="-5.711564271979114"/>
    <n v="0"/>
    <n v="0"/>
    <n v="0"/>
    <n v="0"/>
    <n v="0"/>
    <n v="0"/>
    <n v="0"/>
    <n v="-4.6070560407906669"/>
    <n v="0"/>
    <n v="0"/>
    <n v="-5.1325059757800773E-7"/>
    <n v="0"/>
    <n v="0"/>
    <n v="0"/>
    <n v="-7.0802798290969804E-8"/>
    <n v="0"/>
    <n v="0"/>
    <m/>
    <n v="0"/>
    <n v="0"/>
    <n v="0"/>
    <n v="0"/>
    <n v="0"/>
    <n v="-1.1045076471360247"/>
    <n v="0"/>
    <n v="0"/>
    <m/>
    <m/>
    <m/>
    <n v="7358.9274823269734"/>
    <n v="0"/>
    <n v="0"/>
    <n v="-4517.7937499999998"/>
    <n v="0"/>
    <n v="0"/>
    <n v="0"/>
    <n v="-4512.090487577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"/>
    <s v="Sistema de Compensação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9.2449999999999992"/>
    <n v="9.2449999999999992"/>
    <n v="9.2449999999999992"/>
    <n v="9.2449999999999992"/>
    <m/>
    <n v="667.62"/>
    <n v="252.22"/>
    <m/>
    <n v="8503.9207999999999"/>
    <n v="8503.9207999999999"/>
    <n v="5626.4145499999995"/>
    <n v="0"/>
    <n v="0"/>
    <n v="0"/>
    <n v="0"/>
    <n v="0"/>
    <n v="1141.7351353856925"/>
    <n v="4687.1019341448755"/>
    <n v="2331.7994853244859"/>
    <n v="0"/>
    <n v="0"/>
    <n v="0"/>
    <n v="0"/>
    <n v="0"/>
    <n v="0"/>
    <m/>
    <n v="21.663794994748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.67282240469802"/>
    <n v="0"/>
    <n v="0"/>
    <n v="0"/>
    <n v="2480.1999999999998"/>
    <n v="117"/>
    <m/>
    <m/>
    <m/>
    <m/>
    <m/>
    <m/>
    <m/>
    <n v="562.55824999999982"/>
    <m/>
    <n v="2653.4723077291837"/>
    <m/>
    <m/>
    <m/>
    <m/>
    <m/>
    <m/>
    <m/>
    <m/>
    <m/>
    <m/>
    <m/>
    <m/>
    <n v="5066.5950000000003"/>
    <n v="-2587.0006999999996"/>
    <m/>
    <m/>
    <m/>
    <m/>
    <n v="-2877.5062499999999"/>
    <n v="0"/>
    <n v="31"/>
    <n v="-3.6378513051636219"/>
    <n v="0"/>
    <n v="0"/>
    <n v="0"/>
    <n v="0"/>
    <n v="0"/>
    <n v="0"/>
    <n v="0"/>
    <n v="-2.9343598413440759"/>
    <n v="0"/>
    <n v="0"/>
    <n v="-3.2690331863705069E-7"/>
    <n v="0"/>
    <n v="0"/>
    <n v="0"/>
    <n v="-4.5096214762452291E-8"/>
    <n v="0"/>
    <n v="0"/>
    <m/>
    <n v="0"/>
    <n v="0"/>
    <n v="0"/>
    <n v="0"/>
    <n v="0"/>
    <n v="-0.70349109182036074"/>
    <n v="0"/>
    <n v="0"/>
    <m/>
    <m/>
    <m/>
    <n v="4687.1019341448755"/>
    <n v="0"/>
    <n v="0"/>
    <n v="-2877.5062499999999"/>
    <n v="0"/>
    <n v="0"/>
    <n v="0"/>
    <n v="-2873.873686369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"/>
    <s v="Sistema de Compensação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.8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2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.6419999999999999"/>
    <n v="1.6419999999999999"/>
    <n v="1.6419999999999999"/>
    <n v="1.6419999999999999"/>
    <m/>
    <n v="667.62"/>
    <n v="252.22"/>
    <m/>
    <n v="1510.3772799999999"/>
    <n v="1510.3772799999999"/>
    <n v="999.30477999999994"/>
    <n v="0"/>
    <n v="0"/>
    <n v="0"/>
    <n v="0"/>
    <n v="0"/>
    <n v="202.78302783161786"/>
    <n v="832.47391842789455"/>
    <n v="414.14978419716664"/>
    <n v="0"/>
    <n v="0"/>
    <n v="0"/>
    <n v="0"/>
    <n v="0"/>
    <n v="0"/>
    <m/>
    <n v="3.8476962013387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132155152894988"/>
    <n v="0"/>
    <n v="0"/>
    <n v="0"/>
    <n v="662.23"/>
    <n v="29"/>
    <m/>
    <m/>
    <m/>
    <m/>
    <m/>
    <m/>
    <m/>
    <m/>
    <m/>
    <n v="471.28193935006163"/>
    <m/>
    <m/>
    <m/>
    <m/>
    <m/>
    <m/>
    <m/>
    <m/>
    <m/>
    <m/>
    <m/>
    <m/>
    <n v="998.08759999999984"/>
    <n v="-512.31968000000006"/>
    <m/>
    <m/>
    <m/>
    <m/>
    <n v="-511.07249999999999"/>
    <n v="0"/>
    <n v="31"/>
    <n v="-0.6461170192623058"/>
    <n v="0"/>
    <n v="0"/>
    <n v="0"/>
    <n v="0"/>
    <n v="0"/>
    <n v="0"/>
    <n v="0"/>
    <n v="-0.52117023899265291"/>
    <n v="0"/>
    <n v="0"/>
    <n v="-5.8061118579644244E-8"/>
    <n v="0"/>
    <n v="0"/>
    <n v="0"/>
    <n v="-8.0095219345821533E-9"/>
    <n v="0"/>
    <n v="0"/>
    <m/>
    <n v="0"/>
    <n v="0"/>
    <n v="0"/>
    <n v="0"/>
    <n v="0"/>
    <n v="-0.12494671419892223"/>
    <n v="0"/>
    <n v="0"/>
    <m/>
    <m/>
    <m/>
    <n v="832.47391842789455"/>
    <n v="0"/>
    <n v="0"/>
    <n v="-511.07249999999988"/>
    <n v="0"/>
    <n v="0"/>
    <n v="0"/>
    <n v="-510.42732212212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3"/>
    <s v="Sistema de Compensação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4"/>
    <s v="Refaturamento - Regular"/>
    <s v="Convencional"/>
    <s v="A4"/>
    <s v="Industrial"/>
    <s v="Não se aplica"/>
    <s v="Não se aplica"/>
    <s v="Não se aplica"/>
    <s v="Não se aplica"/>
    <s v="CATIVO"/>
    <x v="1"/>
    <n v="-54"/>
    <n v="-54"/>
    <n v="0"/>
    <n v="0"/>
    <n v="0"/>
    <n v="0"/>
    <n v="151.13"/>
    <m/>
    <m/>
    <n v="-8161.0199999999995"/>
    <m/>
    <n v="-8161.0199999999995"/>
    <n v="-4695.3"/>
    <n v="0"/>
    <n v="0"/>
    <n v="0"/>
    <n v="0"/>
    <n v="0"/>
    <n v="-2519.7357803072864"/>
    <n v="-5641.11603059396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810.52"/>
    <n v="0"/>
    <m/>
    <m/>
    <m/>
    <m/>
    <m/>
    <m/>
    <m/>
    <m/>
    <m/>
    <n v="0"/>
    <m/>
    <m/>
    <m/>
    <m/>
    <m/>
    <m/>
    <m/>
    <m/>
    <m/>
    <m/>
    <m/>
    <m/>
    <n v="-4695.3"/>
    <n v="3465.6899999999987"/>
    <m/>
    <m/>
    <m/>
    <m/>
    <n v="3465.72"/>
    <n v="0"/>
    <n v="31"/>
    <n v="6.4759428481966097"/>
    <n v="0"/>
    <n v="0"/>
    <n v="0"/>
    <n v="0"/>
    <m/>
    <m/>
    <m/>
    <n v="6.47594284819660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-5641.1160305939638"/>
    <m/>
    <n v="0"/>
    <n v="0"/>
    <n v="3465.7199999999993"/>
    <m/>
    <n v="0"/>
    <m/>
    <n v="3458.822775750032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"/>
    <s v="Regular"/>
    <s v="Convencional"/>
    <s v="B3"/>
    <s v="Industrial"/>
    <s v="Não se aplica"/>
    <s v="Não se aplica"/>
    <s v="Não se aplica"/>
    <s v="Não se aplica"/>
    <s v="CATIVO"/>
    <x v="1"/>
    <n v="0"/>
    <n v="0"/>
    <n v="44.094999999999999"/>
    <n v="44.094999999999999"/>
    <n v="44.094999999999999"/>
    <n v="44.094999999999999"/>
    <m/>
    <n v="739.04"/>
    <n v="252.22"/>
    <m/>
    <n v="43709.609700000001"/>
    <n v="43709.609700000001"/>
    <n v="29895.087149999999"/>
    <n v="0"/>
    <n v="2727.4149413090918"/>
    <n v="0"/>
    <n v="0"/>
    <n v="0"/>
    <n v="5445.6258296194819"/>
    <n v="22355.625720510361"/>
    <n v="11121.762931896506"/>
    <n v="0"/>
    <n v="0"/>
    <n v="0"/>
    <n v="0"/>
    <n v="0"/>
    <n v="421.59358186844781"/>
    <m/>
    <n v="103.32774908528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4.2523638653499"/>
    <n v="0"/>
    <n v="0"/>
    <n v="0"/>
    <n v="6864.83"/>
    <n v="17"/>
    <m/>
    <m/>
    <m/>
    <m/>
    <m/>
    <m/>
    <m/>
    <m/>
    <m/>
    <n v="12656.015295761856"/>
    <m/>
    <m/>
    <m/>
    <m/>
    <m/>
    <m/>
    <m/>
    <m/>
    <m/>
    <m/>
    <m/>
    <m/>
    <n v="29898.476999999999"/>
    <n v="-13811.162700000001"/>
    <m/>
    <m/>
    <m/>
    <m/>
    <n v="-13814.522549999998"/>
    <n v="0"/>
    <n v="31"/>
    <n v="-107.24772362877411"/>
    <n v="0"/>
    <n v="0"/>
    <n v="0"/>
    <n v="0"/>
    <n v="0"/>
    <n v="0"/>
    <n v="0"/>
    <n v="-13.995737934457793"/>
    <n v="0"/>
    <n v="0"/>
    <n v="-1.5591995179420337E-6"/>
    <n v="0"/>
    <n v="0"/>
    <n v="0"/>
    <n v="-2.1509117686946411E-7"/>
    <n v="0"/>
    <n v="-79.305287089597641"/>
    <m/>
    <n v="0"/>
    <n v="0"/>
    <n v="0"/>
    <n v="0"/>
    <n v="-10.59132206636059"/>
    <n v="-3.3553747640690972"/>
    <n v="0"/>
    <n v="0"/>
    <m/>
    <m/>
    <m/>
    <n v="22355.625720510361"/>
    <n v="0"/>
    <n v="0"/>
    <n v="-13814.522549999998"/>
    <n v="0"/>
    <n v="0"/>
    <n v="0"/>
    <n v="-13707.242855648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6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9.2780000000000005"/>
    <n v="9.2780000000000005"/>
    <n v="9.2780000000000005"/>
    <n v="9.2780000000000005"/>
    <m/>
    <n v="739.04"/>
    <n v="252.22"/>
    <m/>
    <n v="9196.9102800000001"/>
    <n v="9196.9102800000001"/>
    <n v="6290.2056600000005"/>
    <n v="0"/>
    <n v="573.87358715196183"/>
    <n v="0"/>
    <n v="0"/>
    <n v="0"/>
    <n v="1145.8105555552684"/>
    <n v="4703.8325305566423"/>
    <n v="2340.122836651226"/>
    <n v="0"/>
    <n v="0"/>
    <n v="0"/>
    <n v="0"/>
    <n v="0"/>
    <n v="88.707228769145232"/>
    <m/>
    <n v="21.741123846541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2.82103258742978"/>
    <n v="0"/>
    <n v="0"/>
    <n v="0"/>
    <n v="2589.56"/>
    <n v="11"/>
    <m/>
    <m/>
    <m/>
    <m/>
    <m/>
    <m/>
    <m/>
    <m/>
    <m/>
    <n v="2662.9438692386557"/>
    <m/>
    <m/>
    <m/>
    <m/>
    <m/>
    <m/>
    <m/>
    <m/>
    <m/>
    <m/>
    <m/>
    <m/>
    <n v="6291.5615999999991"/>
    <n v="-2905.3786800000016"/>
    <m/>
    <m/>
    <m/>
    <m/>
    <n v="-2906.70462"/>
    <n v="0"/>
    <n v="31"/>
    <n v="-22.565923116630984"/>
    <n v="0"/>
    <n v="0"/>
    <n v="0"/>
    <n v="0"/>
    <n v="0"/>
    <n v="0"/>
    <n v="0"/>
    <n v="-2.9448340300693872"/>
    <n v="0"/>
    <n v="0"/>
    <n v="-3.2807020033942536E-7"/>
    <n v="0"/>
    <n v="0"/>
    <n v="0"/>
    <n v="-4.52571953246661E-8"/>
    <n v="0"/>
    <n v="-16.686573389665227"/>
    <m/>
    <n v="0"/>
    <n v="0"/>
    <n v="0"/>
    <n v="0"/>
    <n v="-2.2285131223878807"/>
    <n v="-0.70600220118002355"/>
    <n v="0"/>
    <n v="0"/>
    <m/>
    <m/>
    <m/>
    <n v="4703.8325305566423"/>
    <n v="0"/>
    <n v="0"/>
    <n v="-2906.7046199999995"/>
    <n v="0"/>
    <n v="0"/>
    <n v="0"/>
    <n v="-2884.1319699446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7"/>
    <s v="Regular"/>
    <s v="Verde"/>
    <s v="A4"/>
    <s v="Industrial"/>
    <s v="Não se aplica"/>
    <s v="Não se aplica"/>
    <s v="Não se aplica"/>
    <s v="Ponta"/>
    <s v="CATIVO"/>
    <x v="1"/>
    <n v="0"/>
    <n v="0"/>
    <n v="19.786999999999999"/>
    <n v="19.786999999999999"/>
    <n v="19.786999999999999"/>
    <n v="19.786999999999999"/>
    <m/>
    <n v="2641.06"/>
    <n v="252.22"/>
    <m/>
    <n v="57249.331359999996"/>
    <n v="57249.331359999996"/>
    <n v="33981.006580000001"/>
    <n v="0"/>
    <n v="1064.7829167933826"/>
    <n v="0"/>
    <n v="0"/>
    <n v="0"/>
    <n v="12817.365441799882"/>
    <n v="37834.531571435647"/>
    <n v="4990.7319000665875"/>
    <n v="0"/>
    <n v="0"/>
    <n v="0"/>
    <n v="0"/>
    <n v="0"/>
    <n v="189.18408446379357"/>
    <m/>
    <n v="47.605664745461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.17176025771488"/>
    <n v="0"/>
    <n v="0"/>
    <n v="0"/>
    <n v="0"/>
    <n v="0"/>
    <m/>
    <m/>
    <m/>
    <m/>
    <m/>
    <m/>
    <m/>
    <m/>
    <m/>
    <n v="5295.9036603243021"/>
    <m/>
    <m/>
    <m/>
    <m/>
    <m/>
    <m/>
    <m/>
    <m/>
    <m/>
    <m/>
    <m/>
    <m/>
    <n v="33986.158599999995"/>
    <n v="-23263.202760000007"/>
    <m/>
    <m/>
    <m/>
    <m/>
    <n v="-23268.324779999999"/>
    <n v="0"/>
    <n v="31"/>
    <n v="-70.201155115792062"/>
    <n v="0"/>
    <n v="0"/>
    <n v="0"/>
    <n v="0"/>
    <n v="0"/>
    <n v="0"/>
    <n v="0"/>
    <n v="-32.941757907437932"/>
    <n v="0"/>
    <n v="0"/>
    <n v="-6.9966881710570306E-7"/>
    <n v="0"/>
    <n v="0"/>
    <n v="0"/>
    <n v="-4.2783483422681456E-8"/>
    <n v="0"/>
    <n v="-30.960787676798418"/>
    <m/>
    <n v="0"/>
    <n v="0"/>
    <n v="0"/>
    <n v="0"/>
    <n v="-4.7527041552801279"/>
    <n v="-1.5459046338252804"/>
    <n v="0"/>
    <n v="0"/>
    <m/>
    <m/>
    <m/>
    <n v="37834.531571435647"/>
    <n v="0"/>
    <n v="0"/>
    <n v="-23268.324779999999"/>
    <n v="0"/>
    <n v="0"/>
    <n v="0"/>
    <n v="-23198.05846917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Fora ponta"/>
    <s v="CATIVO"/>
    <x v="1"/>
    <n v="0"/>
    <n v="0"/>
    <n v="428.952"/>
    <n v="428.952"/>
    <n v="428.952"/>
    <n v="428.952"/>
    <m/>
    <n v="81.2"/>
    <n v="252.22"/>
    <m/>
    <n v="143021.17584000001"/>
    <n v="143021.17584000001"/>
    <n v="142214.74608000001"/>
    <n v="0"/>
    <n v="23082.870658733264"/>
    <n v="0"/>
    <n v="0"/>
    <n v="0"/>
    <n v="0"/>
    <n v="0"/>
    <n v="108191.46055477652"/>
    <n v="0"/>
    <n v="0"/>
    <n v="0"/>
    <n v="0"/>
    <n v="0"/>
    <n v="4101.222590534855"/>
    <m/>
    <n v="1032.0182495525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5.6586094944814"/>
    <n v="0"/>
    <n v="0"/>
    <n v="0"/>
    <n v="0"/>
    <n v="0"/>
    <m/>
    <m/>
    <m/>
    <m/>
    <m/>
    <m/>
    <m/>
    <m/>
    <m/>
    <n v="114807.119164271"/>
    <m/>
    <m/>
    <m/>
    <m/>
    <m/>
    <m/>
    <m/>
    <m/>
    <m/>
    <m/>
    <m/>
    <m/>
    <n v="142214.08299999998"/>
    <n v="-807.12284000002546"/>
    <m/>
    <m/>
    <m/>
    <m/>
    <n v="-806.42976000000419"/>
    <n v="0"/>
    <n v="31"/>
    <n v="-807.72693947129301"/>
    <n v="0"/>
    <n v="0"/>
    <n v="0"/>
    <n v="0"/>
    <n v="0"/>
    <n v="0"/>
    <n v="0"/>
    <n v="0"/>
    <n v="0"/>
    <n v="0"/>
    <n v="-1.5167752280831337E-5"/>
    <n v="0"/>
    <n v="0"/>
    <n v="0"/>
    <n v="-9.2747905000578612E-7"/>
    <n v="0"/>
    <n v="-671.18268537615586"/>
    <m/>
    <n v="0"/>
    <n v="0"/>
    <n v="0"/>
    <n v="0"/>
    <n v="-103.03138185756916"/>
    <n v="-33.512856142346891"/>
    <n v="0"/>
    <n v="0"/>
    <m/>
    <m/>
    <m/>
    <n v="0"/>
    <n v="0"/>
    <n v="0"/>
    <n v="-806.4297599999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9"/>
    <s v="Regular"/>
    <s v="Verde"/>
    <s v="A4"/>
    <s v="Industrial"/>
    <s v="Não se aplica"/>
    <s v="Não se aplica"/>
    <s v="Não se aplica"/>
    <s v="Não se aplica"/>
    <s v="CATIVO"/>
    <x v="1"/>
    <n v="2254"/>
    <n v="2254"/>
    <n v="0"/>
    <n v="0"/>
    <n v="0"/>
    <n v="0"/>
    <n v="74.44"/>
    <m/>
    <m/>
    <n v="167787.76"/>
    <m/>
    <n v="167787.76"/>
    <n v="102376.68000000001"/>
    <n v="0"/>
    <n v="0"/>
    <n v="0"/>
    <n v="0"/>
    <n v="0"/>
    <n v="61347.326563638358"/>
    <n v="106437.346503637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6103.86"/>
    <n v="9"/>
    <m/>
    <m/>
    <m/>
    <m/>
    <m/>
    <m/>
    <m/>
    <m/>
    <m/>
    <n v="0"/>
    <m/>
    <m/>
    <m/>
    <m/>
    <m/>
    <m/>
    <m/>
    <m/>
    <m/>
    <m/>
    <m/>
    <m/>
    <n v="102376.68000000001"/>
    <n v="-65411.11000000003"/>
    <m/>
    <m/>
    <m/>
    <m/>
    <n v="-65411.079999999994"/>
    <n v="0"/>
    <n v="31"/>
    <n v="-157.66803163284931"/>
    <n v="0"/>
    <n v="0"/>
    <n v="0"/>
    <n v="0"/>
    <m/>
    <m/>
    <m/>
    <n v="-157.668031632849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437.34650363766"/>
    <m/>
    <n v="0"/>
    <n v="0"/>
    <n v="-65411.08"/>
    <m/>
    <n v="0"/>
    <m/>
    <n v="-65261.53978761836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0"/>
    <s v="Refaturamento - Regular"/>
    <s v="Convencional"/>
    <s v="A4"/>
    <s v="Comercial"/>
    <s v="Não se aplica"/>
    <s v="Não se aplica"/>
    <s v="Não se aplica"/>
    <s v="Não se aplica"/>
    <s v="CATIVO"/>
    <x v="1"/>
    <n v="-297"/>
    <n v="-297"/>
    <n v="0"/>
    <n v="0"/>
    <n v="0"/>
    <n v="0"/>
    <n v="151.13"/>
    <m/>
    <m/>
    <n v="-44885.61"/>
    <m/>
    <n v="-44885.61"/>
    <n v="-25824.15"/>
    <n v="0"/>
    <n v="0"/>
    <n v="0"/>
    <n v="0"/>
    <n v="0"/>
    <n v="-13858.546791690076"/>
    <n v="-31026.1381682668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9006.74"/>
    <n v="0"/>
    <m/>
    <m/>
    <m/>
    <m/>
    <m/>
    <m/>
    <m/>
    <m/>
    <m/>
    <n v="0"/>
    <m/>
    <m/>
    <m/>
    <m/>
    <m/>
    <m/>
    <m/>
    <m/>
    <m/>
    <m/>
    <m/>
    <m/>
    <n v="-25824.15"/>
    <n v="19061.429999999993"/>
    <m/>
    <m/>
    <m/>
    <m/>
    <n v="19061.46"/>
    <n v="0"/>
    <n v="31"/>
    <n v="35.617685665081808"/>
    <n v="0"/>
    <n v="0"/>
    <n v="0"/>
    <n v="0"/>
    <m/>
    <m/>
    <m/>
    <n v="35.6176856650818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31026.138168266803"/>
    <m/>
    <n v="0"/>
    <n v="0"/>
    <n v="19061.46"/>
    <m/>
    <n v="0"/>
    <m/>
    <n v="19023.5252666251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1"/>
    <s v="Regular"/>
    <s v="Convencional"/>
    <s v="B3"/>
    <s v="Comercial"/>
    <s v="Não se aplica"/>
    <s v="Não se aplica"/>
    <s v="Não se aplica"/>
    <s v="Não se aplica"/>
    <s v="CATIVO"/>
    <x v="1"/>
    <n v="0"/>
    <n v="0"/>
    <n v="343.75799999999998"/>
    <n v="343.75799999999998"/>
    <n v="343.75799999999998"/>
    <n v="343.75799999999998"/>
    <m/>
    <n v="739.04"/>
    <n v="252.22"/>
    <m/>
    <n v="340753.55507999996"/>
    <n v="340753.55507999996"/>
    <n v="233057.61125999998"/>
    <n v="0"/>
    <n v="21262.517414548834"/>
    <n v="0"/>
    <n v="0"/>
    <n v="0"/>
    <n v="42453.281413727949"/>
    <n v="174281.10185806101"/>
    <n v="86703.594102344476"/>
    <n v="0"/>
    <n v="0"/>
    <n v="0"/>
    <n v="0"/>
    <n v="0"/>
    <n v="3286.6802702332211"/>
    <m/>
    <n v="805.52761923251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60.801090772762"/>
    <n v="0"/>
    <n v="0"/>
    <n v="0"/>
    <n v="107336.1"/>
    <n v="847"/>
    <m/>
    <m/>
    <m/>
    <m/>
    <m/>
    <m/>
    <m/>
    <m/>
    <m/>
    <n v="98664.395193117234"/>
    <m/>
    <m/>
    <m/>
    <m/>
    <m/>
    <m/>
    <m/>
    <m/>
    <m/>
    <m/>
    <m/>
    <m/>
    <n v="233058.96720000001"/>
    <n v="-107694.61787999998"/>
    <m/>
    <m/>
    <m/>
    <m/>
    <n v="-107695.94381999999"/>
    <n v="0"/>
    <n v="31"/>
    <n v="-836.08715226626373"/>
    <n v="0"/>
    <n v="0"/>
    <n v="0"/>
    <n v="0"/>
    <n v="0"/>
    <n v="0"/>
    <n v="0"/>
    <n v="-109.10867175130261"/>
    <n v="0"/>
    <n v="0"/>
    <n v="-1.2155302101746202E-5"/>
    <n v="0"/>
    <n v="0"/>
    <n v="0"/>
    <n v="-1.6768190107541159E-6"/>
    <n v="0"/>
    <n v="-618.25211201601269"/>
    <m/>
    <n v="0"/>
    <n v="0"/>
    <n v="0"/>
    <n v="0"/>
    <n v="-82.568356749925897"/>
    <n v="-26.15799791692632"/>
    <n v="0"/>
    <n v="0"/>
    <m/>
    <m/>
    <m/>
    <n v="174281.10185806101"/>
    <n v="0"/>
    <n v="0"/>
    <n v="-107695.94381999999"/>
    <n v="0"/>
    <n v="0"/>
    <n v="0"/>
    <n v="-106859.6074287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72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51.625"/>
    <n v="51.625"/>
    <n v="51.625"/>
    <n v="51.625"/>
    <m/>
    <n v="739.04"/>
    <n v="252.22"/>
    <m/>
    <n v="51173.797499999993"/>
    <n v="51173.797499999993"/>
    <n v="35000.201249999998"/>
    <n v="0"/>
    <n v="3193.1692106833398"/>
    <n v="0"/>
    <n v="0"/>
    <n v="0"/>
    <n v="6375.5626137681311"/>
    <n v="26173.243629013436"/>
    <n v="13021.000370998008"/>
    <n v="0"/>
    <n v="0"/>
    <n v="0"/>
    <n v="0"/>
    <n v="0"/>
    <n v="493.58813162396234"/>
    <m/>
    <n v="120.97278708532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6.2530510159586"/>
    <n v="0"/>
    <n v="0"/>
    <n v="0"/>
    <n v="27605.79"/>
    <n v="115"/>
    <m/>
    <m/>
    <m/>
    <m/>
    <m/>
    <m/>
    <m/>
    <m/>
    <m/>
    <n v="14817.253422013968"/>
    <m/>
    <m/>
    <m/>
    <m/>
    <m/>
    <m/>
    <m/>
    <m/>
    <m/>
    <m/>
    <m/>
    <m/>
    <n v="35003.591099999998"/>
    <n v="-16170.236400000002"/>
    <m/>
    <m/>
    <m/>
    <m/>
    <n v="-16173.596249999999"/>
    <n v="0"/>
    <n v="31"/>
    <n v="-125.56216651175055"/>
    <n v="0"/>
    <n v="0"/>
    <n v="0"/>
    <n v="0"/>
    <n v="0"/>
    <n v="0"/>
    <n v="0"/>
    <n v="-16.38575736175062"/>
    <n v="0"/>
    <n v="0"/>
    <n v="-1.8254613678436726E-6"/>
    <n v="0"/>
    <n v="0"/>
    <n v="0"/>
    <n v="-2.5182180252159014E-7"/>
    <n v="0"/>
    <n v="-92.848065449608384"/>
    <m/>
    <n v="0"/>
    <n v="0"/>
    <n v="0"/>
    <n v="0"/>
    <n v="-12.39997735969763"/>
    <n v="-3.9283642634100744"/>
    <n v="0"/>
    <n v="0"/>
    <m/>
    <m/>
    <m/>
    <n v="26173.243629013436"/>
    <n v="0"/>
    <n v="0"/>
    <n v="-16173.596249999995"/>
    <n v="0"/>
    <n v="0"/>
    <n v="0"/>
    <n v="-16047.9966532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Ponta"/>
    <s v="CATIVO"/>
    <x v="1"/>
    <n v="0"/>
    <n v="0"/>
    <n v="8.1029999999999998"/>
    <n v="8.1029999999999998"/>
    <n v="8.1029999999999998"/>
    <n v="8.1029999999999998"/>
    <m/>
    <n v="2641.06"/>
    <n v="252.22"/>
    <m/>
    <n v="23444.247839999996"/>
    <n v="23444.247839999996"/>
    <n v="13915.606019999999"/>
    <n v="0"/>
    <n v="436.04063146392986"/>
    <n v="0"/>
    <n v="0"/>
    <n v="0"/>
    <n v="5248.8559243394375"/>
    <n v="15493.668030694043"/>
    <n v="2043.7610848657987"/>
    <n v="0"/>
    <n v="0"/>
    <n v="0"/>
    <n v="0"/>
    <n v="0"/>
    <n v="77.473019477946082"/>
    <m/>
    <n v="19.495057433288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97128283055862"/>
    <n v="0"/>
    <n v="0"/>
    <n v="0"/>
    <n v="0"/>
    <n v="0"/>
    <m/>
    <m/>
    <m/>
    <m/>
    <m/>
    <m/>
    <m/>
    <m/>
    <m/>
    <n v="2168.7323676963574"/>
    <m/>
    <m/>
    <m/>
    <m/>
    <m/>
    <m/>
    <m/>
    <m/>
    <m/>
    <m/>
    <m/>
    <m/>
    <n v="13910.453999999998"/>
    <n v="-9533.8238399999937"/>
    <m/>
    <m/>
    <m/>
    <m/>
    <n v="-9528.6418200000007"/>
    <n v="0"/>
    <n v="31"/>
    <n v="-28.748165962667372"/>
    <n v="0"/>
    <n v="0"/>
    <n v="0"/>
    <n v="0"/>
    <n v="0"/>
    <n v="0"/>
    <n v="0"/>
    <n v="-13.490021949965922"/>
    <n v="0"/>
    <n v="0"/>
    <n v="-2.8652220862568356E-7"/>
    <n v="0"/>
    <n v="0"/>
    <n v="0"/>
    <n v="-1.7520292772132962E-8"/>
    <n v="0"/>
    <n v="-12.678792264875824"/>
    <m/>
    <n v="0"/>
    <n v="0"/>
    <n v="0"/>
    <n v="0"/>
    <n v="-1.946286034782176"/>
    <n v="-0.63306540900016017"/>
    <n v="0"/>
    <n v="0"/>
    <m/>
    <m/>
    <m/>
    <n v="15493.668030694043"/>
    <n v="0"/>
    <n v="0"/>
    <n v="-9528.6418199999989"/>
    <n v="0"/>
    <n v="0"/>
    <n v="0"/>
    <n v="-9499.8669720381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Fora ponta"/>
    <s v="CATIVO"/>
    <x v="1"/>
    <n v="0"/>
    <n v="0"/>
    <n v="269.262"/>
    <n v="269.262"/>
    <n v="269.262"/>
    <n v="269.262"/>
    <m/>
    <n v="81.2"/>
    <n v="252.22"/>
    <m/>
    <n v="89777.336039999995"/>
    <n v="89777.336039999995"/>
    <n v="89271.123479999995"/>
    <n v="0"/>
    <n v="14489.593053096467"/>
    <n v="0"/>
    <n v="0"/>
    <n v="0"/>
    <n v="0"/>
    <n v="0"/>
    <n v="67914.006816380934"/>
    <n v="0"/>
    <n v="0"/>
    <n v="0"/>
    <n v="0"/>
    <n v="0"/>
    <n v="2574.4218401420117"/>
    <m/>
    <n v="647.81909843293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2.7850866989857"/>
    <n v="0"/>
    <n v="0"/>
    <n v="0"/>
    <n v="0"/>
    <n v="0"/>
    <m/>
    <m/>
    <m/>
    <m/>
    <m/>
    <m/>
    <m/>
    <m/>
    <m/>
    <n v="72066.791903079924"/>
    <m/>
    <m/>
    <m/>
    <m/>
    <m/>
    <m/>
    <m/>
    <m/>
    <m/>
    <m/>
    <m/>
    <m/>
    <n v="89270.460399999982"/>
    <n v="-506.90564000001177"/>
    <m/>
    <m/>
    <m/>
    <m/>
    <n v="-506.21256000000261"/>
    <n v="0"/>
    <n v="31"/>
    <n v="-507.02682625544549"/>
    <n v="0"/>
    <n v="0"/>
    <n v="0"/>
    <n v="0"/>
    <n v="0"/>
    <n v="0"/>
    <n v="0"/>
    <n v="0"/>
    <n v="0"/>
    <n v="0"/>
    <n v="-9.5210998551920056E-6"/>
    <n v="0"/>
    <n v="0"/>
    <n v="0"/>
    <n v="-5.8219848142471164E-7"/>
    <n v="0"/>
    <n v="-421.31518731642427"/>
    <m/>
    <n v="0"/>
    <n v="0"/>
    <n v="0"/>
    <n v="0"/>
    <n v="-64.674919202458113"/>
    <n v="-21.036709633247256"/>
    <n v="0"/>
    <n v="0"/>
    <m/>
    <m/>
    <m/>
    <n v="0"/>
    <n v="0"/>
    <n v="0"/>
    <n v="-506.21256000000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75"/>
    <s v="Regular"/>
    <s v="Verde"/>
    <s v="A4"/>
    <s v="Comercial"/>
    <s v="Não se aplica"/>
    <s v="Não se aplica"/>
    <s v="Não se aplica"/>
    <s v="Não se aplica"/>
    <s v="CATIVO"/>
    <x v="1"/>
    <n v="2676"/>
    <n v="2676"/>
    <n v="0"/>
    <n v="0"/>
    <n v="0"/>
    <n v="0"/>
    <n v="74.44"/>
    <m/>
    <m/>
    <n v="199201.44"/>
    <m/>
    <n v="199201.44"/>
    <n v="121543.92"/>
    <n v="0"/>
    <n v="0"/>
    <n v="0"/>
    <n v="0"/>
    <n v="0"/>
    <n v="72832.939611489026"/>
    <n v="126364.835511860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3445.21"/>
    <n v="15"/>
    <m/>
    <m/>
    <m/>
    <m/>
    <m/>
    <m/>
    <m/>
    <m/>
    <m/>
    <n v="0"/>
    <m/>
    <m/>
    <m/>
    <m/>
    <m/>
    <m/>
    <m/>
    <m/>
    <m/>
    <m/>
    <m/>
    <m/>
    <n v="121543.92"/>
    <n v="-77657.550000000032"/>
    <m/>
    <m/>
    <m/>
    <m/>
    <n v="-77657.51999999999"/>
    <n v="0"/>
    <n v="31"/>
    <n v="-187.18706861115061"/>
    <n v="0"/>
    <n v="0"/>
    <n v="0"/>
    <n v="0"/>
    <m/>
    <m/>
    <m/>
    <n v="-187.187068611150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364.83551186086"/>
    <m/>
    <n v="0"/>
    <n v="0"/>
    <n v="-77657.52"/>
    <m/>
    <n v="0"/>
    <m/>
    <n v="-77479.98246302871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6"/>
    <s v="Sistema de Compensação"/>
    <s v="Verde"/>
    <s v="A4"/>
    <s v="Comercial"/>
    <s v="Não se aplica"/>
    <s v="Não se aplica"/>
    <s v="Não se aplica"/>
    <s v="Não se aplica"/>
    <s v="CATIVO"/>
    <x v="1"/>
    <n v="156"/>
    <n v="156"/>
    <n v="0"/>
    <n v="0"/>
    <n v="0"/>
    <n v="0"/>
    <n v="74.44"/>
    <m/>
    <m/>
    <n v="11612.64"/>
    <m/>
    <n v="11612.64"/>
    <n v="7085.52"/>
    <n v="0"/>
    <n v="0"/>
    <n v="0"/>
    <n v="0"/>
    <n v="0"/>
    <n v="4245.8664347504809"/>
    <n v="7366.5599177317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20.19"/>
    <n v="1"/>
    <m/>
    <m/>
    <m/>
    <m/>
    <m/>
    <m/>
    <m/>
    <m/>
    <m/>
    <n v="0"/>
    <m/>
    <m/>
    <m/>
    <m/>
    <m/>
    <m/>
    <m/>
    <m/>
    <m/>
    <m/>
    <m/>
    <m/>
    <n v="7085.52"/>
    <n v="-4527.1499999999996"/>
    <m/>
    <m/>
    <m/>
    <m/>
    <n v="-4527.119999999999"/>
    <n v="0"/>
    <n v="31"/>
    <n v="-10.912250636523822"/>
    <n v="0"/>
    <n v="0"/>
    <n v="0"/>
    <n v="0"/>
    <m/>
    <m/>
    <m/>
    <n v="-10.9122506365238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66.559917731799"/>
    <m/>
    <n v="0"/>
    <n v="0"/>
    <n v="-4527.119999999999"/>
    <m/>
    <n v="0"/>
    <m/>
    <n v="-4516.770278113781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7"/>
    <s v="Refaturamento - Regular"/>
    <s v="Convencional"/>
    <s v="A4"/>
    <s v="Rural"/>
    <s v="Não se aplica"/>
    <s v="Não se aplica"/>
    <s v="Não se aplica"/>
    <s v="Não se aplica"/>
    <s v="CATIVO"/>
    <x v="1"/>
    <n v="-110"/>
    <n v="-105.6"/>
    <n v="0"/>
    <n v="0"/>
    <n v="0"/>
    <n v="0"/>
    <n v="151.13"/>
    <m/>
    <m/>
    <n v="-16624.3"/>
    <m/>
    <n v="-16624.3"/>
    <n v="-9564.5"/>
    <n v="0"/>
    <n v="0"/>
    <n v="0"/>
    <n v="0"/>
    <n v="0"/>
    <n v="-5132.7951080333614"/>
    <n v="-11491.1622845432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382.5800000000005"/>
    <m/>
    <m/>
    <m/>
    <n v="0"/>
    <m/>
    <m/>
    <m/>
    <m/>
    <m/>
    <m/>
    <m/>
    <m/>
    <m/>
    <m/>
    <m/>
    <m/>
    <n v="-9181.92"/>
    <n v="6777.3779999999988"/>
    <m/>
    <m/>
    <m/>
    <m/>
    <n v="7059.7999999999993"/>
    <n v="0"/>
    <n v="31"/>
    <n v="13.191735431511916"/>
    <n v="0"/>
    <n v="0"/>
    <n v="0"/>
    <n v="0"/>
    <m/>
    <m/>
    <m/>
    <n v="13.1917354315119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1491.162284543259"/>
    <m/>
    <n v="0"/>
    <n v="0"/>
    <n v="7059.7999999999993"/>
    <m/>
    <n v="0"/>
    <m/>
    <n v="7045.750098750065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8"/>
    <s v="Sistema de Compensação"/>
    <s v="Convencional"/>
    <s v="A4"/>
    <s v="Rural"/>
    <s v="Não se aplica"/>
    <s v="Não se aplica"/>
    <s v="Não se aplica"/>
    <s v="Não se aplica"/>
    <s v="CATIVO"/>
    <x v="1"/>
    <n v="-130"/>
    <n v="-124.8"/>
    <n v="0"/>
    <n v="0"/>
    <n v="0"/>
    <n v="0"/>
    <n v="151.13"/>
    <m/>
    <m/>
    <n v="-19646.899999999998"/>
    <m/>
    <n v="-19646.899999999998"/>
    <n v="-11303.5"/>
    <n v="0"/>
    <n v="0"/>
    <n v="0"/>
    <n v="0"/>
    <n v="0"/>
    <n v="-6066.0305822212458"/>
    <n v="-13580.464518096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4"/>
    <m/>
    <m/>
    <m/>
    <m/>
    <m/>
    <n v="-452.14000000000027"/>
    <m/>
    <m/>
    <m/>
    <n v="0"/>
    <m/>
    <m/>
    <m/>
    <m/>
    <m/>
    <m/>
    <m/>
    <m/>
    <m/>
    <m/>
    <m/>
    <m/>
    <n v="-10851.36"/>
    <n v="8009.6340000000018"/>
    <m/>
    <m/>
    <m/>
    <m/>
    <n v="8343.4"/>
    <n v="0"/>
    <n v="31"/>
    <n v="15.590232782696148"/>
    <n v="0"/>
    <n v="0"/>
    <n v="0"/>
    <n v="0"/>
    <m/>
    <m/>
    <m/>
    <n v="15.5902327826961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3580.46451809658"/>
    <m/>
    <n v="0"/>
    <n v="0"/>
    <n v="8343.3999999999978"/>
    <m/>
    <n v="0"/>
    <m/>
    <n v="8326.79557125007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79"/>
    <s v="Regular"/>
    <s v="Convencional"/>
    <s v="B2"/>
    <s v="Rural"/>
    <s v="Não se aplica"/>
    <s v="Não se aplica"/>
    <s v="Não se aplica"/>
    <s v="Não se aplica"/>
    <s v="CATIVO"/>
    <x v="1"/>
    <n v="0"/>
    <n v="0"/>
    <n v="2560.5230000000001"/>
    <n v="2560.5230000000001"/>
    <n v="2560.5230000000001"/>
    <n v="2560.5230000000001"/>
    <m/>
    <n v="739.04"/>
    <n v="252.22"/>
    <m/>
    <n v="2538144.0289799999"/>
    <n v="2538144.0289799999"/>
    <n v="1735957.7783100002"/>
    <n v="0"/>
    <n v="158376.43015683367"/>
    <n v="0"/>
    <n v="0"/>
    <n v="0"/>
    <n v="316218.39632917033"/>
    <n v="1298153.8459407722"/>
    <n v="645822.19724840554"/>
    <n v="0"/>
    <n v="0"/>
    <n v="0"/>
    <n v="0"/>
    <n v="0"/>
    <n v="24481.235129301367"/>
    <m/>
    <n v="6000.0698054448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091.472173298505"/>
    <n v="0"/>
    <n v="0"/>
    <n v="0"/>
    <n v="106965.1"/>
    <n v="12097"/>
    <m/>
    <m/>
    <m/>
    <m/>
    <m/>
    <n v="208298.54604999995"/>
    <m/>
    <m/>
    <m/>
    <n v="734913.66942170402"/>
    <m/>
    <m/>
    <m/>
    <m/>
    <m/>
    <m/>
    <m/>
    <m/>
    <m/>
    <m/>
    <m/>
    <m/>
    <n v="1527657.4424000001"/>
    <n v="-705912.40572999977"/>
    <m/>
    <m/>
    <m/>
    <m/>
    <n v="-802186.25066999998"/>
    <n v="0"/>
    <n v="31"/>
    <n v="-6227.6961798195262"/>
    <n v="0"/>
    <n v="0"/>
    <n v="0"/>
    <n v="0"/>
    <n v="0"/>
    <n v="0"/>
    <n v="0"/>
    <n v="-812.70912536914693"/>
    <n v="0"/>
    <n v="0"/>
    <n v="-9.0540153905749321E-5"/>
    <n v="0"/>
    <n v="0"/>
    <n v="0"/>
    <n v="-1.2489981600083411E-5"/>
    <n v="0"/>
    <n v="-4605.1255610504304"/>
    <m/>
    <n v="0"/>
    <n v="0"/>
    <n v="0"/>
    <n v="0"/>
    <n v="-615.02038215951688"/>
    <n v="-194.84100820996719"/>
    <n v="0"/>
    <n v="0"/>
    <m/>
    <m/>
    <m/>
    <n v="1298153.8459407722"/>
    <n v="0"/>
    <n v="0"/>
    <n v="-802186.25066999975"/>
    <n v="0"/>
    <n v="0"/>
    <n v="0"/>
    <n v="-795956.69800372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2.149"/>
    <n v="-2.149"/>
    <n v="-2.149"/>
    <n v="-2.149"/>
    <m/>
    <n v="739.04"/>
    <n v="252.22"/>
    <m/>
    <n v="-2130.21774"/>
    <n v="-2130.21774"/>
    <n v="-1456.9575300000001"/>
    <n v="0"/>
    <n v="-132.9224335836997"/>
    <n v="0"/>
    <n v="0"/>
    <n v="0"/>
    <n v="-265.39630134600901"/>
    <n v="-1089.5167178450338"/>
    <n v="-542.02672730798486"/>
    <n v="0"/>
    <n v="0"/>
    <n v="0"/>
    <n v="0"/>
    <n v="0"/>
    <n v="-20.546651716414434"/>
    <m/>
    <n v="-5.0357485607045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4.772838869410066"/>
    <n v="0"/>
    <n v="0"/>
    <n v="0"/>
    <n v="-14.65"/>
    <n v="0"/>
    <m/>
    <m/>
    <m/>
    <m/>
    <m/>
    <n v="-174.82114999999993"/>
    <m/>
    <m/>
    <m/>
    <n v="-616.79956617739492"/>
    <m/>
    <m/>
    <m/>
    <m/>
    <m/>
    <m/>
    <m/>
    <m/>
    <m/>
    <m/>
    <m/>
    <m/>
    <n v="-1282.7329999999999"/>
    <n v="591.83119000000033"/>
    <m/>
    <m/>
    <m/>
    <m/>
    <n v="673.26020999999992"/>
    <n v="0"/>
    <n v="31"/>
    <n v="5.2267912025906753"/>
    <n v="0"/>
    <n v="0"/>
    <n v="0"/>
    <n v="0"/>
    <n v="0"/>
    <n v="0"/>
    <n v="0"/>
    <n v="0.6820918657705306"/>
    <n v="0"/>
    <n v="0"/>
    <n v="7.5988623393641319E-8"/>
    <n v="0"/>
    <n v="0"/>
    <n v="0"/>
    <n v="1.0482608558959328E-8"/>
    <n v="0"/>
    <n v="3.8649974363430033"/>
    <m/>
    <n v="0"/>
    <n v="0"/>
    <n v="0"/>
    <n v="0"/>
    <n v="0.51617532873588701"/>
    <n v="0.1635264852700864"/>
    <n v="0"/>
    <n v="0"/>
    <m/>
    <m/>
    <m/>
    <n v="-1089.5167178450338"/>
    <n v="0"/>
    <n v="0"/>
    <n v="673.26021000000003"/>
    <n v="0"/>
    <n v="0"/>
    <n v="0"/>
    <n v="668.03186068236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02.249"/>
    <n v="102.249"/>
    <n v="102.249"/>
    <n v="102.249"/>
    <m/>
    <n v="739.04"/>
    <n v="252.22"/>
    <m/>
    <n v="101355.34374"/>
    <n v="101355.34374"/>
    <n v="69321.754530000006"/>
    <n v="0"/>
    <n v="6324.4234115866502"/>
    <n v="0"/>
    <n v="0"/>
    <n v="0"/>
    <n v="12627.504149059132"/>
    <n v="51838.992500203283"/>
    <n v="25789.525751751582"/>
    <n v="0"/>
    <n v="0"/>
    <n v="0"/>
    <n v="0"/>
    <n v="0"/>
    <n v="977.60567303474136"/>
    <m/>
    <n v="239.59993233293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7.677059822387"/>
    <n v="0"/>
    <n v="0"/>
    <n v="0"/>
    <n v="6834.28"/>
    <n v="775"/>
    <m/>
    <m/>
    <m/>
    <m/>
    <m/>
    <n v="8317.9561499999963"/>
    <m/>
    <m/>
    <m/>
    <n v="29347.20281157397"/>
    <m/>
    <m/>
    <m/>
    <m/>
    <m/>
    <m/>
    <m/>
    <m/>
    <m/>
    <m/>
    <m/>
    <m/>
    <n v="61004.395000000004"/>
    <n v="-28188.460189999983"/>
    <m/>
    <m/>
    <m/>
    <m/>
    <n v="-32033.589209999995"/>
    <n v="0"/>
    <n v="31"/>
    <n v="-248.68970389655442"/>
    <n v="0"/>
    <n v="0"/>
    <n v="0"/>
    <n v="0"/>
    <n v="0"/>
    <n v="0"/>
    <n v="0"/>
    <n v="-32.45379766550468"/>
    <n v="0"/>
    <n v="0"/>
    <n v="-3.61552883987315E-6"/>
    <n v="0"/>
    <n v="0"/>
    <n v="0"/>
    <n v="-4.9876098273671232E-7"/>
    <n v="0"/>
    <n v="-183.89582264710953"/>
    <m/>
    <n v="0"/>
    <n v="0"/>
    <n v="0"/>
    <n v="0"/>
    <n v="-24.559521260081738"/>
    <n v="-7.780558209577066"/>
    <n v="0"/>
    <n v="0"/>
    <m/>
    <m/>
    <m/>
    <n v="51838.992500203283"/>
    <n v="0"/>
    <n v="0"/>
    <n v="-32033.589209999998"/>
    <n v="0"/>
    <n v="0"/>
    <n v="0"/>
    <n v="-31784.825371294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2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-0.85499999999999998"/>
    <n v="-0.85499999999999998"/>
    <n v="-0.85499999999999998"/>
    <n v="-0.85499999999999998"/>
    <m/>
    <n v="739.04"/>
    <n v="252.22"/>
    <m/>
    <n v="-847.52729999999997"/>
    <n v="-847.52729999999997"/>
    <n v="-579.66435000000001"/>
    <n v="0"/>
    <n v="-52.884448913012214"/>
    <n v="0"/>
    <n v="0"/>
    <n v="0"/>
    <n v="-105.59043166628092"/>
    <n v="-433.47454339576728"/>
    <n v="-215.65046619279994"/>
    <n v="0"/>
    <n v="0"/>
    <n v="0"/>
    <n v="0"/>
    <n v="0"/>
    <n v="-8.1746799523193765"/>
    <m/>
    <n v="-2.0035202510015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749082007140814"/>
    <n v="0"/>
    <n v="0"/>
    <n v="0"/>
    <n v="-0.09"/>
    <n v="2"/>
    <m/>
    <m/>
    <m/>
    <m/>
    <m/>
    <n v="-69.554249999999968"/>
    <m/>
    <m/>
    <m/>
    <n v="-245.39954819994074"/>
    <m/>
    <m/>
    <m/>
    <m/>
    <m/>
    <m/>
    <m/>
    <m/>
    <m/>
    <m/>
    <m/>
    <m/>
    <n v="-513.09320000000002"/>
    <n v="232.70185000000004"/>
    <m/>
    <m/>
    <m/>
    <m/>
    <n v="267.86294999999996"/>
    <n v="0"/>
    <n v="31"/>
    <n v="2.0795283751581906"/>
    <n v="0"/>
    <n v="0"/>
    <n v="0"/>
    <n v="0"/>
    <n v="0"/>
    <n v="0"/>
    <n v="0"/>
    <n v="0.27137670787985257"/>
    <n v="0"/>
    <n v="0"/>
    <n v="3.0232797598728212E-8"/>
    <n v="0"/>
    <n v="0"/>
    <n v="0"/>
    <n v="4.1706087472448417E-9"/>
    <n v="0"/>
    <n v="1.5377258297223264"/>
    <m/>
    <n v="0"/>
    <n v="0"/>
    <n v="0"/>
    <n v="0"/>
    <n v="0.20536524247053745"/>
    <n v="6.506056068214261E-2"/>
    <n v="0"/>
    <n v="0"/>
    <m/>
    <m/>
    <m/>
    <n v="-433.47454339576728"/>
    <n v="0"/>
    <n v="0"/>
    <n v="267.86294999999996"/>
    <n v="0"/>
    <n v="0"/>
    <n v="0"/>
    <n v="265.78280171401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Não se aplica"/>
    <s v="Não se aplica"/>
    <s v="Não se aplica"/>
    <s v="Ponta"/>
    <s v="CATIVO"/>
    <x v="1"/>
    <n v="0"/>
    <n v="0"/>
    <n v="3.3759999999999999"/>
    <n v="3.2409599999999998"/>
    <n v="3.3759999999999999"/>
    <n v="3.2409599999999998"/>
    <m/>
    <n v="2641.06"/>
    <n v="252.22"/>
    <m/>
    <n v="9767.7132799999999"/>
    <n v="9767.7132799999999"/>
    <n v="5797.7398399999993"/>
    <n v="0"/>
    <n v="181.67014338173851"/>
    <n v="0"/>
    <n v="0"/>
    <n v="0"/>
    <n v="2186.861360060464"/>
    <n v="6455.2169902040096"/>
    <n v="851.50406300221357"/>
    <n v="0"/>
    <n v="0"/>
    <n v="0"/>
    <n v="0"/>
    <n v="0"/>
    <n v="32.278034525181539"/>
    <m/>
    <n v="8.1223391206690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067512135747982"/>
    <n v="0"/>
    <n v="0"/>
    <n v="0"/>
    <n v="0"/>
    <n v="0"/>
    <m/>
    <m/>
    <m/>
    <m/>
    <m/>
    <n v="231.90959360000005"/>
    <m/>
    <m/>
    <m/>
    <n v="903.57157513796153"/>
    <m/>
    <m/>
    <m/>
    <m/>
    <m/>
    <m/>
    <m/>
    <m/>
    <m/>
    <m/>
    <m/>
    <m/>
    <n v="5564.1815999999999"/>
    <n v="-3812.853148799999"/>
    <m/>
    <m/>
    <m/>
    <m/>
    <n v="-3969.9734400000002"/>
    <n v="0"/>
    <n v="31"/>
    <n v="-11.977515523875809"/>
    <n v="0"/>
    <n v="0"/>
    <n v="0"/>
    <n v="0"/>
    <n v="0"/>
    <n v="0"/>
    <n v="0"/>
    <n v="-5.6204262746000495"/>
    <n v="0"/>
    <n v="0"/>
    <n v="-1.1937538602069253E-7"/>
    <n v="0"/>
    <n v="0"/>
    <n v="0"/>
    <n v="-7.2995831601474492E-9"/>
    <n v="0"/>
    <n v="-5.282438934495957"/>
    <m/>
    <n v="0"/>
    <n v="0"/>
    <n v="0"/>
    <n v="0"/>
    <n v="-0.81089246617606392"/>
    <n v="-0.26375772192824254"/>
    <n v="0"/>
    <n v="0"/>
    <m/>
    <m/>
    <m/>
    <n v="6455.2169902040096"/>
    <n v="0"/>
    <n v="0"/>
    <n v="-3969.9734399999998"/>
    <n v="0"/>
    <n v="0"/>
    <n v="0"/>
    <n v="-3957.984807799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Não se aplica"/>
    <s v="Não se aplica"/>
    <s v="Não se aplica"/>
    <s v="Fora ponta"/>
    <s v="CATIVO"/>
    <x v="1"/>
    <n v="0"/>
    <n v="0"/>
    <n v="28.582999999999998"/>
    <n v="27.439679999999999"/>
    <n v="28.582999999999998"/>
    <n v="27.439679999999999"/>
    <m/>
    <n v="81.2"/>
    <n v="252.22"/>
    <m/>
    <n v="9530.1438600000001"/>
    <n v="9530.1438600000001"/>
    <n v="9476.4078199999985"/>
    <n v="0"/>
    <n v="1538.1154349171302"/>
    <n v="0"/>
    <n v="0"/>
    <n v="0"/>
    <n v="0"/>
    <n v="0"/>
    <n v="7209.283362793919"/>
    <n v="0"/>
    <n v="0"/>
    <n v="0"/>
    <n v="0"/>
    <n v="0"/>
    <n v="273.28289716625113"/>
    <m/>
    <n v="68.768015132134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.83107209007244"/>
    <n v="0"/>
    <n v="0"/>
    <n v="0"/>
    <n v="0"/>
    <n v="0"/>
    <m/>
    <m/>
    <m/>
    <m/>
    <m/>
    <n v="379.05631279999977"/>
    <m/>
    <m/>
    <m/>
    <n v="7650.1144348839916"/>
    <m/>
    <m/>
    <m/>
    <m/>
    <m/>
    <m/>
    <m/>
    <m/>
    <m/>
    <m/>
    <m/>
    <m/>
    <n v="9097.4575999999997"/>
    <n v="-51.510505599999306"/>
    <m/>
    <m/>
    <m/>
    <m/>
    <n v="-53.736040000000273"/>
    <n v="0"/>
    <n v="31"/>
    <n v="-53.822476899298636"/>
    <n v="0"/>
    <n v="0"/>
    <n v="0"/>
    <n v="0"/>
    <n v="0"/>
    <n v="0"/>
    <n v="0"/>
    <n v="0"/>
    <n v="0"/>
    <n v="0"/>
    <n v="-1.0106950867339037E-6"/>
    <n v="0"/>
    <n v="0"/>
    <n v="0"/>
    <n v="-6.1802097661711741E-8"/>
    <n v="0"/>
    <n v="-44.723919450443645"/>
    <m/>
    <n v="0"/>
    <n v="0"/>
    <n v="0"/>
    <n v="0"/>
    <n v="-6.8654441234331784"/>
    <n v="-2.2331122529250393"/>
    <n v="0"/>
    <n v="0"/>
    <m/>
    <m/>
    <m/>
    <n v="0"/>
    <n v="0"/>
    <n v="0"/>
    <n v="-53.736040000000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5"/>
    <s v="Regular"/>
    <s v="Verde"/>
    <s v="A4"/>
    <s v="Rural"/>
    <s v="Não se aplica"/>
    <s v="Não se aplica"/>
    <s v="Não se aplica"/>
    <s v="Não se aplica"/>
    <s v="CATIVO"/>
    <x v="1"/>
    <n v="241"/>
    <n v="231.35999999999999"/>
    <n v="0"/>
    <n v="0"/>
    <n v="0"/>
    <n v="0"/>
    <n v="74.44"/>
    <m/>
    <m/>
    <n v="17940.04"/>
    <m/>
    <n v="17940.04"/>
    <n v="10946.220000000001"/>
    <n v="0"/>
    <n v="0"/>
    <n v="0"/>
    <n v="0"/>
    <n v="0"/>
    <n v="6559.319299838884"/>
    <n v="11380.3906421369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.02"/>
    <n v="2"/>
    <m/>
    <m/>
    <m/>
    <m/>
    <m/>
    <n v="437.84880000000067"/>
    <m/>
    <m/>
    <m/>
    <n v="0"/>
    <m/>
    <m/>
    <m/>
    <m/>
    <m/>
    <m/>
    <m/>
    <m/>
    <m/>
    <m/>
    <m/>
    <m/>
    <n v="10508.371200000001"/>
    <n v="-6714.0971999999929"/>
    <m/>
    <m/>
    <m/>
    <m/>
    <n v="-6993.8199999999988"/>
    <n v="0"/>
    <n v="31"/>
    <n v="-16.858028226937677"/>
    <n v="0"/>
    <n v="0"/>
    <n v="0"/>
    <n v="0"/>
    <m/>
    <m/>
    <m/>
    <n v="-16.8580282269376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380.390642136947"/>
    <m/>
    <n v="0"/>
    <n v="0"/>
    <n v="-6993.82"/>
    <m/>
    <n v="0"/>
    <m/>
    <n v="-6977.831006573214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86"/>
    <s v="Sistema de Compensação"/>
    <s v="Verde"/>
    <s v="A4"/>
    <s v="Rural"/>
    <s v="Não se aplica"/>
    <s v="Não se aplica"/>
    <s v="Não se aplica"/>
    <s v="Não se aplica"/>
    <s v="CATIVO"/>
    <x v="1"/>
    <n v="317"/>
    <n v="304.32"/>
    <n v="0"/>
    <n v="0"/>
    <n v="0"/>
    <n v="0"/>
    <n v="74.44"/>
    <m/>
    <m/>
    <n v="23597.48"/>
    <m/>
    <n v="23597.48"/>
    <n v="14398.140000000001"/>
    <n v="0"/>
    <n v="0"/>
    <n v="0"/>
    <n v="0"/>
    <n v="0"/>
    <n v="8627.8183321532215"/>
    <n v="14969.2275251344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.33"/>
    <n v="4"/>
    <m/>
    <m/>
    <m/>
    <m/>
    <m/>
    <n v="575.92560000000037"/>
    <m/>
    <m/>
    <m/>
    <n v="0"/>
    <m/>
    <m/>
    <m/>
    <m/>
    <m/>
    <m/>
    <m/>
    <m/>
    <m/>
    <m/>
    <m/>
    <m/>
    <n v="13822.214400000001"/>
    <n v="-8831.3963999999942"/>
    <m/>
    <m/>
    <m/>
    <m/>
    <n v="-9199.3399999999983"/>
    <n v="0"/>
    <n v="31"/>
    <n v="-22.174252896013058"/>
    <n v="0"/>
    <n v="0"/>
    <n v="0"/>
    <n v="0"/>
    <m/>
    <m/>
    <m/>
    <n v="-22.1742528960130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69.227525134489"/>
    <m/>
    <n v="0"/>
    <n v="0"/>
    <n v="-9199.3399999999983"/>
    <m/>
    <n v="0"/>
    <m/>
    <n v="-9178.308834372237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87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87.249"/>
    <n v="187.249"/>
    <n v="187.249"/>
    <n v="187.249"/>
    <m/>
    <n v="739.04"/>
    <n v="252.22"/>
    <m/>
    <n v="185612.44373999996"/>
    <n v="185612.44373999996"/>
    <n v="126949.20453"/>
    <n v="0"/>
    <n v="11581.941724576169"/>
    <n v="0"/>
    <n v="0"/>
    <n v="0"/>
    <n v="23124.798525239104"/>
    <n v="94932.952954753244"/>
    <n v="47228.460987293096"/>
    <n v="0"/>
    <n v="0"/>
    <n v="0"/>
    <n v="0"/>
    <n v="0"/>
    <n v="1790.2931536746794"/>
    <m/>
    <n v="438.78030816350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5.1881365556847"/>
    <n v="0"/>
    <n v="0"/>
    <n v="0"/>
    <n v="54000.34"/>
    <n v="366"/>
    <m/>
    <m/>
    <m/>
    <m/>
    <m/>
    <m/>
    <m/>
    <m/>
    <m/>
    <n v="53743.64912384878"/>
    <m/>
    <m/>
    <m/>
    <m/>
    <m/>
    <m/>
    <m/>
    <m/>
    <m/>
    <m/>
    <m/>
    <m/>
    <n v="126949.88250000001"/>
    <n v="-58662.59123999998"/>
    <m/>
    <m/>
    <m/>
    <m/>
    <n v="-58663.239209999992"/>
    <n v="0"/>
    <n v="31"/>
    <n v="-455.4264429473842"/>
    <n v="0"/>
    <n v="0"/>
    <n v="0"/>
    <n v="0"/>
    <n v="0"/>
    <n v="0"/>
    <n v="0"/>
    <n v="-59.432768624319579"/>
    <n v="0"/>
    <n v="0"/>
    <n v="-6.6211287048645318E-6"/>
    <n v="0"/>
    <n v="0"/>
    <n v="0"/>
    <n v="-9.1338279162300751E-7"/>
    <n v="0"/>
    <n v="-336.76915074815952"/>
    <m/>
    <n v="0"/>
    <n v="0"/>
    <n v="0"/>
    <n v="0"/>
    <n v="-44.975948874111737"/>
    <n v="-14.248567166281305"/>
    <n v="0"/>
    <n v="0"/>
    <m/>
    <m/>
    <m/>
    <n v="94932.952954753244"/>
    <n v="0"/>
    <n v="0"/>
    <n v="-58663.239209999971"/>
    <n v="0"/>
    <n v="0"/>
    <n v="0"/>
    <n v="-58207.677003682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8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0.872"/>
    <n v="0.872"/>
    <n v="0.872"/>
    <n v="0.872"/>
    <m/>
    <n v="739.04"/>
    <n v="252.22"/>
    <m/>
    <n v="864.37871999999993"/>
    <n v="864.37871999999993"/>
    <n v="591.18984"/>
    <n v="0"/>
    <n v="53.935952575610116"/>
    <n v="0"/>
    <n v="0"/>
    <n v="0"/>
    <n v="107.68989054151692"/>
    <n v="442.09333548667729"/>
    <n v="219.93825323990825"/>
    <n v="0"/>
    <n v="0"/>
    <n v="0"/>
    <n v="0"/>
    <n v="0"/>
    <n v="8.3372174484473636"/>
    <m/>
    <n v="2.0433563261676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40584222487472"/>
    <n v="0"/>
    <n v="0"/>
    <n v="0"/>
    <n v="348.2"/>
    <n v="2"/>
    <m/>
    <m/>
    <m/>
    <m/>
    <m/>
    <m/>
    <m/>
    <m/>
    <m/>
    <n v="250.27883746239573"/>
    <m/>
    <m/>
    <m/>
    <m/>
    <m/>
    <m/>
    <m/>
    <m/>
    <m/>
    <m/>
    <m/>
    <m/>
    <n v="589.83389999999997"/>
    <n v="-274.57481999999993"/>
    <m/>
    <m/>
    <m/>
    <m/>
    <n v="-273.18887999999998"/>
    <n v="0"/>
    <n v="31"/>
    <n v="-2.120875722968492"/>
    <n v="0"/>
    <n v="0"/>
    <n v="0"/>
    <n v="0"/>
    <n v="0"/>
    <n v="0"/>
    <n v="0"/>
    <n v="-0.27677250207160853"/>
    <n v="0"/>
    <n v="0"/>
    <n v="-3.0833945174890687E-8"/>
    <n v="0"/>
    <n v="0"/>
    <n v="0"/>
    <n v="-4.2535326372217241E-9"/>
    <n v="0"/>
    <n v="-1.5683004953425339"/>
    <m/>
    <n v="0"/>
    <n v="0"/>
    <n v="0"/>
    <n v="0"/>
    <n v="-0.20944852799334157"/>
    <n v="-6.635416247348358E-2"/>
    <n v="0"/>
    <n v="0"/>
    <m/>
    <m/>
    <m/>
    <n v="442.09333548667729"/>
    <n v="0"/>
    <n v="0"/>
    <n v="-273.18887999999993"/>
    <n v="0"/>
    <n v="0"/>
    <n v="0"/>
    <n v="-271.06737204049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89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380.58699999999999"/>
    <n v="380.58699999999999"/>
    <n v="380.58699999999999"/>
    <n v="380.58699999999999"/>
    <m/>
    <n v="406.47"/>
    <n v="138.72"/>
    <m/>
    <n v="207492.22653000001"/>
    <n v="207492.22653000001"/>
    <n v="141913.28055999998"/>
    <n v="0"/>
    <n v="12947.279025907719"/>
    <n v="0"/>
    <n v="0"/>
    <n v="0"/>
    <n v="25850.865601305562"/>
    <n v="106124.12494274935"/>
    <n v="52795.988523164197"/>
    <n v="0"/>
    <n v="0"/>
    <n v="0"/>
    <n v="0"/>
    <n v="0"/>
    <n v="2001.3418777279021"/>
    <m/>
    <n v="490.50592862265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3.2311469221422"/>
    <n v="0"/>
    <n v="0"/>
    <n v="0"/>
    <n v="44313.97"/>
    <n v="66"/>
    <m/>
    <m/>
    <m/>
    <m/>
    <m/>
    <m/>
    <m/>
    <m/>
    <m/>
    <n v="60079.219670086342"/>
    <m/>
    <m/>
    <m/>
    <m/>
    <m/>
    <m/>
    <m/>
    <m/>
    <m/>
    <m/>
    <m/>
    <m/>
    <n v="141914.39919999999"/>
    <n v="-65577.857330000057"/>
    <m/>
    <m/>
    <m/>
    <m/>
    <n v="-65578.945970000015"/>
    <n v="0"/>
    <n v="31"/>
    <n v="-509.11439315050666"/>
    <n v="0"/>
    <n v="0"/>
    <n v="0"/>
    <n v="0"/>
    <n v="0"/>
    <n v="0"/>
    <n v="0"/>
    <n v="-66.439001072605606"/>
    <n v="0"/>
    <n v="0"/>
    <n v="-7.401271432172507E-6"/>
    <n v="0"/>
    <n v="0"/>
    <n v="0"/>
    <n v="-1.0210387699771672E-6"/>
    <n v="0"/>
    <n v="-376.46918502466542"/>
    <m/>
    <n v="0"/>
    <n v="0"/>
    <n v="0"/>
    <n v="0"/>
    <n v="-50.277938999853859"/>
    <n v="-15.928259631093454"/>
    <n v="0"/>
    <n v="0"/>
    <m/>
    <m/>
    <m/>
    <n v="106124.12494274935"/>
    <n v="0"/>
    <n v="0"/>
    <n v="-65578.945970000015"/>
    <n v="0"/>
    <n v="0"/>
    <n v="0"/>
    <n v="-65069.48951551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0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78.555999999999997"/>
    <n v="73.842639999999989"/>
    <n v="78.555999999999997"/>
    <n v="73.842639999999989"/>
    <m/>
    <n v="739.04"/>
    <n v="252.22"/>
    <m/>
    <n v="77869.420559999999"/>
    <n v="77869.420559999999"/>
    <n v="53258.611319999996"/>
    <n v="0"/>
    <n v="4858.9365717082892"/>
    <n v="0"/>
    <n v="0"/>
    <n v="0"/>
    <n v="9701.4759648846357"/>
    <n v="39826.931264325023"/>
    <n v="19813.611721919991"/>
    <n v="0"/>
    <n v="0"/>
    <n v="0"/>
    <n v="0"/>
    <n v="0"/>
    <n v="751.07620857824668"/>
    <m/>
    <n v="184.08016004407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33.2969428689516"/>
    <n v="0"/>
    <n v="0"/>
    <n v="0"/>
    <n v="24546.78"/>
    <n v="28"/>
    <m/>
    <m/>
    <m/>
    <m/>
    <n v="3195.5166792000059"/>
    <m/>
    <m/>
    <m/>
    <m/>
    <n v="22546.908664788942"/>
    <m/>
    <m/>
    <m/>
    <m/>
    <m/>
    <m/>
    <m/>
    <m/>
    <m/>
    <m/>
    <m/>
    <m/>
    <n v="50061.304799999998"/>
    <n v="-23135.980526399988"/>
    <m/>
    <m/>
    <m/>
    <m/>
    <n v="-24610.809239999995"/>
    <n v="0"/>
    <n v="31"/>
    <n v="-191.0636620338264"/>
    <n v="0"/>
    <n v="0"/>
    <n v="0"/>
    <n v="0"/>
    <n v="0"/>
    <n v="0"/>
    <n v="0"/>
    <n v="-24.933647560477766"/>
    <n v="0"/>
    <n v="0"/>
    <n v="-2.7777423383668065E-6"/>
    <n v="0"/>
    <n v="0"/>
    <n v="0"/>
    <n v="-3.8318876249832101E-7"/>
    <n v="0"/>
    <n v="-141.28373132124761"/>
    <m/>
    <n v="0"/>
    <n v="0"/>
    <n v="0"/>
    <n v="0"/>
    <n v="-18.868622207620433"/>
    <n v="-5.9776577835630462"/>
    <n v="0"/>
    <n v="0"/>
    <m/>
    <m/>
    <m/>
    <n v="39826.931264325023"/>
    <n v="0"/>
    <n v="0"/>
    <n v="-24610.809239999995"/>
    <n v="0"/>
    <n v="0"/>
    <n v="0"/>
    <n v="-24419.688621574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1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7.2480000000000002"/>
    <n v="7.2480000000000002"/>
    <n v="7.2480000000000002"/>
    <n v="7.2480000000000002"/>
    <m/>
    <n v="739.04"/>
    <n v="252.22"/>
    <m/>
    <n v="7184.6524800000007"/>
    <n v="7184.6524800000007"/>
    <n v="4913.9265599999999"/>
    <n v="0"/>
    <n v="448.31167920644742"/>
    <n v="0"/>
    <n v="0"/>
    <n v="0"/>
    <n v="895.11046633591127"/>
    <n v="3674.6473573479784"/>
    <n v="1828.110618672999"/>
    <n v="0"/>
    <n v="0"/>
    <n v="0"/>
    <n v="0"/>
    <n v="0"/>
    <n v="69.298339525626716"/>
    <m/>
    <n v="16.984227811999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18870922544633"/>
    <n v="0"/>
    <n v="0"/>
    <n v="0"/>
    <n v="2262.63"/>
    <n v="11"/>
    <m/>
    <m/>
    <m/>
    <m/>
    <m/>
    <m/>
    <m/>
    <m/>
    <m/>
    <n v="2080.2993278984454"/>
    <m/>
    <m/>
    <m/>
    <m/>
    <m/>
    <m/>
    <m/>
    <m/>
    <m/>
    <m/>
    <m/>
    <m/>
    <n v="4915.2825000000003"/>
    <n v="-2269.3999800000011"/>
    <m/>
    <m/>
    <m/>
    <m/>
    <n v="-2270.7259199999999"/>
    <n v="0"/>
    <n v="31"/>
    <n v="-17.628563348710941"/>
    <n v="0"/>
    <n v="0"/>
    <n v="0"/>
    <n v="0"/>
    <n v="0"/>
    <n v="0"/>
    <n v="0"/>
    <n v="-2.3005127236410772"/>
    <n v="0"/>
    <n v="0"/>
    <n v="-2.5628946787037421E-7"/>
    <n v="0"/>
    <n v="0"/>
    <n v="0"/>
    <n v="-3.5355043337403913E-8"/>
    <n v="0"/>
    <n v="-13.035598612663648"/>
    <m/>
    <n v="0"/>
    <n v="0"/>
    <n v="0"/>
    <n v="0"/>
    <n v="-1.7409207923116412"/>
    <n v="-0.55153092844932061"/>
    <n v="0"/>
    <n v="0"/>
    <m/>
    <m/>
    <m/>
    <n v="3674.6473573479784"/>
    <n v="0"/>
    <n v="0"/>
    <n v="-2270.7259199999999"/>
    <n v="0"/>
    <n v="0"/>
    <n v="0"/>
    <n v="-2253.0921015476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2"/>
    <s v="Refaturamento - Regular"/>
    <s v="Convencional"/>
    <s v="A4"/>
    <s v="Rural"/>
    <s v="Agropecuária rural"/>
    <s v="Não se aplica"/>
    <s v="Não se aplica"/>
    <s v="Não se aplica"/>
    <s v="CATIVO"/>
    <x v="1"/>
    <n v="-22"/>
    <n v="-21.119999999999997"/>
    <n v="0"/>
    <n v="0"/>
    <n v="0"/>
    <n v="0"/>
    <n v="151.13"/>
    <m/>
    <m/>
    <n v="-3324.8599999999997"/>
    <m/>
    <n v="-3324.8599999999997"/>
    <n v="-1912.9"/>
    <n v="0"/>
    <n v="0"/>
    <n v="0"/>
    <n v="0"/>
    <n v="0"/>
    <n v="-1026.5590216066723"/>
    <n v="-2298.23245690865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76.516000000000219"/>
    <m/>
    <m/>
    <m/>
    <n v="0"/>
    <m/>
    <m/>
    <m/>
    <m/>
    <m/>
    <m/>
    <m/>
    <m/>
    <m/>
    <m/>
    <m/>
    <m/>
    <n v="-1836.3840000000002"/>
    <n v="1355.4515999999987"/>
    <m/>
    <m/>
    <m/>
    <m/>
    <n v="1411.9599999999998"/>
    <n v="0"/>
    <n v="31"/>
    <n v="2.6383470863023604"/>
    <n v="0"/>
    <n v="0"/>
    <n v="0"/>
    <n v="0"/>
    <m/>
    <m/>
    <m/>
    <n v="2.63834708630236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298.2324569086522"/>
    <m/>
    <n v="0"/>
    <n v="0"/>
    <n v="1411.9599999999996"/>
    <m/>
    <n v="0"/>
    <m/>
    <n v="1409.150019750013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0.95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94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26000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95"/>
    <s v="Regular"/>
    <s v="Convencional"/>
    <s v="B2"/>
    <s v="Rural"/>
    <s v="Agropecuária rural"/>
    <s v="IRRIG./AQUIC."/>
    <s v="Não se aplica"/>
    <s v="Não se aplica"/>
    <s v="CATIVO"/>
    <x v="1"/>
    <n v="0"/>
    <n v="0"/>
    <n v="2.2959999999999998"/>
    <n v="2.2959999999999998"/>
    <n v="2.2959999999999998"/>
    <n v="2.2959999999999998"/>
    <m/>
    <n v="739.04"/>
    <n v="252.22"/>
    <m/>
    <n v="2275.9329599999996"/>
    <n v="2275.9329599999996"/>
    <n v="1556.6191199999998"/>
    <n v="0"/>
    <n v="142.01484760734039"/>
    <n v="0"/>
    <n v="0"/>
    <n v="0"/>
    <n v="283.55044573775552"/>
    <n v="1164.0439200429025"/>
    <n v="579.1034741270978"/>
    <n v="0"/>
    <n v="0"/>
    <n v="0"/>
    <n v="0"/>
    <n v="0"/>
    <n v="21.952123006462323"/>
    <m/>
    <n v="5.3802134459644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887593319760583"/>
    <n v="0"/>
    <n v="0"/>
    <n v="0"/>
    <n v="0"/>
    <n v="0"/>
    <m/>
    <m/>
    <m/>
    <m/>
    <m/>
    <n v="225.88047999999998"/>
    <m/>
    <m/>
    <m/>
    <n v="658.99106744685832"/>
    <m/>
    <m/>
    <m/>
    <m/>
    <m/>
    <m/>
    <m/>
    <m/>
    <m/>
    <m/>
    <m/>
    <m/>
    <n v="1333.057"/>
    <n v="-601.92699999999968"/>
    <m/>
    <m/>
    <m/>
    <m/>
    <n v="-719.31383999999991"/>
    <n v="0"/>
    <n v="31"/>
    <n v="-5.5843241513023258"/>
    <n v="0"/>
    <n v="0"/>
    <n v="0"/>
    <n v="0"/>
    <n v="0"/>
    <n v="0"/>
    <n v="0"/>
    <n v="-0.72874961554634865"/>
    <n v="0"/>
    <n v="0"/>
    <n v="-8.1186612987949047E-8"/>
    <n v="0"/>
    <n v="0"/>
    <n v="0"/>
    <n v="-1.119965986617899E-8"/>
    <n v="0"/>
    <n v="-4.129378368470725"/>
    <m/>
    <n v="0"/>
    <n v="0"/>
    <n v="0"/>
    <n v="0"/>
    <n v="-0.5514837388448548"/>
    <n v="-0.1747123360540348"/>
    <n v="0"/>
    <n v="0"/>
    <m/>
    <m/>
    <m/>
    <n v="1164.0439200429025"/>
    <n v="0"/>
    <n v="0"/>
    <n v="-719.3138399999998"/>
    <n v="0"/>
    <n v="0"/>
    <n v="0"/>
    <n v="-713.7278511524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6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36599999999999999"/>
    <n v="0.36599999999999999"/>
    <n v="0.36599999999999999"/>
    <n v="0.36599999999999999"/>
    <m/>
    <n v="739.04"/>
    <n v="252.22"/>
    <m/>
    <n v="362.80115999999998"/>
    <n v="362.80115999999998"/>
    <n v="248.13702000000001"/>
    <n v="0"/>
    <n v="22.638255324166632"/>
    <n v="0"/>
    <n v="0"/>
    <n v="0"/>
    <n v="45.200114608022005"/>
    <n v="185.55752383959162"/>
    <n v="92.313532896566997"/>
    <n v="0"/>
    <n v="0"/>
    <n v="0"/>
    <n v="0"/>
    <n v="0"/>
    <n v="3.499336681343733"/>
    <m/>
    <n v="0.8576472653410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734694753933962"/>
    <n v="0"/>
    <n v="0"/>
    <n v="0"/>
    <n v="0"/>
    <n v="0"/>
    <m/>
    <m/>
    <m/>
    <m/>
    <m/>
    <n v="36.007080000000002"/>
    <m/>
    <m/>
    <m/>
    <n v="105.04822765050096"/>
    <m/>
    <m/>
    <m/>
    <m/>
    <m/>
    <m/>
    <m/>
    <m/>
    <m/>
    <m/>
    <m/>
    <m/>
    <n v="214.44830000000002"/>
    <n v="-94.02819999999997"/>
    <m/>
    <m/>
    <m/>
    <m/>
    <n v="-114.66413999999999"/>
    <n v="0"/>
    <n v="31"/>
    <n v="-0.8901840763835196"/>
    <n v="0"/>
    <n v="0"/>
    <n v="0"/>
    <n v="0"/>
    <n v="0"/>
    <n v="0"/>
    <n v="0"/>
    <n v="-0.1161682749520736"/>
    <n v="0"/>
    <n v="0"/>
    <n v="-1.2941768545715604E-8"/>
    <n v="0"/>
    <n v="0"/>
    <n v="0"/>
    <n v="-1.7853132305845065E-9"/>
    <n v="0"/>
    <n v="-0.6582545657057004"/>
    <m/>
    <n v="0"/>
    <n v="0"/>
    <n v="0"/>
    <n v="0"/>
    <n v="-8.7910735373352811E-2"/>
    <n v="-2.7850485625338317E-2"/>
    <n v="0"/>
    <n v="0"/>
    <m/>
    <m/>
    <m/>
    <n v="185.55752383959162"/>
    <n v="0"/>
    <n v="0"/>
    <n v="-114.66413999999997"/>
    <n v="0"/>
    <n v="0"/>
    <n v="0"/>
    <n v="-113.7736905582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7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.163"/>
    <n v="0.4652"/>
    <n v="1.163"/>
    <n v="0.4652"/>
    <m/>
    <n v="739.04"/>
    <n v="252.22"/>
    <m/>
    <n v="1152.83538"/>
    <n v="1152.83538"/>
    <n v="788.47910999999999"/>
    <n v="0"/>
    <n v="71.935221153021303"/>
    <n v="0"/>
    <n v="0"/>
    <n v="0"/>
    <n v="143.6276865823213"/>
    <n v="589.62677657225424"/>
    <n v="293.33507857570333"/>
    <n v="0"/>
    <n v="0"/>
    <n v="0"/>
    <n v="0"/>
    <n v="0"/>
    <n v="11.119476940991152"/>
    <m/>
    <n v="2.7252562010699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465710379303822"/>
    <n v="0"/>
    <n v="0"/>
    <n v="0"/>
    <n v="0"/>
    <n v="0"/>
    <m/>
    <m/>
    <m/>
    <m/>
    <m/>
    <m/>
    <n v="518.85384199999999"/>
    <m/>
    <m/>
    <n v="333.80078895500714"/>
    <m/>
    <m/>
    <m/>
    <m/>
    <m/>
    <m/>
    <m/>
    <m/>
    <m/>
    <m/>
    <m/>
    <m/>
    <n v="272.40729999999996"/>
    <n v="-119.66999999999996"/>
    <m/>
    <m/>
    <m/>
    <m/>
    <n v="-364.35626999999999"/>
    <n v="0"/>
    <n v="31"/>
    <n v="-2.8286450296012617"/>
    <n v="0"/>
    <n v="0"/>
    <n v="0"/>
    <n v="0"/>
    <n v="0"/>
    <n v="0"/>
    <n v="0"/>
    <n v="-0.36913580264825896"/>
    <n v="0"/>
    <n v="0"/>
    <n v="-4.1123712435364723E-8"/>
    <n v="0"/>
    <n v="0"/>
    <n v="0"/>
    <n v="-5.6730016240180703E-9"/>
    <n v="0"/>
    <n v="-2.0916668303708406"/>
    <m/>
    <n v="0"/>
    <n v="0"/>
    <n v="0"/>
    <n v="0"/>
    <n v="-0.27934476841313938"/>
    <n v="-8.8497581372318113E-2"/>
    <n v="0"/>
    <n v="0"/>
    <m/>
    <m/>
    <m/>
    <n v="589.62677657225424"/>
    <n v="0"/>
    <n v="0"/>
    <n v="-364.35626999999994"/>
    <n v="0"/>
    <n v="0"/>
    <n v="0"/>
    <n v="-361.52678174666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8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0.317"/>
    <n v="0.317"/>
    <n v="0.317"/>
    <n v="0.317"/>
    <m/>
    <n v="739.04"/>
    <n v="252.22"/>
    <m/>
    <n v="314.22942"/>
    <n v="314.22942"/>
    <n v="214.91649000000001"/>
    <n v="0"/>
    <n v="19.607450649619732"/>
    <n v="0"/>
    <n v="0"/>
    <n v="0"/>
    <n v="39.148733144106494"/>
    <n v="160.71512310696869"/>
    <n v="79.954617290196012"/>
    <n v="0"/>
    <n v="0"/>
    <n v="0"/>
    <n v="0"/>
    <n v="0"/>
    <n v="3.0308462513277687"/>
    <m/>
    <n v="0.7428256369210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29776603817121"/>
    <n v="0"/>
    <n v="0"/>
    <n v="0"/>
    <n v="0"/>
    <n v="0"/>
    <m/>
    <m/>
    <m/>
    <m/>
    <m/>
    <n v="31.18646"/>
    <m/>
    <m/>
    <m/>
    <n v="90.984393894013138"/>
    <m/>
    <m/>
    <m/>
    <m/>
    <m/>
    <m/>
    <m/>
    <m/>
    <m/>
    <m/>
    <m/>
    <m/>
    <n v="185.46879999999999"/>
    <n v="-81.712949999999978"/>
    <m/>
    <m/>
    <m/>
    <m/>
    <n v="-99.312929999999994"/>
    <n v="0"/>
    <n v="31"/>
    <n v="-0.77100642681310205"/>
    <n v="0"/>
    <n v="0"/>
    <n v="0"/>
    <n v="0"/>
    <n v="0"/>
    <n v="0"/>
    <n v="0"/>
    <n v="-0.10061569169346285"/>
    <n v="0"/>
    <n v="0"/>
    <n v="-1.1209124295419315E-8"/>
    <n v="0"/>
    <n v="0"/>
    <n v="0"/>
    <n v="-1.5462955360590058E-9"/>
    <n v="0"/>
    <n v="-0.57012758832979671"/>
    <m/>
    <n v="0"/>
    <n v="0"/>
    <n v="0"/>
    <n v="0"/>
    <n v="-7.6141265337029473E-2"/>
    <n v="-2.4121868697355775E-2"/>
    <n v="0"/>
    <n v="0"/>
    <m/>
    <m/>
    <m/>
    <n v="160.71512310696869"/>
    <n v="0"/>
    <n v="0"/>
    <n v="-99.312929999999994"/>
    <n v="0"/>
    <n v="0"/>
    <n v="0"/>
    <n v="-98.54169373490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99"/>
    <s v="Regular"/>
    <s v="Verde"/>
    <s v="A4"/>
    <s v="Rural"/>
    <s v="Agropecuária rural"/>
    <s v="Não se aplica"/>
    <s v="Não se aplica"/>
    <s v="Ponta"/>
    <s v="CATIVO"/>
    <x v="1"/>
    <n v="0"/>
    <n v="0"/>
    <n v="7.4409999999999998"/>
    <n v="7.1433599999999995"/>
    <n v="7.4409999999999998"/>
    <n v="7.1433599999999995"/>
    <m/>
    <n v="2641.06"/>
    <n v="252.22"/>
    <m/>
    <n v="21528.896479999999"/>
    <n v="21528.896479999999"/>
    <n v="12778.726939999999"/>
    <n v="0"/>
    <n v="400.4169244382453"/>
    <n v="0"/>
    <n v="0"/>
    <n v="0"/>
    <n v="4820.0341766024621"/>
    <n v="14227.864225150484"/>
    <n v="1876.7896127960519"/>
    <n v="0"/>
    <n v="0"/>
    <n v="0"/>
    <n v="0"/>
    <n v="0"/>
    <n v="71.143618158138565"/>
    <m/>
    <n v="17.902347570171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7613619082052"/>
    <n v="0"/>
    <n v="0"/>
    <n v="0"/>
    <n v="0"/>
    <n v="0"/>
    <m/>
    <m/>
    <m/>
    <m/>
    <m/>
    <n v="511.14907760000057"/>
    <m/>
    <m/>
    <m/>
    <n v="1991.550974704257"/>
    <m/>
    <m/>
    <m/>
    <m/>
    <m/>
    <m/>
    <m/>
    <m/>
    <m/>
    <m/>
    <m/>
    <m/>
    <n v="12261.807599999998"/>
    <n v="-8405.9630207999926"/>
    <m/>
    <m/>
    <m/>
    <m/>
    <n v="-8750.1695400000008"/>
    <n v="0"/>
    <n v="31"/>
    <n v="-26.39949437593441"/>
    <n v="0"/>
    <n v="0"/>
    <n v="0"/>
    <n v="0"/>
    <n v="0"/>
    <n v="0"/>
    <n v="0"/>
    <n v="-12.387912295408569"/>
    <n v="0"/>
    <n v="0"/>
    <n v="-2.6311386136512738E-7"/>
    <n v="0"/>
    <n v="0"/>
    <n v="0"/>
    <n v="-1.6088918641798955E-8"/>
    <n v="0"/>
    <n v="-11.642958563857917"/>
    <m/>
    <n v="0"/>
    <n v="0"/>
    <n v="0"/>
    <n v="0"/>
    <n v="-1.7872780926587808"/>
    <n v="-0.58134514480688892"/>
    <n v="0"/>
    <n v="0"/>
    <m/>
    <m/>
    <m/>
    <n v="14227.864225150484"/>
    <n v="0"/>
    <n v="0"/>
    <n v="-8750.1695400000008"/>
    <n v="0"/>
    <n v="0"/>
    <n v="0"/>
    <n v="-8723.745543494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0"/>
    <s v="Regular"/>
    <s v="Verde"/>
    <s v="A4"/>
    <s v="Rural"/>
    <s v="Agropecuária rural"/>
    <s v="Não se aplica"/>
    <s v="Não se aplica"/>
    <s v="Fora ponta"/>
    <s v="CATIVO"/>
    <x v="1"/>
    <n v="0"/>
    <n v="0"/>
    <n v="57.018999999999998"/>
    <n v="54.738239999999998"/>
    <n v="57.018999999999998"/>
    <n v="54.738239999999998"/>
    <m/>
    <n v="81.2"/>
    <n v="252.22"/>
    <m/>
    <n v="19011.274979999998"/>
    <n v="19011.274979999998"/>
    <n v="18904.079259999999"/>
    <n v="0"/>
    <n v="3068.3204696336929"/>
    <n v="0"/>
    <n v="0"/>
    <n v="0"/>
    <n v="0"/>
    <n v="0"/>
    <n v="14381.489978768725"/>
    <n v="0"/>
    <n v="0"/>
    <n v="0"/>
    <n v="0"/>
    <n v="0"/>
    <n v="545.16032304245437"/>
    <m/>
    <n v="137.18236206203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9.39498651309668"/>
    <n v="0"/>
    <n v="0"/>
    <n v="0"/>
    <n v="0"/>
    <n v="0"/>
    <m/>
    <m/>
    <m/>
    <m/>
    <m/>
    <n v="756.16317040000024"/>
    <m/>
    <m/>
    <m/>
    <n v="15260.884965281821"/>
    <m/>
    <m/>
    <m/>
    <m/>
    <m/>
    <m/>
    <m/>
    <m/>
    <m/>
    <m/>
    <m/>
    <m/>
    <n v="18148.499599999999"/>
    <n v="-102.35438079999949"/>
    <m/>
    <m/>
    <m/>
    <m/>
    <n v="-107.19572000000055"/>
    <n v="0"/>
    <n v="31"/>
    <n v="-107.36814926079023"/>
    <n v="0"/>
    <n v="0"/>
    <n v="0"/>
    <n v="0"/>
    <n v="0"/>
    <n v="0"/>
    <n v="0"/>
    <n v="0"/>
    <n v="0"/>
    <n v="0"/>
    <n v="-2.0161915017524734E-6"/>
    <n v="0"/>
    <n v="0"/>
    <n v="0"/>
    <n v="-1.2328644061199157E-7"/>
    <n v="0"/>
    <n v="-89.217827489936099"/>
    <m/>
    <n v="0"/>
    <n v="0"/>
    <n v="0"/>
    <n v="0"/>
    <n v="-13.695579836757361"/>
    <n v="-4.4547397946168417"/>
    <n v="0"/>
    <n v="0"/>
    <m/>
    <m/>
    <m/>
    <n v="0"/>
    <n v="0"/>
    <n v="0"/>
    <n v="-107.19572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1"/>
    <s v="Regular"/>
    <s v="Verde"/>
    <s v="A4"/>
    <s v="Rural"/>
    <s v="Agropecuária rural"/>
    <s v="Não se aplica"/>
    <s v="Não se aplica"/>
    <s v="Não se aplica"/>
    <s v="CATIVO"/>
    <x v="1"/>
    <n v="1487"/>
    <n v="1427.52"/>
    <n v="0"/>
    <n v="0"/>
    <n v="0"/>
    <n v="0"/>
    <n v="74.44"/>
    <m/>
    <m/>
    <n v="110692.28"/>
    <m/>
    <n v="110692.28"/>
    <n v="67539.540000000008"/>
    <n v="0"/>
    <n v="0"/>
    <n v="0"/>
    <n v="0"/>
    <n v="0"/>
    <n v="40471.816592781826"/>
    <n v="70218.4269081229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1.75"/>
    <n v="24"/>
    <m/>
    <m/>
    <m/>
    <m/>
    <m/>
    <n v="2701.5816000000009"/>
    <m/>
    <m/>
    <m/>
    <n v="0"/>
    <m/>
    <m/>
    <m/>
    <m/>
    <m/>
    <m/>
    <m/>
    <m/>
    <m/>
    <m/>
    <m/>
    <m/>
    <n v="64837.958400000003"/>
    <n v="-41426.660399999979"/>
    <m/>
    <m/>
    <m/>
    <m/>
    <n v="-43152.739999999991"/>
    <n v="0"/>
    <n v="31"/>
    <n v="-104.01613266993809"/>
    <n v="0"/>
    <n v="0"/>
    <n v="0"/>
    <n v="0"/>
    <m/>
    <m/>
    <m/>
    <n v="-104.016132669938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218.426908122987"/>
    <m/>
    <n v="0"/>
    <n v="0"/>
    <n v="-43152.739999999991"/>
    <m/>
    <n v="0"/>
    <m/>
    <n v="-43054.08592022561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02"/>
    <s v="Regular"/>
    <s v="Verde"/>
    <s v="A4"/>
    <s v="Rural"/>
    <s v="Agropecuária rural"/>
    <s v="IRRIG./AQUIC. PR"/>
    <s v="Não se aplica"/>
    <s v="Fora ponta"/>
    <s v="CATIVO"/>
    <x v="1"/>
    <n v="0"/>
    <n v="0"/>
    <n v="27.2"/>
    <n v="8.16"/>
    <n v="27.2"/>
    <n v="8.16"/>
    <m/>
    <n v="81.2"/>
    <n v="252.22"/>
    <m/>
    <n v="9069.0239999999994"/>
    <n v="9069.0239999999994"/>
    <n v="9017.887999999999"/>
    <n v="0"/>
    <n v="1463.6930983362818"/>
    <n v="0"/>
    <n v="0"/>
    <n v="0"/>
    <n v="0"/>
    <n v="0"/>
    <n v="6860.459275373285"/>
    <n v="0"/>
    <n v="0"/>
    <n v="0"/>
    <n v="0"/>
    <n v="0"/>
    <n v="260.05999380478016"/>
    <m/>
    <n v="65.440646943779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9.50128261029181"/>
    <n v="0"/>
    <n v="0"/>
    <n v="0"/>
    <n v="0"/>
    <n v="0"/>
    <m/>
    <m/>
    <m/>
    <m/>
    <m/>
    <m/>
    <n v="6312.5216"/>
    <m/>
    <m/>
    <n v="7279.960557983577"/>
    <m/>
    <m/>
    <m/>
    <m/>
    <m/>
    <m/>
    <m/>
    <m/>
    <m/>
    <m/>
    <m/>
    <m/>
    <n v="2705.3663999999999"/>
    <n v="-15.3708000000006"/>
    <m/>
    <m/>
    <m/>
    <m/>
    <n v="-51.136000000000259"/>
    <n v="0"/>
    <n v="31"/>
    <n v="-51.218254615016122"/>
    <n v="0"/>
    <n v="0"/>
    <n v="0"/>
    <n v="0"/>
    <n v="0"/>
    <n v="0"/>
    <n v="0"/>
    <n v="0"/>
    <n v="0"/>
    <n v="0"/>
    <n v="-9.6179246611427516E-7"/>
    <n v="0"/>
    <n v="0"/>
    <n v="0"/>
    <n v="-5.8811792769120075E-8"/>
    <n v="0"/>
    <n v="-42.559934543332247"/>
    <m/>
    <n v="0"/>
    <n v="0"/>
    <n v="0"/>
    <n v="0"/>
    <n v="-6.5332568364896133"/>
    <n v="-2.1250622145877429"/>
    <n v="0"/>
    <n v="0"/>
    <m/>
    <m/>
    <m/>
    <n v="0"/>
    <n v="0"/>
    <n v="0"/>
    <n v="-51.135999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"/>
    <s v="Não se aplica"/>
    <s v="Não se aplica"/>
    <s v="Não se aplica"/>
    <s v="CATIVO"/>
    <x v="2"/>
    <n v="0"/>
    <n v="0"/>
    <n v="1029.579"/>
    <n v="1029.579"/>
    <n v="1029.579"/>
    <n v="1029.579"/>
    <m/>
    <n v="739.04"/>
    <n v="252.22"/>
    <m/>
    <n v="1020580.47954"/>
    <n v="1020580.47954"/>
    <n v="698023.67463000002"/>
    <n v="0"/>
    <n v="63682.711143169829"/>
    <n v="0"/>
    <n v="0"/>
    <n v="0"/>
    <n v="127150.51584156472"/>
    <n v="521983.96130394231"/>
    <n v="259683.26471615996"/>
    <n v="0"/>
    <n v="0"/>
    <n v="0"/>
    <n v="0"/>
    <n v="0"/>
    <n v="9843.8348662327844"/>
    <m/>
    <n v="2412.6109666736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23.427022023425"/>
    <n v="0"/>
    <n v="0"/>
    <n v="0"/>
    <n v="333529.31"/>
    <n v="8270"/>
    <m/>
    <m/>
    <m/>
    <m/>
    <m/>
    <m/>
    <m/>
    <m/>
    <m/>
    <n v="295506.69173818338"/>
    <m/>
    <m/>
    <m/>
    <m/>
    <m/>
    <m/>
    <m/>
    <m/>
    <m/>
    <m/>
    <m/>
    <m/>
    <n v="698024.35259999998"/>
    <n v="-322556.15694000002"/>
    <m/>
    <m/>
    <m/>
    <m/>
    <n v="-322556.80490999995"/>
    <n v="0"/>
    <n v="30"/>
    <n v="-2504.1388830023352"/>
    <n v="0"/>
    <n v="0"/>
    <n v="0"/>
    <n v="0"/>
    <n v="0"/>
    <n v="0"/>
    <n v="0"/>
    <n v="-326.7880228330032"/>
    <n v="0"/>
    <n v="0"/>
    <n v="-3.6405923310667276E-5"/>
    <n v="0"/>
    <n v="0"/>
    <n v="0"/>
    <n v="-5.0221860874444246E-6"/>
    <n v="0"/>
    <n v="-1851.7078620347238"/>
    <m/>
    <n v="0"/>
    <n v="0"/>
    <n v="0"/>
    <n v="0"/>
    <n v="-247.29794266382851"/>
    <n v="-78.345014042759885"/>
    <n v="0"/>
    <n v="0"/>
    <m/>
    <m/>
    <m/>
    <n v="521983.96130394231"/>
    <n v="0"/>
    <n v="0"/>
    <n v="-322556.80490999995"/>
    <n v="0"/>
    <n v="0"/>
    <n v="0"/>
    <n v="-320051.91953908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4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0.14699999999999999"/>
    <n v="0.14699999999999999"/>
    <n v="0.14699999999999999"/>
    <n v="0.14699999999999999"/>
    <m/>
    <n v="739.04"/>
    <n v="252.22"/>
    <m/>
    <n v="145.71521999999999"/>
    <n v="145.71521999999999"/>
    <n v="99.66158999999999"/>
    <n v="0"/>
    <n v="9.0924140236406963"/>
    <n v="0"/>
    <n v="0"/>
    <n v="0"/>
    <n v="18.154144391746541"/>
    <n v="74.52720219786876"/>
    <n v="37.076746819112969"/>
    <n v="0"/>
    <n v="0"/>
    <n v="0"/>
    <n v="0"/>
    <n v="0"/>
    <n v="1.4054712900478927"/>
    <m/>
    <n v="0.34446488525992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147544503505253"/>
    <n v="0"/>
    <n v="0"/>
    <n v="0"/>
    <n v="43.19"/>
    <n v="0"/>
    <m/>
    <m/>
    <m/>
    <m/>
    <m/>
    <m/>
    <m/>
    <m/>
    <m/>
    <n v="42.191501269463494"/>
    <m/>
    <m/>
    <m/>
    <m/>
    <m/>
    <m/>
    <m/>
    <m/>
    <m/>
    <m/>
    <m/>
    <m/>
    <n v="101.6955"/>
    <n v="-44.049719999999994"/>
    <m/>
    <m/>
    <m/>
    <m/>
    <n v="-46.053629999999991"/>
    <n v="0"/>
    <n v="30"/>
    <n v="-0.35753294871143737"/>
    <n v="0"/>
    <n v="0"/>
    <n v="0"/>
    <n v="0"/>
    <n v="0"/>
    <n v="0"/>
    <n v="0"/>
    <n v="-4.6657749775832258E-2"/>
    <n v="0"/>
    <n v="0"/>
    <n v="-5.1979185400341521E-9"/>
    <n v="0"/>
    <n v="0"/>
    <n v="0"/>
    <n v="-7.170513072196627E-10"/>
    <n v="0"/>
    <n v="-0.26438093212769864"/>
    <m/>
    <n v="0"/>
    <n v="0"/>
    <n v="0"/>
    <n v="0"/>
    <n v="-3.5308410108969568E-2"/>
    <n v="-1.1185850783947349E-2"/>
    <n v="0"/>
    <n v="0"/>
    <m/>
    <m/>
    <m/>
    <n v="74.52720219786876"/>
    <n v="0"/>
    <n v="0"/>
    <n v="-46.053629999999991"/>
    <n v="0"/>
    <n v="0"/>
    <n v="0"/>
    <n v="-45.695990470129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5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32.054000000000002"/>
    <n v="32.054000000000002"/>
    <n v="32.054000000000002"/>
    <n v="32.054000000000002"/>
    <m/>
    <n v="739.04"/>
    <n v="252.22"/>
    <m/>
    <n v="31773.848040000001"/>
    <n v="31773.848040000001"/>
    <n v="21731.650380000003"/>
    <n v="0"/>
    <n v="1982.6410824066593"/>
    <n v="0"/>
    <n v="0"/>
    <n v="0"/>
    <n v="3958.5914580479166"/>
    <n v="16250.98598129582"/>
    <n v="8084.7485887064449"/>
    <n v="0"/>
    <n v="0"/>
    <n v="0"/>
    <n v="0"/>
    <n v="0"/>
    <n v="306.46922946391265"/>
    <m/>
    <n v="75.112091374976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5.2948241601073"/>
    <n v="0"/>
    <n v="0"/>
    <n v="0"/>
    <n v="28870.87"/>
    <n v="472"/>
    <m/>
    <m/>
    <m/>
    <m/>
    <m/>
    <m/>
    <m/>
    <m/>
    <m/>
    <n v="9200.0434128665529"/>
    <m/>
    <m/>
    <m/>
    <m/>
    <m/>
    <m/>
    <m/>
    <m/>
    <m/>
    <m/>
    <m/>
    <m/>
    <n v="21728.938499999997"/>
    <n v="-10044.939539999999"/>
    <m/>
    <m/>
    <m/>
    <m/>
    <n v="-10042.19766"/>
    <n v="0"/>
    <n v="30"/>
    <n v="-77.961640394532878"/>
    <n v="0"/>
    <n v="0"/>
    <n v="0"/>
    <n v="0"/>
    <n v="0"/>
    <n v="0"/>
    <n v="0"/>
    <n v="-10.173928648398032"/>
    <n v="0"/>
    <n v="0"/>
    <n v="-1.1334304872434586E-6"/>
    <n v="0"/>
    <n v="0"/>
    <n v="0"/>
    <n v="-1.5635646377631929E-7"/>
    <n v="0"/>
    <n v="-57.649431281777197"/>
    <m/>
    <n v="0"/>
    <n v="0"/>
    <n v="0"/>
    <n v="0"/>
    <n v="-7.6991549498837344"/>
    <n v="-2.43912422468469"/>
    <n v="0"/>
    <n v="0"/>
    <m/>
    <m/>
    <m/>
    <n v="16250.98598129582"/>
    <n v="0"/>
    <n v="0"/>
    <n v="-10042.19766"/>
    <n v="0"/>
    <n v="0"/>
    <n v="0"/>
    <n v="-9964.2127791124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6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0.31900000000000001"/>
    <n v="0.31900000000000001"/>
    <n v="0.31900000000000001"/>
    <n v="0.31900000000000001"/>
    <m/>
    <n v="739.04"/>
    <n v="252.22"/>
    <m/>
    <n v="316.21194000000003"/>
    <n v="316.21194000000003"/>
    <n v="216.27243000000001"/>
    <n v="0"/>
    <n v="19.731156962866546"/>
    <n v="0"/>
    <n v="0"/>
    <n v="0"/>
    <n v="39.395728305898963"/>
    <n v="161.72909864707574"/>
    <n v="80.459062825149928"/>
    <n v="0"/>
    <n v="0"/>
    <n v="0"/>
    <n v="0"/>
    <n v="0"/>
    <n v="3.0499683096957675"/>
    <m/>
    <n v="0.74751223399942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9365099740258"/>
    <n v="0"/>
    <n v="0"/>
    <n v="0"/>
    <n v="129.44999999999999"/>
    <n v="1"/>
    <m/>
    <m/>
    <m/>
    <m/>
    <m/>
    <m/>
    <m/>
    <m/>
    <m/>
    <n v="91.558427924890182"/>
    <m/>
    <m/>
    <m/>
    <m/>
    <m/>
    <m/>
    <m/>
    <m/>
    <m/>
    <m/>
    <m/>
    <m/>
    <n v="216.9504"/>
    <n v="-99.291539999999998"/>
    <m/>
    <m/>
    <m/>
    <m/>
    <n v="-99.939509999999984"/>
    <n v="0"/>
    <n v="30"/>
    <n v="-0.77587082067310575"/>
    <n v="0"/>
    <n v="0"/>
    <n v="0"/>
    <n v="0"/>
    <n v="0"/>
    <n v="0"/>
    <n v="0"/>
    <n v="-0.10125049101014127"/>
    <n v="0"/>
    <n v="0"/>
    <n v="-1.1279851719336875E-8"/>
    <n v="0"/>
    <n v="0"/>
    <n v="0"/>
    <n v="-1.556051287820992E-9"/>
    <n v="0"/>
    <n v="-0.57372460781452972"/>
    <m/>
    <n v="0"/>
    <n v="0"/>
    <n v="0"/>
    <n v="0"/>
    <n v="-7.6621651869124285E-2"/>
    <n v="-2.4274057143395922E-2"/>
    <n v="0"/>
    <n v="0"/>
    <m/>
    <m/>
    <m/>
    <n v="161.72909864707574"/>
    <n v="0"/>
    <n v="0"/>
    <n v="-99.939509999999984"/>
    <n v="0"/>
    <n v="0"/>
    <n v="0"/>
    <n v="-99.163407890961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8.5039999999999996"/>
    <n v="8.5039999999999996"/>
    <n v="8.5039999999999996"/>
    <n v="8.5039999999999996"/>
    <m/>
    <n v="667.62"/>
    <n v="252.22"/>
    <m/>
    <n v="7822.3193599999995"/>
    <n v="7822.3193599999995"/>
    <n v="5175.4493599999996"/>
    <n v="0"/>
    <n v="0"/>
    <n v="0"/>
    <n v="0"/>
    <n v="0"/>
    <n v="1050.2234279415823"/>
    <n v="4311.4239965352108"/>
    <n v="2144.9024146240595"/>
    <n v="0"/>
    <n v="0"/>
    <n v="0"/>
    <n v="0"/>
    <n v="0"/>
    <n v="0"/>
    <m/>
    <n v="19.927410777213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.89028466517601"/>
    <n v="0"/>
    <n v="0"/>
    <n v="0"/>
    <n v="684.03"/>
    <n v="24"/>
    <m/>
    <m/>
    <m/>
    <m/>
    <m/>
    <m/>
    <m/>
    <n v="3364.0123199999998"/>
    <m/>
    <n v="2440.7926992892353"/>
    <m/>
    <m/>
    <m/>
    <m/>
    <m/>
    <m/>
    <m/>
    <m/>
    <m/>
    <m/>
    <m/>
    <m/>
    <n v="1810.585"/>
    <n v="-927.30780000000004"/>
    <m/>
    <m/>
    <m/>
    <m/>
    <n v="-2646.87"/>
    <n v="0"/>
    <n v="30"/>
    <n v="-3.3462723092607121"/>
    <n v="0"/>
    <n v="0"/>
    <n v="0"/>
    <n v="0"/>
    <n v="0"/>
    <n v="0"/>
    <n v="0"/>
    <n v="-2.6991666945148154"/>
    <n v="0"/>
    <n v="0"/>
    <n v="-3.007016857736744E-7"/>
    <n v="0"/>
    <n v="0"/>
    <n v="0"/>
    <n v="-4.1481712287350092E-8"/>
    <n v="0"/>
    <n v="0"/>
    <m/>
    <n v="0"/>
    <n v="0"/>
    <n v="0"/>
    <n v="0"/>
    <n v="0"/>
    <n v="-0.64710527256250572"/>
    <n v="0"/>
    <n v="0"/>
    <m/>
    <m/>
    <m/>
    <n v="4311.4239965352108"/>
    <n v="0"/>
    <n v="0"/>
    <n v="-2646.8699999999994"/>
    <n v="0"/>
    <n v="0"/>
    <n v="0"/>
    <n v="-2643.5285915508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8"/>
    <s v="Sistema de Compensação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.2E-2"/>
    <n v="-9.9199999999999997E-2"/>
    <n v="6.2E-2"/>
    <n v="-9.9199999999999997E-2"/>
    <m/>
    <n v="667.62"/>
    <n v="252.22"/>
    <m/>
    <n v="57.030079999999998"/>
    <n v="57.030079999999998"/>
    <n v="37.732579999999999"/>
    <n v="0"/>
    <n v="0"/>
    <n v="0"/>
    <n v="0"/>
    <n v="0"/>
    <n v="7.6568500155665697"/>
    <n v="31.433241743318799"/>
    <n v="15.637811583571459"/>
    <n v="0"/>
    <n v="0"/>
    <n v="0"/>
    <n v="0"/>
    <n v="0"/>
    <n v="0"/>
    <m/>
    <n v="0.145284509429354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572433736172285"/>
    <n v="0"/>
    <n v="0"/>
    <n v="0"/>
    <n v="8.73"/>
    <n v="0"/>
    <m/>
    <m/>
    <m/>
    <m/>
    <m/>
    <m/>
    <m/>
    <n v="58.863171999999999"/>
    <m/>
    <n v="17.795054957188686"/>
    <m/>
    <m/>
    <m/>
    <m/>
    <m/>
    <m/>
    <m/>
    <m/>
    <m/>
    <m/>
    <m/>
    <m/>
    <n v="-21.301000000000002"/>
    <n v="10.606439999999989"/>
    <m/>
    <m/>
    <m/>
    <m/>
    <n v="-19.297499999999999"/>
    <n v="0"/>
    <n v="30"/>
    <n v="-2.4396623139011808E-2"/>
    <n v="0"/>
    <n v="0"/>
    <n v="0"/>
    <n v="0"/>
    <n v="0"/>
    <n v="0"/>
    <n v="0"/>
    <n v="-1.967877881701785E-2"/>
    <n v="0"/>
    <n v="0"/>
    <n v="-2.1923209914120889E-9"/>
    <n v="0"/>
    <n v="0"/>
    <n v="0"/>
    <n v="-3.0243008097841084E-10"/>
    <n v="0"/>
    <n v="0"/>
    <m/>
    <n v="0"/>
    <n v="0"/>
    <n v="0"/>
    <n v="0"/>
    <n v="0"/>
    <n v="-4.7178418272431077E-3"/>
    <n v="0"/>
    <n v="0"/>
    <m/>
    <m/>
    <m/>
    <n v="31.433241743318799"/>
    <n v="0"/>
    <n v="0"/>
    <n v="-19.297499999999999"/>
    <n v="0"/>
    <n v="0"/>
    <n v="0"/>
    <n v="-19.27313883774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5.045"/>
    <n v="15.045"/>
    <n v="15.045"/>
    <n v="15.045"/>
    <m/>
    <n v="667.62"/>
    <n v="252.22"/>
    <m/>
    <n v="13838.9928"/>
    <n v="13838.9928"/>
    <n v="9156.2365499999996"/>
    <n v="0"/>
    <n v="0"/>
    <n v="0"/>
    <n v="0"/>
    <n v="0"/>
    <n v="1858.0211045838555"/>
    <n v="7627.6310004553443"/>
    <n v="3794.6915366908484"/>
    <n v="0"/>
    <n v="0"/>
    <n v="0"/>
    <n v="0"/>
    <n v="0"/>
    <n v="0"/>
    <m/>
    <n v="35.254926522010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.47946058179366"/>
    <n v="0"/>
    <n v="0"/>
    <n v="0"/>
    <n v="2440.16"/>
    <n v="102"/>
    <m/>
    <m/>
    <m/>
    <m/>
    <m/>
    <m/>
    <m/>
    <n v="3662.5547999999999"/>
    <m/>
    <n v="4318.1709972726421"/>
    <m/>
    <m/>
    <m/>
    <m/>
    <m/>
    <m/>
    <m/>
    <m/>
    <m/>
    <m/>
    <m/>
    <m/>
    <n v="5495.5074999999997"/>
    <n v="-2807.858000000002"/>
    <m/>
    <m/>
    <m/>
    <m/>
    <n v="-4682.7562500000004"/>
    <n v="0"/>
    <n v="30"/>
    <n v="-5.9201160504262589"/>
    <n v="0"/>
    <n v="0"/>
    <n v="0"/>
    <n v="0"/>
    <n v="0"/>
    <n v="0"/>
    <n v="0"/>
    <n v="-4.7752778597102861"/>
    <n v="0"/>
    <n v="0"/>
    <n v="-5.3199164540274069E-7"/>
    <n v="0"/>
    <n v="0"/>
    <n v="0"/>
    <n v="-7.3388150667597074E-8"/>
    <n v="0"/>
    <n v="0"/>
    <m/>
    <n v="0"/>
    <n v="0"/>
    <n v="0"/>
    <n v="0"/>
    <n v="0"/>
    <n v="-1.1448375853366457"/>
    <n v="0"/>
    <n v="0"/>
    <m/>
    <m/>
    <m/>
    <n v="7627.6310004553443"/>
    <n v="0"/>
    <n v="0"/>
    <n v="-4682.7562499999995"/>
    <n v="0"/>
    <n v="0"/>
    <n v="0"/>
    <n v="-4676.844738932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0"/>
    <s v="Sistema de Compensação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.0999999999999999E-2"/>
    <n v="-6.6E-3"/>
    <n v="1.0999999999999999E-2"/>
    <n v="-6.6E-3"/>
    <m/>
    <n v="667.62"/>
    <n v="252.22"/>
    <m/>
    <n v="10.11824"/>
    <n v="10.11824"/>
    <n v="6.6944900000000001"/>
    <n v="0"/>
    <n v="0"/>
    <n v="0"/>
    <n v="0"/>
    <n v="0"/>
    <n v="1.3584733898585848"/>
    <n v="5.5768654705888183"/>
    <n v="2.774450442246549"/>
    <n v="0"/>
    <n v="0"/>
    <n v="0"/>
    <n v="0"/>
    <n v="0"/>
    <n v="0"/>
    <m/>
    <n v="2.577628393101453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8273672757725019"/>
    <n v="0"/>
    <n v="0"/>
    <n v="0"/>
    <n v="26.35"/>
    <n v="0"/>
    <m/>
    <m/>
    <m/>
    <m/>
    <m/>
    <m/>
    <m/>
    <n v="9.1044799999999988"/>
    <m/>
    <n v="3.157187169823799"/>
    <m/>
    <m/>
    <m/>
    <m/>
    <m/>
    <m/>
    <m/>
    <m/>
    <m/>
    <m/>
    <m/>
    <m/>
    <n v="-3.6515"/>
    <n v="-3.895999999999944E-2"/>
    <m/>
    <m/>
    <m/>
    <m/>
    <n v="-3.4237499999999996"/>
    <n v="0"/>
    <n v="30"/>
    <n v="-4.3284331375659235E-3"/>
    <n v="0"/>
    <n v="0"/>
    <n v="0"/>
    <n v="0"/>
    <n v="0"/>
    <n v="0"/>
    <n v="0"/>
    <n v="-3.4913962417288946E-3"/>
    <n v="0"/>
    <n v="0"/>
    <n v="-3.8896041942848569E-10"/>
    <n v="0"/>
    <n v="0"/>
    <n v="0"/>
    <n v="-5.3656912246680122E-11"/>
    <n v="0"/>
    <n v="0"/>
    <m/>
    <n v="0"/>
    <n v="0"/>
    <n v="0"/>
    <n v="0"/>
    <n v="0"/>
    <n v="-8.370364532205507E-4"/>
    <n v="0"/>
    <n v="0"/>
    <m/>
    <m/>
    <m/>
    <n v="5.5768654705888183"/>
    <n v="0"/>
    <n v="0"/>
    <n v="-3.4237500000000001"/>
    <n v="0"/>
    <n v="0"/>
    <n v="0"/>
    <n v="-3.419427858309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0.483000000000001"/>
    <n v="10.483000000000001"/>
    <n v="10.483000000000001"/>
    <n v="10.483000000000001"/>
    <m/>
    <n v="667.62"/>
    <n v="252.22"/>
    <m/>
    <n v="9642.6827200000007"/>
    <n v="9642.6827200000007"/>
    <n v="6379.8489700000009"/>
    <n v="0"/>
    <n v="0"/>
    <n v="0"/>
    <n v="0"/>
    <n v="0"/>
    <n v="1294.6251405352316"/>
    <n v="5314.7527934711452"/>
    <n v="2644.0512714609613"/>
    <n v="0"/>
    <n v="0"/>
    <n v="0"/>
    <n v="0"/>
    <n v="0"/>
    <n v="0"/>
    <m/>
    <n v="24.5647985862568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74810138111951"/>
    <n v="0"/>
    <n v="0"/>
    <n v="0"/>
    <n v="3003.62"/>
    <n v="131"/>
    <m/>
    <m/>
    <m/>
    <m/>
    <m/>
    <m/>
    <m/>
    <n v="637.89054999999996"/>
    <m/>
    <n v="3008.7993728420806"/>
    <m/>
    <m/>
    <m/>
    <m/>
    <m/>
    <m/>
    <m/>
    <m/>
    <m/>
    <m/>
    <m/>
    <m/>
    <n v="5740.3152000000009"/>
    <n v="-2938.1711800000012"/>
    <m/>
    <m/>
    <m/>
    <m/>
    <n v="-3262.8337500000002"/>
    <n v="0"/>
    <n v="30"/>
    <n v="-4.1249967801013554"/>
    <n v="0"/>
    <n v="0"/>
    <n v="0"/>
    <n v="0"/>
    <n v="0"/>
    <n v="0"/>
    <n v="0"/>
    <n v="-3.3273006183678717"/>
    <n v="0"/>
    <n v="0"/>
    <n v="-3.7067911762278527E-7"/>
    <n v="0"/>
    <n v="0"/>
    <n v="0"/>
    <n v="-5.1135089051967952E-8"/>
    <n v="0"/>
    <n v="0"/>
    <m/>
    <n v="0"/>
    <n v="0"/>
    <n v="0"/>
    <n v="0"/>
    <n v="0"/>
    <n v="-0.79769573991918463"/>
    <n v="0"/>
    <n v="0"/>
    <m/>
    <m/>
    <m/>
    <n v="5314.7527934711452"/>
    <n v="0"/>
    <n v="0"/>
    <n v="-3262.8337499999998"/>
    <n v="0"/>
    <n v="0"/>
    <n v="0"/>
    <n v="-3258.714748968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2"/>
    <s v="Sistema de Compensação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0.6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13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2559999999999998"/>
    <n v="2.2559999999999998"/>
    <n v="2.2559999999999998"/>
    <n v="2.2559999999999998"/>
    <m/>
    <n v="667.62"/>
    <n v="252.22"/>
    <m/>
    <n v="2075.1590399999995"/>
    <n v="2075.1590399999995"/>
    <n v="1372.9790399999997"/>
    <n v="0"/>
    <n v="0"/>
    <n v="0"/>
    <n v="0"/>
    <n v="0"/>
    <n v="278.61054250190614"/>
    <n v="1143.7644092407613"/>
    <n v="569.01456342801941"/>
    <n v="0"/>
    <n v="0"/>
    <n v="0"/>
    <n v="0"/>
    <n v="0"/>
    <n v="0"/>
    <m/>
    <n v="5.28648150439716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495823401297855"/>
    <n v="0"/>
    <n v="0"/>
    <n v="0"/>
    <n v="854.83"/>
    <n v="27"/>
    <m/>
    <m/>
    <m/>
    <m/>
    <m/>
    <m/>
    <m/>
    <m/>
    <m/>
    <n v="647.51038682931721"/>
    <m/>
    <m/>
    <m/>
    <m/>
    <m/>
    <m/>
    <m/>
    <m/>
    <m/>
    <m/>
    <m/>
    <m/>
    <n v="1375.4133999999999"/>
    <n v="-699.77564000000029"/>
    <m/>
    <m/>
    <m/>
    <m/>
    <n v="-702.18"/>
    <n v="0"/>
    <n v="30"/>
    <n v="-0.8877222871228696"/>
    <n v="0"/>
    <n v="0"/>
    <n v="0"/>
    <n v="0"/>
    <n v="0"/>
    <n v="0"/>
    <n v="0"/>
    <n v="-0.71605362921280857"/>
    <n v="0"/>
    <n v="0"/>
    <n v="-7.9772121353016701E-8"/>
    <n v="0"/>
    <n v="0"/>
    <n v="0"/>
    <n v="-1.1004544830939267E-8"/>
    <n v="0"/>
    <n v="0"/>
    <m/>
    <n v="0"/>
    <n v="0"/>
    <n v="0"/>
    <n v="0"/>
    <n v="0"/>
    <n v="-0.17166856713323231"/>
    <n v="0"/>
    <n v="0"/>
    <m/>
    <m/>
    <m/>
    <n v="1143.7644092407613"/>
    <n v="0"/>
    <n v="0"/>
    <n v="-702.18"/>
    <n v="0"/>
    <n v="0"/>
    <n v="0"/>
    <n v="-701.2935680313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4"/>
    <s v="Sistema de Compensação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.8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15"/>
    <s v="Regular"/>
    <s v="Convencional"/>
    <s v="B3"/>
    <s v="Industrial"/>
    <s v="Não se aplica"/>
    <s v="Não se aplica"/>
    <s v="Não se aplica"/>
    <s v="Não se aplica"/>
    <s v="CATIVO"/>
    <x v="2"/>
    <n v="0"/>
    <n v="0"/>
    <n v="53.484000000000002"/>
    <n v="53.484000000000002"/>
    <n v="53.484000000000002"/>
    <n v="53.484000000000002"/>
    <m/>
    <n v="739.04"/>
    <n v="252.22"/>
    <m/>
    <n v="53016.54984"/>
    <n v="53016.54984"/>
    <n v="36260.547480000001"/>
    <n v="0"/>
    <n v="3308.154228846252"/>
    <n v="0"/>
    <n v="0"/>
    <n v="0"/>
    <n v="6605.1446166542328"/>
    <n v="27115.733893542947"/>
    <n v="13489.882495737676"/>
    <n v="0"/>
    <n v="0"/>
    <n v="0"/>
    <n v="0"/>
    <n v="0"/>
    <n v="511.36208487701703"/>
    <m/>
    <n v="125.32897906967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0.9355579765138"/>
    <n v="0"/>
    <n v="0"/>
    <n v="0"/>
    <n v="9041.7999999999993"/>
    <n v="17"/>
    <m/>
    <m/>
    <m/>
    <m/>
    <m/>
    <m/>
    <m/>
    <m/>
    <m/>
    <n v="15350.818053714191"/>
    <m/>
    <m/>
    <m/>
    <m/>
    <m/>
    <m/>
    <m/>
    <m/>
    <m/>
    <m/>
    <m/>
    <m/>
    <n v="36257.835599999999"/>
    <n v="-16758.744240000007"/>
    <m/>
    <m/>
    <m/>
    <m/>
    <n v="-16756.002359999999"/>
    <n v="0"/>
    <n v="30"/>
    <n v="-130.08362060464424"/>
    <n v="0"/>
    <n v="0"/>
    <n v="0"/>
    <n v="0"/>
    <n v="0"/>
    <n v="0"/>
    <n v="0"/>
    <n v="-16.975803326603454"/>
    <n v="0"/>
    <n v="0"/>
    <n v="-1.8911960069090128E-6"/>
    <n v="0"/>
    <n v="0"/>
    <n v="0"/>
    <n v="-2.6088969207194168E-7"/>
    <n v="0"/>
    <n v="-96.191495060665602"/>
    <m/>
    <n v="0"/>
    <n v="0"/>
    <n v="0"/>
    <n v="0"/>
    <n v="-12.846496641279771"/>
    <n v="-4.0698234240043405"/>
    <n v="0"/>
    <n v="0"/>
    <m/>
    <m/>
    <m/>
    <n v="27115.733893542947"/>
    <n v="0"/>
    <n v="0"/>
    <n v="-16756.002359999999"/>
    <n v="0"/>
    <n v="0"/>
    <n v="0"/>
    <n v="-16625.87996125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15.333"/>
    <n v="15.333"/>
    <n v="15.333"/>
    <n v="15.333"/>
    <m/>
    <n v="739.04"/>
    <n v="252.22"/>
    <m/>
    <n v="15198.989579999999"/>
    <n v="15198.989579999999"/>
    <n v="10395.31401"/>
    <n v="0"/>
    <n v="948.39445050668576"/>
    <n v="0"/>
    <n v="0"/>
    <n v="0"/>
    <n v="1893.5884078819711"/>
    <n v="7773.6434782307606"/>
    <n v="3867.3316937242125"/>
    <n v="0"/>
    <n v="0"/>
    <n v="0"/>
    <n v="0"/>
    <n v="0"/>
    <n v="146.59926047826082"/>
    <m/>
    <n v="35.9297965012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3.50020399472521"/>
    <n v="0"/>
    <n v="0"/>
    <n v="0"/>
    <n v="3632.69"/>
    <n v="11"/>
    <m/>
    <m/>
    <m/>
    <m/>
    <m/>
    <m/>
    <m/>
    <m/>
    <m/>
    <n v="4400.8318977189374"/>
    <m/>
    <m/>
    <m/>
    <m/>
    <m/>
    <m/>
    <m/>
    <m/>
    <m/>
    <m/>
    <m/>
    <m/>
    <n v="10393.2801"/>
    <n v="-4805.7394800000002"/>
    <m/>
    <m/>
    <m/>
    <m/>
    <n v="-4803.6755699999994"/>
    <n v="0"/>
    <n v="30"/>
    <n v="-37.292875527837168"/>
    <n v="0"/>
    <n v="0"/>
    <n v="0"/>
    <n v="0"/>
    <n v="0"/>
    <n v="0"/>
    <n v="0"/>
    <n v="-4.8666889613118656"/>
    <n v="0"/>
    <n v="0"/>
    <n v="-5.4217525757849216E-7"/>
    <n v="0"/>
    <n v="0"/>
    <n v="0"/>
    <n v="-7.4792865234485362E-8"/>
    <n v="0"/>
    <n v="-27.57654987968715"/>
    <m/>
    <n v="0"/>
    <n v="0"/>
    <n v="0"/>
    <n v="0"/>
    <n v="-3.682883348304955"/>
    <n v="-1.166752721566418"/>
    <n v="0"/>
    <n v="0"/>
    <m/>
    <m/>
    <m/>
    <n v="7773.6434782307606"/>
    <n v="0"/>
    <n v="0"/>
    <n v="-4803.6755699999994"/>
    <n v="0"/>
    <n v="0"/>
    <n v="0"/>
    <n v="-4766.3715774047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Ponta"/>
    <s v="CATIVO"/>
    <x v="2"/>
    <n v="0"/>
    <n v="0"/>
    <n v="21.138000000000002"/>
    <n v="21.138000000000002"/>
    <n v="21.138000000000002"/>
    <n v="21.138000000000002"/>
    <m/>
    <n v="2641.06"/>
    <n v="252.22"/>
    <m/>
    <n v="61158.15264"/>
    <n v="61158.15264"/>
    <n v="36301.132919999996"/>
    <n v="0"/>
    <n v="1137.4832614938355"/>
    <n v="0"/>
    <n v="0"/>
    <n v="0"/>
    <n v="13692.498646018392"/>
    <n v="40417.765621721672"/>
    <n v="5331.48485892796"/>
    <n v="0"/>
    <n v="0"/>
    <n v="0"/>
    <n v="0"/>
    <n v="0"/>
    <n v="202.1010348913766"/>
    <m/>
    <n v="50.856043937412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00801881677756"/>
    <n v="0"/>
    <n v="0"/>
    <n v="0"/>
    <n v="0"/>
    <n v="0"/>
    <m/>
    <m/>
    <m/>
    <m/>
    <m/>
    <m/>
    <m/>
    <m/>
    <m/>
    <n v="5657.4928777447376"/>
    <m/>
    <m/>
    <m/>
    <m/>
    <m/>
    <m/>
    <m/>
    <m/>
    <m/>
    <m/>
    <m/>
    <m/>
    <n v="36304.567600000002"/>
    <n v="-24853.615040000004"/>
    <m/>
    <m/>
    <m/>
    <m/>
    <n v="-24857.019720000004"/>
    <n v="0"/>
    <n v="30"/>
    <n v="-74.994290030710545"/>
    <n v="0"/>
    <n v="0"/>
    <n v="0"/>
    <n v="0"/>
    <n v="0"/>
    <n v="0"/>
    <n v="0"/>
    <n v="-35.190927308203754"/>
    <n v="0"/>
    <n v="0"/>
    <n v="-7.4744002631632611E-7"/>
    <n v="0"/>
    <n v="0"/>
    <n v="0"/>
    <n v="-4.5704553031100659E-8"/>
    <n v="0"/>
    <n v="-33.074702072682157"/>
    <m/>
    <n v="0"/>
    <n v="0"/>
    <n v="0"/>
    <n v="0"/>
    <n v="-5.0772052577101761"/>
    <n v="-1.6514545989689537"/>
    <n v="0"/>
    <n v="0"/>
    <m/>
    <m/>
    <m/>
    <n v="40417.765621721672"/>
    <n v="0"/>
    <n v="0"/>
    <n v="-24857.019720000004"/>
    <n v="0"/>
    <n v="0"/>
    <n v="0"/>
    <n v="-24781.95582561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8"/>
    <s v="Regular"/>
    <s v="Verde"/>
    <s v="A4"/>
    <s v="Industrial"/>
    <s v="Não se aplica"/>
    <s v="Não se aplica"/>
    <s v="Não se aplica"/>
    <s v="Fora ponta"/>
    <s v="CATIVO"/>
    <x v="2"/>
    <n v="0"/>
    <n v="0"/>
    <n v="379.90899999999999"/>
    <n v="379.90899999999999"/>
    <n v="379.90899999999999"/>
    <n v="379.90899999999999"/>
    <m/>
    <n v="81.2"/>
    <n v="252.22"/>
    <m/>
    <n v="126669.25878"/>
    <n v="126669.25878"/>
    <n v="125955.02986"/>
    <n v="0"/>
    <n v="20443.75666528818"/>
    <n v="0"/>
    <n v="0"/>
    <n v="0"/>
    <n v="0"/>
    <n v="0"/>
    <n v="95821.699369404014"/>
    <n v="0"/>
    <n v="0"/>
    <n v="0"/>
    <n v="0"/>
    <n v="0"/>
    <n v="3632.3210362639788"/>
    <m/>
    <n v="914.02539484427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9.2762049703442"/>
    <n v="0"/>
    <n v="0"/>
    <n v="0"/>
    <n v="0"/>
    <n v="0"/>
    <m/>
    <m/>
    <m/>
    <m/>
    <m/>
    <m/>
    <m/>
    <m/>
    <m/>
    <n v="101680.97557437436"/>
    <m/>
    <m/>
    <m/>
    <m/>
    <m/>
    <m/>
    <m/>
    <m/>
    <m/>
    <m/>
    <m/>
    <m/>
    <n v="125955.36139999999"/>
    <n v="-713.92737999999372"/>
    <m/>
    <m/>
    <m/>
    <m/>
    <n v="-714.22892000000365"/>
    <n v="0"/>
    <n v="30"/>
    <n v="-715.37779016673448"/>
    <n v="0"/>
    <n v="0"/>
    <n v="0"/>
    <n v="0"/>
    <n v="0"/>
    <n v="0"/>
    <n v="0"/>
    <n v="0"/>
    <n v="0"/>
    <n v="0"/>
    <n v="-1.3433585991151631E-5"/>
    <n v="0"/>
    <n v="0"/>
    <n v="0"/>
    <n v="-8.2143924373667687E-7"/>
    <n v="0"/>
    <n v="-594.44493280966344"/>
    <m/>
    <n v="0"/>
    <n v="0"/>
    <n v="0"/>
    <n v="0"/>
    <n v="-91.251583510806086"/>
    <n v="-29.68125959124302"/>
    <n v="0"/>
    <n v="0"/>
    <m/>
    <m/>
    <m/>
    <n v="0"/>
    <n v="0"/>
    <n v="0"/>
    <n v="-714.22892000000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19"/>
    <s v="Regular"/>
    <s v="Verde"/>
    <s v="A4"/>
    <s v="Industrial"/>
    <s v="Não se aplica"/>
    <s v="Não se aplica"/>
    <s v="Não se aplica"/>
    <s v="Não se aplica"/>
    <s v="CATIVO"/>
    <x v="2"/>
    <n v="1713"/>
    <n v="1713"/>
    <n v="0"/>
    <n v="0"/>
    <n v="0"/>
    <n v="0"/>
    <n v="74.44"/>
    <m/>
    <m/>
    <n v="127515.72"/>
    <m/>
    <n v="127515.72"/>
    <n v="77804.460000000006"/>
    <n v="0"/>
    <n v="0"/>
    <n v="0"/>
    <n v="0"/>
    <n v="0"/>
    <n v="46622.879504663935"/>
    <n v="80890.4944812472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668.21"/>
    <n v="9"/>
    <m/>
    <m/>
    <m/>
    <m/>
    <m/>
    <m/>
    <m/>
    <m/>
    <m/>
    <n v="0"/>
    <m/>
    <m/>
    <m/>
    <m/>
    <m/>
    <m/>
    <m/>
    <m/>
    <m/>
    <m/>
    <m/>
    <m/>
    <n v="77804.460000000006"/>
    <n v="-49711.289999999979"/>
    <m/>
    <m/>
    <m/>
    <m/>
    <n v="-49711.259999999995"/>
    <n v="0"/>
    <n v="30"/>
    <n v="-119.82490602798498"/>
    <n v="0"/>
    <n v="0"/>
    <n v="0"/>
    <n v="0"/>
    <m/>
    <m/>
    <m/>
    <n v="-119.824906027984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0890.494481247253"/>
    <m/>
    <n v="0"/>
    <n v="0"/>
    <n v="-49711.259999999995"/>
    <m/>
    <n v="0"/>
    <m/>
    <n v="-49597.61209236479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20"/>
    <s v="Regular"/>
    <s v="Convencional"/>
    <s v="B3"/>
    <s v="Comercial"/>
    <s v="Não se aplica"/>
    <s v="Não se aplica"/>
    <s v="Não se aplica"/>
    <s v="Não se aplica"/>
    <s v="CATIVO"/>
    <x v="2"/>
    <n v="0"/>
    <n v="0"/>
    <n v="360.21"/>
    <n v="360.21"/>
    <n v="360.21"/>
    <n v="360.21"/>
    <m/>
    <n v="739.04"/>
    <n v="252.22"/>
    <m/>
    <n v="357061.76459999994"/>
    <n v="357061.76459999994"/>
    <n v="244211.57370000001"/>
    <n v="0"/>
    <n v="22280.125547317111"/>
    <n v="0"/>
    <n v="0"/>
    <n v="0"/>
    <n v="44485.063614632803"/>
    <n v="182622.06465098166"/>
    <n v="90853.163072875395"/>
    <n v="0"/>
    <n v="0"/>
    <n v="0"/>
    <n v="0"/>
    <n v="0"/>
    <n v="3443.9783223683771"/>
    <m/>
    <n v="844.07956679915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33.236058236482"/>
    <n v="0"/>
    <n v="0"/>
    <n v="0"/>
    <n v="122553.26"/>
    <n v="841"/>
    <m/>
    <m/>
    <m/>
    <m/>
    <m/>
    <m/>
    <m/>
    <m/>
    <m/>
    <n v="103386.39913111187"/>
    <m/>
    <m/>
    <m/>
    <m/>
    <m/>
    <m/>
    <m/>
    <m/>
    <m/>
    <m/>
    <m/>
    <m/>
    <n v="244211.57370000001"/>
    <n v="-112850.22089999996"/>
    <m/>
    <m/>
    <m/>
    <m/>
    <n v="-112850.19089999999"/>
    <n v="0"/>
    <n v="30"/>
    <n v="-876.10165615877486"/>
    <n v="0"/>
    <n v="0"/>
    <n v="0"/>
    <n v="0"/>
    <n v="0"/>
    <n v="0"/>
    <n v="0"/>
    <n v="-114.33053093028866"/>
    <n v="0"/>
    <n v="0"/>
    <n v="-1.2737029464915395E-5"/>
    <n v="0"/>
    <n v="0"/>
    <n v="0"/>
    <n v="-1.757069185259752E-6"/>
    <n v="0"/>
    <n v="-647.84119429740531"/>
    <m/>
    <n v="0"/>
    <n v="0"/>
    <n v="0"/>
    <n v="0"/>
    <n v="-86.520016362937895"/>
    <n v="-27.409900074052189"/>
    <n v="0"/>
    <n v="0"/>
    <m/>
    <m/>
    <m/>
    <n v="182622.06465098166"/>
    <n v="0"/>
    <n v="0"/>
    <n v="-112850.19089999996"/>
    <n v="0"/>
    <n v="0"/>
    <n v="0"/>
    <n v="-111973.8280764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59.561"/>
    <n v="59.561"/>
    <n v="59.561"/>
    <n v="59.561"/>
    <m/>
    <n v="739.04"/>
    <n v="252.22"/>
    <m/>
    <n v="59040.436860000002"/>
    <n v="59040.436860000002"/>
    <n v="40380.571170000003"/>
    <n v="0"/>
    <n v="3684.0358616466906"/>
    <n v="0"/>
    <n v="0"/>
    <n v="0"/>
    <n v="7355.6394157606528"/>
    <n v="30196.698572158242"/>
    <n v="15022.640253695155"/>
    <n v="0"/>
    <n v="0"/>
    <n v="0"/>
    <n v="0"/>
    <n v="0"/>
    <n v="569.46445922818054"/>
    <m/>
    <n v="139.569204292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2.3802028389637"/>
    <n v="0"/>
    <n v="0"/>
    <n v="0"/>
    <n v="32832.22"/>
    <n v="112"/>
    <m/>
    <m/>
    <m/>
    <m/>
    <m/>
    <m/>
    <m/>
    <m/>
    <m/>
    <n v="17095.020456534119"/>
    <m/>
    <m/>
    <m/>
    <m/>
    <m/>
    <m/>
    <m/>
    <m/>
    <m/>
    <m/>
    <m/>
    <m/>
    <n v="40379.893200000006"/>
    <n v="-18660.573660000002"/>
    <m/>
    <m/>
    <m/>
    <m/>
    <n v="-18659.865689999999"/>
    <n v="0"/>
    <n v="30"/>
    <n v="-144.86408134830708"/>
    <n v="0"/>
    <n v="0"/>
    <n v="0"/>
    <n v="0"/>
    <n v="0"/>
    <n v="0"/>
    <n v="0"/>
    <n v="-18.904641050329701"/>
    <n v="0"/>
    <n v="0"/>
    <n v="-2.1060786821180955E-6"/>
    <n v="0"/>
    <n v="0"/>
    <n v="0"/>
    <n v="-2.9053262551315129E-7"/>
    <n v="0"/>
    <n v="-107.12103876501942"/>
    <m/>
    <n v="0"/>
    <n v="0"/>
    <n v="0"/>
    <n v="0"/>
    <n v="-14.3061511190499"/>
    <n v="-4.5322480172972064"/>
    <n v="0"/>
    <n v="0"/>
    <m/>
    <m/>
    <m/>
    <n v="30196.698572158242"/>
    <n v="0"/>
    <n v="0"/>
    <n v="-18659.865689999999"/>
    <n v="0"/>
    <n v="0"/>
    <n v="0"/>
    <n v="-18514.95842443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2"/>
    <s v="Regular"/>
    <s v="Verde"/>
    <s v="A4"/>
    <s v="Comercial"/>
    <s v="Não se aplica"/>
    <s v="Não se aplica"/>
    <s v="Não se aplica"/>
    <s v="Ponta"/>
    <s v="CATIVO"/>
    <x v="2"/>
    <n v="0"/>
    <n v="0"/>
    <n v="7.7350000000000003"/>
    <n v="7.7350000000000003"/>
    <n v="7.7350000000000003"/>
    <n v="7.7350000000000003"/>
    <m/>
    <n v="2641.06"/>
    <n v="252.22"/>
    <m/>
    <n v="22379.520799999998"/>
    <n v="22379.520799999998"/>
    <n v="13283.624900000001"/>
    <n v="0"/>
    <n v="416.23772483938018"/>
    <n v="0"/>
    <n v="0"/>
    <n v="0"/>
    <n v="5010.4776718209987"/>
    <n v="14790.018785316357"/>
    <n v="1950.943106434278"/>
    <n v="0"/>
    <n v="0"/>
    <n v="0"/>
    <n v="0"/>
    <n v="0"/>
    <n v="73.954560738234363"/>
    <m/>
    <n v="18.609683974637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29567724230175"/>
    <n v="0"/>
    <n v="0"/>
    <n v="0"/>
    <n v="0"/>
    <n v="0"/>
    <m/>
    <m/>
    <m/>
    <m/>
    <m/>
    <m/>
    <m/>
    <m/>
    <m/>
    <n v="2070.2387836765797"/>
    <m/>
    <m/>
    <m/>
    <m/>
    <m/>
    <m/>
    <m/>
    <m/>
    <m/>
    <m/>
    <m/>
    <m/>
    <n v="13292.211600000001"/>
    <n v="-9087.3391999999931"/>
    <m/>
    <m/>
    <m/>
    <m/>
    <n v="-9095.8959000000013"/>
    <n v="0"/>
    <n v="30"/>
    <n v="-27.442560005087216"/>
    <n v="0"/>
    <n v="0"/>
    <n v="0"/>
    <n v="0"/>
    <n v="0"/>
    <n v="0"/>
    <n v="0"/>
    <n v="-12.877368848943661"/>
    <n v="0"/>
    <n v="0"/>
    <n v="-2.7350961318006739E-7"/>
    <n v="0"/>
    <n v="0"/>
    <n v="0"/>
    <n v="-1.6724612805774086E-8"/>
    <n v="0"/>
    <n v="-12.102981385760131"/>
    <m/>
    <n v="0"/>
    <n v="0"/>
    <n v="0"/>
    <n v="0"/>
    <n v="-1.8578949128767306"/>
    <n v="-0.60431456727338784"/>
    <n v="0"/>
    <n v="0"/>
    <m/>
    <m/>
    <m/>
    <n v="14790.018785316357"/>
    <n v="0"/>
    <n v="0"/>
    <n v="-9095.8958999999995"/>
    <n v="0"/>
    <n v="0"/>
    <n v="0"/>
    <n v="-9068.427869766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Fora ponta"/>
    <s v="CATIVO"/>
    <x v="2"/>
    <n v="0"/>
    <n v="0"/>
    <n v="227.029"/>
    <n v="227.029"/>
    <n v="227.029"/>
    <n v="227.029"/>
    <m/>
    <n v="81.2"/>
    <n v="252.22"/>
    <m/>
    <n v="75696.009179999994"/>
    <n v="75696.009179999994"/>
    <n v="75269.194659999994"/>
    <n v="0"/>
    <n v="12216.940456698077"/>
    <n v="0"/>
    <n v="0"/>
    <n v="0"/>
    <n v="0"/>
    <n v="0"/>
    <n v="57261.882677526526"/>
    <n v="0"/>
    <n v="0"/>
    <n v="0"/>
    <n v="0"/>
    <n v="0"/>
    <n v="2170.6308946141703"/>
    <m/>
    <n v="546.21046452203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1.432231240145"/>
    <n v="0"/>
    <n v="0"/>
    <n v="0"/>
    <n v="0"/>
    <n v="0"/>
    <m/>
    <m/>
    <m/>
    <m/>
    <m/>
    <m/>
    <m/>
    <m/>
    <m/>
    <n v="60763.314908766668"/>
    <m/>
    <m/>
    <m/>
    <m/>
    <m/>
    <m/>
    <m/>
    <m/>
    <m/>
    <m/>
    <m/>
    <m/>
    <n v="75269.526199999993"/>
    <n v="-426.51297999999952"/>
    <m/>
    <m/>
    <m/>
    <m/>
    <n v="-426.81452000000218"/>
    <n v="0"/>
    <n v="30"/>
    <n v="-427.50107084527554"/>
    <n v="0"/>
    <n v="0"/>
    <n v="0"/>
    <n v="0"/>
    <n v="0"/>
    <n v="0"/>
    <n v="0"/>
    <n v="0"/>
    <n v="0"/>
    <n v="0"/>
    <n v="-8.0277532106265426E-6"/>
    <n v="0"/>
    <n v="0"/>
    <n v="0"/>
    <n v="-4.9088203013525344E-7"/>
    <n v="0"/>
    <n v="-355.2330654205216"/>
    <m/>
    <n v="0"/>
    <n v="0"/>
    <n v="0"/>
    <n v="0"/>
    <n v="-54.530836997477763"/>
    <n v="-17.737159908663216"/>
    <n v="0"/>
    <n v="0"/>
    <m/>
    <m/>
    <m/>
    <n v="0"/>
    <n v="0"/>
    <n v="0"/>
    <n v="-426.814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4"/>
    <s v="Regular"/>
    <s v="Verde"/>
    <s v="A4"/>
    <s v="Comercial"/>
    <s v="Não se aplica"/>
    <s v="Não se aplica"/>
    <s v="Não se aplica"/>
    <s v="Não se aplica"/>
    <s v="CATIVO"/>
    <x v="2"/>
    <n v="2025"/>
    <n v="2025"/>
    <n v="0"/>
    <n v="0"/>
    <n v="0"/>
    <n v="0"/>
    <n v="74.44"/>
    <m/>
    <m/>
    <n v="150741"/>
    <m/>
    <n v="150741"/>
    <n v="91975.5"/>
    <n v="0"/>
    <n v="0"/>
    <n v="0"/>
    <n v="0"/>
    <n v="0"/>
    <n v="55114.612374164899"/>
    <n v="95623.6143167108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0020.11"/>
    <n v="15"/>
    <m/>
    <m/>
    <m/>
    <m/>
    <m/>
    <m/>
    <m/>
    <m/>
    <m/>
    <n v="0"/>
    <m/>
    <m/>
    <m/>
    <m/>
    <m/>
    <m/>
    <m/>
    <m/>
    <m/>
    <m/>
    <m/>
    <m/>
    <n v="91975.5"/>
    <n v="-58765.530000000028"/>
    <m/>
    <m/>
    <m/>
    <m/>
    <n v="-58765.499999999993"/>
    <n v="0"/>
    <n v="30"/>
    <n v="-141.64940730103262"/>
    <n v="0"/>
    <n v="0"/>
    <n v="0"/>
    <n v="0"/>
    <m/>
    <m/>
    <m/>
    <n v="-141.649407301032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623.614316710853"/>
    <m/>
    <n v="0"/>
    <n v="0"/>
    <n v="-58765.5"/>
    <m/>
    <n v="0"/>
    <m/>
    <n v="-58631.1526485923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25"/>
    <s v="Sistema de Compensação"/>
    <s v="Verde"/>
    <s v="A4"/>
    <s v="Comercial"/>
    <s v="Não se aplica"/>
    <s v="Não se aplica"/>
    <s v="Não se aplica"/>
    <s v="Não se aplica"/>
    <s v="CATIVO"/>
    <x v="2"/>
    <n v="80"/>
    <n v="80"/>
    <n v="0"/>
    <n v="0"/>
    <n v="0"/>
    <n v="0"/>
    <n v="74.44"/>
    <m/>
    <m/>
    <n v="5955.2"/>
    <m/>
    <n v="5955.2"/>
    <n v="3633.6000000000004"/>
    <n v="0"/>
    <n v="0"/>
    <n v="0"/>
    <n v="0"/>
    <n v="0"/>
    <n v="2177.3674024361439"/>
    <n v="3777.72303473425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32.2600000000002"/>
    <n v="1"/>
    <m/>
    <m/>
    <m/>
    <m/>
    <m/>
    <m/>
    <m/>
    <m/>
    <m/>
    <n v="0"/>
    <m/>
    <m/>
    <m/>
    <m/>
    <m/>
    <m/>
    <m/>
    <m/>
    <m/>
    <m/>
    <m/>
    <m/>
    <n v="3633.6000000000004"/>
    <n v="-2321.63"/>
    <m/>
    <m/>
    <m/>
    <m/>
    <n v="-2321.5999999999995"/>
    <n v="0"/>
    <n v="30"/>
    <n v="-5.5960259674479857"/>
    <n v="0"/>
    <n v="0"/>
    <n v="0"/>
    <n v="0"/>
    <m/>
    <m/>
    <m/>
    <n v="-5.59602596744798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77.7230347342561"/>
    <m/>
    <n v="0"/>
    <n v="0"/>
    <n v="-2321.5999999999995"/>
    <m/>
    <n v="0"/>
    <m/>
    <n v="-2316.292450314760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26"/>
    <s v="Regular"/>
    <s v="Convencional"/>
    <s v="B2"/>
    <s v="Rural"/>
    <s v="Não se aplica"/>
    <s v="Não se aplica"/>
    <s v="Não se aplica"/>
    <s v="Não se aplica"/>
    <s v="CATIVO"/>
    <x v="2"/>
    <n v="0"/>
    <n v="0"/>
    <n v="2550.3969999999999"/>
    <n v="2550.3969999999999"/>
    <n v="2550.3969999999999"/>
    <n v="2550.3969999999999"/>
    <m/>
    <n v="739.04"/>
    <n v="252.22"/>
    <m/>
    <n v="2528106.5302199996"/>
    <n v="2528106.5302199996"/>
    <n v="1729092.6540899999"/>
    <n v="0"/>
    <n v="157750.10509286504"/>
    <n v="0"/>
    <n v="0"/>
    <n v="0"/>
    <n v="314967.85982501501"/>
    <n v="1293020.0877812102"/>
    <n v="643268.18950493378"/>
    <n v="0"/>
    <n v="0"/>
    <n v="0"/>
    <n v="0"/>
    <n v="0"/>
    <n v="24384.420147784185"/>
    <m/>
    <n v="5976.3415644370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739.145618439652"/>
    <n v="0"/>
    <n v="0"/>
    <n v="0"/>
    <n v="117619.17"/>
    <n v="12093"/>
    <m/>
    <m/>
    <m/>
    <m/>
    <m/>
    <n v="207474.79594999991"/>
    <m/>
    <m/>
    <m/>
    <n v="732007.33512337343"/>
    <m/>
    <m/>
    <m/>
    <m/>
    <m/>
    <m/>
    <m/>
    <m/>
    <m/>
    <m/>
    <m/>
    <m/>
    <n v="1521619.648"/>
    <n v="-703117.18906999985"/>
    <m/>
    <m/>
    <m/>
    <m/>
    <n v="-799013.87612999987"/>
    <n v="0"/>
    <n v="30"/>
    <n v="-6203.0677537061274"/>
    <n v="0"/>
    <n v="0"/>
    <n v="0"/>
    <n v="0"/>
    <n v="0"/>
    <n v="0"/>
    <n v="0"/>
    <n v="-809.49513642879901"/>
    <n v="0"/>
    <n v="0"/>
    <n v="-9.0182060375809669E-5"/>
    <n v="0"/>
    <n v="0"/>
    <n v="0"/>
    <n v="-1.2440592399798334E-5"/>
    <n v="0"/>
    <n v="-4586.9138513992075"/>
    <m/>
    <n v="0"/>
    <n v="0"/>
    <n v="0"/>
    <n v="0"/>
    <n v="-612.58818514751692"/>
    <n v="-194.07047810766562"/>
    <n v="0"/>
    <n v="0"/>
    <m/>
    <m/>
    <m/>
    <n v="1293020.0877812102"/>
    <n v="0"/>
    <n v="0"/>
    <n v="-799013.87612999976"/>
    <n v="0"/>
    <n v="0"/>
    <n v="0"/>
    <n v="-792808.95923160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7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878"/>
    <n v="-0.878"/>
    <n v="-0.878"/>
    <n v="-0.878"/>
    <m/>
    <n v="739.04"/>
    <n v="252.22"/>
    <m/>
    <n v="-870.32628"/>
    <n v="-870.32628"/>
    <n v="-595.25765999999999"/>
    <n v="0"/>
    <n v="-54.307071515350557"/>
    <n v="0"/>
    <n v="0"/>
    <n v="0"/>
    <n v="-108.43087602689432"/>
    <n v="-445.13526210699848"/>
    <n v="-221.45158984477001"/>
    <n v="0"/>
    <n v="0"/>
    <n v="0"/>
    <n v="0"/>
    <n v="0"/>
    <n v="-8.3945836235513589"/>
    <m/>
    <n v="-2.0574161174027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0.549349710256884"/>
    <n v="0"/>
    <n v="0"/>
    <n v="0"/>
    <n v="0"/>
    <n v="0"/>
    <m/>
    <m/>
    <m/>
    <m/>
    <m/>
    <n v="-71.425299999999964"/>
    <m/>
    <m/>
    <m/>
    <n v="-252.00093955502689"/>
    <m/>
    <m/>
    <m/>
    <m/>
    <m/>
    <m/>
    <m/>
    <m/>
    <m/>
    <m/>
    <m/>
    <m/>
    <n v="-525.02560000000005"/>
    <n v="240.83258000000001"/>
    <m/>
    <m/>
    <m/>
    <m/>
    <n v="275.06861999999995"/>
    <n v="0"/>
    <n v="30"/>
    <n v="2.1354689045485316"/>
    <n v="0"/>
    <n v="0"/>
    <n v="0"/>
    <n v="0"/>
    <n v="0"/>
    <n v="0"/>
    <n v="0"/>
    <n v="0.2786769000216367"/>
    <n v="0"/>
    <n v="0"/>
    <n v="3.1046084814079222E-8"/>
    <n v="0"/>
    <n v="0"/>
    <n v="0"/>
    <n v="4.2827998925076827E-9"/>
    <n v="0"/>
    <n v="1.5790915537967294"/>
    <m/>
    <n v="0"/>
    <n v="0"/>
    <n v="0"/>
    <n v="0"/>
    <n v="0.21088968758962601"/>
    <n v="6.6810727811603687E-2"/>
    <n v="0"/>
    <n v="0"/>
    <m/>
    <m/>
    <m/>
    <n v="-445.13526210699848"/>
    <n v="0"/>
    <n v="0"/>
    <n v="275.06862000000001"/>
    <n v="0"/>
    <n v="0"/>
    <n v="0"/>
    <n v="272.93251450866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8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96.396000000000001"/>
    <n v="96.396000000000001"/>
    <n v="96.396000000000001"/>
    <n v="96.396000000000001"/>
    <m/>
    <n v="739.04"/>
    <n v="252.22"/>
    <m/>
    <n v="95553.498959999997"/>
    <n v="95553.498959999997"/>
    <n v="65353.596120000002"/>
    <n v="0"/>
    <n v="5962.3968858698545"/>
    <n v="0"/>
    <n v="0"/>
    <n v="0"/>
    <n v="11904.672808073468"/>
    <n v="48871.593082079984"/>
    <n v="24313.26589370894"/>
    <n v="0"/>
    <n v="0"/>
    <n v="0"/>
    <n v="0"/>
    <n v="0"/>
    <n v="921.64496922079366"/>
    <m/>
    <n v="225.88460598309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4.0263265033286"/>
    <n v="0"/>
    <n v="0"/>
    <n v="0"/>
    <n v="7867.25"/>
    <n v="816"/>
    <m/>
    <m/>
    <m/>
    <m/>
    <m/>
    <n v="7841.8145999999961"/>
    <m/>
    <m/>
    <m/>
    <n v="27667.292220212268"/>
    <m/>
    <m/>
    <m/>
    <m/>
    <m/>
    <m/>
    <m/>
    <m/>
    <m/>
    <m/>
    <m/>
    <m/>
    <n v="57514.168000000005"/>
    <n v="-26573.056759999992"/>
    <m/>
    <m/>
    <m/>
    <m/>
    <n v="-30199.902839999995"/>
    <n v="0"/>
    <n v="30"/>
    <n v="-234.4540552652179"/>
    <n v="0"/>
    <n v="0"/>
    <n v="0"/>
    <n v="0"/>
    <n v="0"/>
    <n v="0"/>
    <n v="0"/>
    <n v="-30.596057465245394"/>
    <n v="0"/>
    <n v="0"/>
    <n v="-3.4085642255377024E-6"/>
    <n v="0"/>
    <n v="0"/>
    <n v="0"/>
    <n v="-4.7021057980600744E-7"/>
    <n v="0"/>
    <n v="-173.36914512504518"/>
    <m/>
    <n v="0"/>
    <n v="0"/>
    <n v="0"/>
    <n v="0"/>
    <n v="-23.153670073906255"/>
    <n v="-7.3351787222407268"/>
    <n v="0"/>
    <n v="0"/>
    <m/>
    <m/>
    <m/>
    <n v="48871.593082079984"/>
    <n v="0"/>
    <n v="0"/>
    <n v="-30199.902840000002"/>
    <n v="0"/>
    <n v="0"/>
    <n v="0"/>
    <n v="-29965.378893595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29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-0.71099999999999997"/>
    <n v="-0.71099999999999997"/>
    <n v="-0.71099999999999997"/>
    <n v="-0.71099999999999997"/>
    <m/>
    <n v="739.04"/>
    <n v="252.22"/>
    <m/>
    <n v="-704.78585999999996"/>
    <n v="-704.78585999999996"/>
    <n v="-482.03666999999996"/>
    <n v="0"/>
    <n v="-43.977594359241735"/>
    <n v="0"/>
    <n v="0"/>
    <n v="0"/>
    <n v="-87.806780017223076"/>
    <n v="-360.46830450805908"/>
    <n v="-179.33038767611785"/>
    <n v="0"/>
    <n v="0"/>
    <n v="0"/>
    <n v="0"/>
    <n v="0"/>
    <n v="-6.7978917498234805"/>
    <m/>
    <n v="-1.6660852613592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738710300674992"/>
    <n v="0"/>
    <n v="0"/>
    <n v="0"/>
    <n v="-1.78"/>
    <n v="4"/>
    <m/>
    <m/>
    <m/>
    <m/>
    <m/>
    <n v="-57.83984999999997"/>
    <m/>
    <m/>
    <m/>
    <n v="-204.06909797679285"/>
    <m/>
    <m/>
    <m/>
    <m/>
    <m/>
    <m/>
    <m/>
    <m/>
    <m/>
    <m/>
    <m/>
    <m/>
    <n v="-423.60019999999997"/>
    <n v="196.58221000000003"/>
    <m/>
    <m/>
    <m/>
    <m/>
    <n v="222.74918999999997"/>
    <n v="0"/>
    <n v="30"/>
    <n v="1.729292017236844"/>
    <n v="0"/>
    <n v="0"/>
    <n v="0"/>
    <n v="0"/>
    <n v="0"/>
    <n v="0"/>
    <n v="0"/>
    <n v="0.2256711570790344"/>
    <n v="0"/>
    <n v="0"/>
    <n v="2.5140991510852473E-8"/>
    <n v="0"/>
    <n v="0"/>
    <n v="0"/>
    <n v="3.4681910676681582E-9"/>
    <n v="0"/>
    <n v="1.2787404268217273"/>
    <m/>
    <n v="0"/>
    <n v="0"/>
    <n v="0"/>
    <n v="0"/>
    <n v="0.17077741215970921"/>
    <n v="5.410299256725537E-2"/>
    <n v="0"/>
    <n v="0"/>
    <m/>
    <m/>
    <m/>
    <n v="-360.46830450805908"/>
    <n v="0"/>
    <n v="0"/>
    <n v="222.74918999999994"/>
    <n v="0"/>
    <n v="0"/>
    <n v="0"/>
    <n v="221.01938247797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0"/>
    <s v="Regular"/>
    <s v="Verde"/>
    <s v="A4"/>
    <s v="Rural"/>
    <s v="Não se aplica"/>
    <s v="Não se aplica"/>
    <s v="Não se aplica"/>
    <s v="Ponta"/>
    <s v="CATIVO"/>
    <x v="2"/>
    <n v="0"/>
    <n v="0"/>
    <n v="2.831"/>
    <n v="2.7177600000000002"/>
    <n v="2.831"/>
    <n v="2.7177600000000002"/>
    <m/>
    <n v="2641.06"/>
    <n v="252.22"/>
    <m/>
    <n v="8190.8756799999992"/>
    <n v="8190.8756799999992"/>
    <n v="4861.7895399999998"/>
    <n v="0"/>
    <n v="152.34246916875051"/>
    <n v="0"/>
    <n v="0"/>
    <n v="0"/>
    <n v="1833.8283502165798"/>
    <n v="5413.1277545223793"/>
    <n v="714.04265472727093"/>
    <n v="0"/>
    <n v="0"/>
    <n v="0"/>
    <n v="0"/>
    <n v="0"/>
    <n v="27.067273619901936"/>
    <m/>
    <n v="6.8111202756558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662063642269715"/>
    <n v="0"/>
    <n v="0"/>
    <n v="0"/>
    <n v="0"/>
    <n v="0"/>
    <m/>
    <m/>
    <m/>
    <m/>
    <m/>
    <n v="194.47158159999961"/>
    <m/>
    <m/>
    <m/>
    <n v="757.70471836954061"/>
    <m/>
    <m/>
    <m/>
    <m/>
    <m/>
    <m/>
    <m/>
    <m/>
    <m/>
    <m/>
    <m/>
    <m/>
    <n v="4671.1648000000005"/>
    <n v="-3192.1058528000012"/>
    <m/>
    <m/>
    <m/>
    <m/>
    <n v="-3329.0861399999999"/>
    <n v="0"/>
    <n v="30"/>
    <n v="-10.043941483439085"/>
    <n v="0"/>
    <n v="0"/>
    <n v="0"/>
    <n v="0"/>
    <n v="0"/>
    <n v="0"/>
    <n v="0"/>
    <n v="-4.7131003505310218"/>
    <n v="0"/>
    <n v="0"/>
    <n v="-1.0010421647166368E-7"/>
    <n v="0"/>
    <n v="0"/>
    <n v="0"/>
    <n v="-6.1211906654534687E-9"/>
    <n v="0"/>
    <n v="-4.429675540153454"/>
    <m/>
    <n v="0"/>
    <n v="0"/>
    <n v="0"/>
    <n v="0"/>
    <n v="-0.67998713618022322"/>
    <n v="-0.2211783503491862"/>
    <n v="0"/>
    <n v="0"/>
    <m/>
    <m/>
    <m/>
    <n v="5413.1277545223793"/>
    <n v="0"/>
    <n v="0"/>
    <n v="-3329.0861399999994"/>
    <n v="0"/>
    <n v="0"/>
    <n v="0"/>
    <n v="-3319.0328764457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1"/>
    <s v="Regular"/>
    <s v="Verde"/>
    <s v="A4"/>
    <s v="Rural"/>
    <s v="Não se aplica"/>
    <s v="Não se aplica"/>
    <s v="Não se aplica"/>
    <s v="Fora ponta"/>
    <s v="CATIVO"/>
    <x v="2"/>
    <n v="0"/>
    <n v="0"/>
    <n v="25.841999999999999"/>
    <n v="24.808319999999998"/>
    <n v="25.841999999999999"/>
    <n v="24.808319999999998"/>
    <m/>
    <n v="81.2"/>
    <n v="252.22"/>
    <m/>
    <n v="8616.2396399999998"/>
    <n v="8616.2396399999998"/>
    <n v="8567.6566800000001"/>
    <n v="0"/>
    <n v="1390.6160679119923"/>
    <n v="0"/>
    <n v="0"/>
    <n v="0"/>
    <n v="0"/>
    <n v="0"/>
    <n v="6517.9407571395741"/>
    <n v="0"/>
    <n v="0"/>
    <n v="0"/>
    <n v="0"/>
    <n v="0"/>
    <n v="247.07611617290914"/>
    <m/>
    <n v="62.173426408865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55706416232209"/>
    <n v="0"/>
    <n v="0"/>
    <n v="0"/>
    <n v="0"/>
    <n v="0"/>
    <m/>
    <m/>
    <m/>
    <m/>
    <m/>
    <n v="342.70626720000007"/>
    <m/>
    <m/>
    <m/>
    <n v="6916.4978213018958"/>
    <m/>
    <m/>
    <m/>
    <m/>
    <m/>
    <m/>
    <m/>
    <m/>
    <m/>
    <m/>
    <m/>
    <m/>
    <n v="8225.5074000000004"/>
    <n v="-46.112654399999883"/>
    <m/>
    <m/>
    <m/>
    <m/>
    <n v="-48.582960000000249"/>
    <n v="0"/>
    <n v="30"/>
    <n v="-48.661107932397499"/>
    <n v="0"/>
    <n v="0"/>
    <n v="0"/>
    <n v="0"/>
    <n v="0"/>
    <n v="0"/>
    <n v="0"/>
    <n v="0"/>
    <n v="0"/>
    <n v="0"/>
    <n v="-9.1377296485006809E-7"/>
    <n v="0"/>
    <n v="0"/>
    <n v="0"/>
    <n v="-5.5875545967865037E-8"/>
    <n v="0"/>
    <n v="-40.435067223117358"/>
    <m/>
    <n v="0"/>
    <n v="0"/>
    <n v="0"/>
    <n v="0"/>
    <n v="-6.2070743811972022"/>
    <n v="-2.0189653584329506"/>
    <n v="0"/>
    <n v="0"/>
    <m/>
    <m/>
    <m/>
    <n v="0"/>
    <n v="0"/>
    <n v="0"/>
    <n v="-48.582960000000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2"/>
    <s v="Regular"/>
    <s v="Verde"/>
    <s v="A4"/>
    <s v="Rural"/>
    <s v="Não se aplica"/>
    <s v="Não se aplica"/>
    <s v="Não se aplica"/>
    <s v="Não se aplica"/>
    <s v="CATIVO"/>
    <x v="2"/>
    <n v="139"/>
    <n v="133.44"/>
    <n v="0"/>
    <n v="0"/>
    <n v="0"/>
    <n v="0"/>
    <n v="74.44"/>
    <m/>
    <m/>
    <n v="10347.16"/>
    <m/>
    <n v="10347.16"/>
    <n v="6313.38"/>
    <n v="0"/>
    <n v="0"/>
    <n v="0"/>
    <n v="0"/>
    <n v="0"/>
    <n v="3783.1758617328005"/>
    <n v="6563.79377285076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350000000000001"/>
    <n v="2"/>
    <m/>
    <m/>
    <m/>
    <m/>
    <m/>
    <n v="252.53520000000012"/>
    <m/>
    <m/>
    <m/>
    <n v="0"/>
    <m/>
    <m/>
    <m/>
    <m/>
    <m/>
    <m/>
    <m/>
    <m/>
    <m/>
    <m/>
    <m/>
    <m/>
    <n v="6060.8447999999999"/>
    <n v="-3872.4587999999994"/>
    <m/>
    <m/>
    <m/>
    <m/>
    <n v="-4033.7799999999993"/>
    <n v="0"/>
    <n v="30"/>
    <n v="-9.7230951184410515"/>
    <n v="0"/>
    <n v="0"/>
    <n v="0"/>
    <n v="0"/>
    <m/>
    <m/>
    <m/>
    <n v="-9.72309511844105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63.7937728507695"/>
    <m/>
    <n v="0"/>
    <n v="0"/>
    <n v="-4033.7799999999997"/>
    <m/>
    <n v="0"/>
    <m/>
    <n v="-4024.558132421895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33"/>
    <s v="Sistema de Compensação"/>
    <s v="Verde"/>
    <s v="A4"/>
    <s v="Rural"/>
    <s v="Não se aplica"/>
    <s v="Não se aplica"/>
    <s v="Não se aplica"/>
    <s v="Não se aplica"/>
    <s v="CATIVO"/>
    <x v="2"/>
    <n v="415"/>
    <n v="398.4"/>
    <n v="0"/>
    <n v="0"/>
    <n v="0"/>
    <n v="0"/>
    <n v="74.44"/>
    <m/>
    <m/>
    <n v="30892.6"/>
    <m/>
    <n v="30892.6"/>
    <n v="18849.3"/>
    <n v="0"/>
    <n v="0"/>
    <n v="0"/>
    <n v="0"/>
    <n v="0"/>
    <n v="11295.093400137497"/>
    <n v="19596.9382426839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.28"/>
    <n v="4"/>
    <m/>
    <m/>
    <m/>
    <m/>
    <m/>
    <n v="753.97200000000112"/>
    <m/>
    <m/>
    <m/>
    <n v="0"/>
    <m/>
    <m/>
    <m/>
    <m/>
    <m/>
    <m/>
    <m/>
    <m/>
    <m/>
    <m/>
    <m/>
    <m/>
    <n v="18095.328000000001"/>
    <n v="-11561.597999999991"/>
    <m/>
    <m/>
    <m/>
    <m/>
    <n v="-12043.299999999997"/>
    <n v="0"/>
    <n v="30"/>
    <n v="-29.029384706136625"/>
    <n v="0"/>
    <n v="0"/>
    <n v="0"/>
    <n v="0"/>
    <m/>
    <m/>
    <m/>
    <n v="-29.0293847061366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596.938242683955"/>
    <m/>
    <n v="0"/>
    <n v="0"/>
    <n v="-12043.3"/>
    <m/>
    <n v="0"/>
    <m/>
    <n v="-12015.7670860078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3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69.28"/>
    <n v="169.28"/>
    <n v="169.28"/>
    <n v="169.28"/>
    <m/>
    <n v="739.04"/>
    <n v="252.22"/>
    <m/>
    <n v="167800.49280000001"/>
    <n v="167800.49280000001"/>
    <n v="114766.7616"/>
    <n v="0"/>
    <n v="10470.502353210184"/>
    <n v="0"/>
    <n v="0"/>
    <n v="0"/>
    <n v="20905.67049411466"/>
    <n v="85822.889714661389"/>
    <n v="42696.27007849962"/>
    <n v="0"/>
    <n v="0"/>
    <n v="0"/>
    <n v="0"/>
    <n v="0"/>
    <n v="1618.4910202673966"/>
    <m/>
    <n v="396.67357671292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9.9702949342654"/>
    <n v="0"/>
    <n v="0"/>
    <n v="0"/>
    <n v="52855.12"/>
    <n v="366"/>
    <m/>
    <m/>
    <m/>
    <m/>
    <m/>
    <m/>
    <m/>
    <m/>
    <m/>
    <n v="48586.240373433888"/>
    <m/>
    <m/>
    <m/>
    <m/>
    <m/>
    <m/>
    <m/>
    <m/>
    <m/>
    <m/>
    <m/>
    <m/>
    <n v="114766.7616"/>
    <n v="-53033.761200000008"/>
    <m/>
    <m/>
    <m/>
    <m/>
    <n v="-53033.731199999995"/>
    <n v="0"/>
    <n v="30"/>
    <n v="-411.72229631204391"/>
    <n v="0"/>
    <n v="0"/>
    <n v="0"/>
    <n v="0"/>
    <n v="0"/>
    <n v="0"/>
    <n v="0"/>
    <n v="-53.729414163626643"/>
    <n v="0"/>
    <n v="0"/>
    <n v="-5.9857411542907357E-6"/>
    <n v="0"/>
    <n v="0"/>
    <n v="0"/>
    <n v="-8.2573114923434332E-7"/>
    <n v="0"/>
    <n v="-304.45172918759636"/>
    <m/>
    <n v="0"/>
    <n v="0"/>
    <n v="0"/>
    <n v="0"/>
    <n v="-40.659916076505851"/>
    <n v="-12.881230072834001"/>
    <n v="0"/>
    <n v="0"/>
    <m/>
    <m/>
    <m/>
    <n v="85822.889714661389"/>
    <n v="0"/>
    <n v="0"/>
    <n v="-53033.731199999995"/>
    <n v="0"/>
    <n v="0"/>
    <n v="0"/>
    <n v="-52621.886168595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5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0.41899999999999998"/>
    <n v="0.41899999999999998"/>
    <n v="0.41899999999999998"/>
    <n v="0.41899999999999998"/>
    <m/>
    <n v="739.04"/>
    <n v="252.22"/>
    <m/>
    <n v="415.33794"/>
    <n v="415.33794"/>
    <n v="284.06943000000001"/>
    <n v="0"/>
    <n v="25.916472625207156"/>
    <n v="0"/>
    <n v="0"/>
    <n v="0"/>
    <n v="51.745486395522462"/>
    <n v="212.42787565242864"/>
    <n v="105.68133957284581"/>
    <n v="0"/>
    <n v="0"/>
    <n v="0"/>
    <n v="0"/>
    <n v="0"/>
    <n v="4.0060712280956938"/>
    <m/>
    <n v="0.98184208791773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78789895897076"/>
    <n v="0"/>
    <n v="0"/>
    <n v="0"/>
    <n v="221.93"/>
    <n v="2"/>
    <m/>
    <m/>
    <m/>
    <m/>
    <m/>
    <m/>
    <m/>
    <m/>
    <m/>
    <n v="120.26012946874289"/>
    <m/>
    <m/>
    <m/>
    <m/>
    <m/>
    <m/>
    <m/>
    <m/>
    <m/>
    <m/>
    <m/>
    <m/>
    <n v="284.74739999999997"/>
    <n v="-130.62054000000001"/>
    <m/>
    <m/>
    <m/>
    <m/>
    <n v="-131.26850999999999"/>
    <n v="0"/>
    <n v="30"/>
    <n v="-1.0190905136740298"/>
    <n v="0"/>
    <n v="0"/>
    <n v="0"/>
    <n v="0"/>
    <n v="0"/>
    <n v="0"/>
    <n v="0"/>
    <n v="-0.1329904568440412"/>
    <n v="0"/>
    <n v="0"/>
    <n v="-1.4815839222137583E-8"/>
    <n v="0"/>
    <n v="0"/>
    <n v="0"/>
    <n v="-2.0438406522771402E-9"/>
    <n v="0"/>
    <n v="-0.75357558205105946"/>
    <m/>
    <n v="0"/>
    <n v="0"/>
    <n v="0"/>
    <n v="0"/>
    <n v="-0.10064097847386488"/>
    <n v="-3.1883479445400931E-2"/>
    <n v="0"/>
    <n v="0"/>
    <m/>
    <m/>
    <m/>
    <n v="212.42787565242864"/>
    <n v="0"/>
    <n v="0"/>
    <n v="-131.26850999999999"/>
    <n v="0"/>
    <n v="0"/>
    <n v="0"/>
    <n v="-130.2491156937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6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380.05599999999998"/>
    <n v="380.05599999999998"/>
    <n v="380.05599999999998"/>
    <n v="380.05599999999998"/>
    <m/>
    <n v="406.47"/>
    <n v="138.72"/>
    <m/>
    <n v="207202.73064000002"/>
    <n v="207202.73064000002"/>
    <n v="141715.28128"/>
    <n v="0"/>
    <n v="12929.214811515852"/>
    <n v="0"/>
    <n v="0"/>
    <n v="0"/>
    <n v="25814.798132804815"/>
    <n v="105976.05916450522"/>
    <n v="52722.32686392255"/>
    <n v="0"/>
    <n v="0"/>
    <n v="0"/>
    <n v="0"/>
    <n v="0"/>
    <n v="1998.549579154715"/>
    <m/>
    <n v="489.82156828428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73.0694868049668"/>
    <n v="0"/>
    <n v="0"/>
    <n v="0"/>
    <n v="48293.19"/>
    <n v="66"/>
    <m/>
    <m/>
    <m/>
    <m/>
    <m/>
    <m/>
    <m/>
    <m/>
    <m/>
    <n v="59995.396350727518"/>
    <m/>
    <m/>
    <m/>
    <m/>
    <m/>
    <m/>
    <m/>
    <m/>
    <m/>
    <m/>
    <m/>
    <m/>
    <n v="141716.77280000001"/>
    <n v="-65485.987840000045"/>
    <m/>
    <m/>
    <m/>
    <m/>
    <n v="-65487.449360000006"/>
    <n v="0"/>
    <n v="30"/>
    <n v="-508.40407003711152"/>
    <n v="0"/>
    <n v="0"/>
    <n v="0"/>
    <n v="0"/>
    <n v="0"/>
    <n v="0"/>
    <n v="0"/>
    <n v="-66.346304502385465"/>
    <n v="0"/>
    <n v="0"/>
    <n v="-7.3909468483179808E-6"/>
    <n v="0"/>
    <n v="0"/>
    <n v="0"/>
    <n v="-1.0196145012741908E-6"/>
    <n v="0"/>
    <n v="-375.94393025440695"/>
    <m/>
    <n v="0"/>
    <n v="0"/>
    <n v="0"/>
    <n v="0"/>
    <n v="-50.207790556504733"/>
    <n v="-15.906036313260415"/>
    <n v="0"/>
    <n v="0"/>
    <m/>
    <m/>
    <m/>
    <n v="105976.05916450522"/>
    <n v="0"/>
    <n v="0"/>
    <n v="-65487.449360000013"/>
    <n v="0"/>
    <n v="0"/>
    <n v="0"/>
    <n v="-64978.70370587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7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79.253"/>
    <n v="74.497820000000004"/>
    <n v="79.253"/>
    <n v="74.497820000000004"/>
    <m/>
    <n v="739.04"/>
    <n v="252.22"/>
    <m/>
    <n v="78560.328779999996"/>
    <n v="78560.328779999996"/>
    <n v="53731.156409999996"/>
    <n v="0"/>
    <n v="4902.0482218748039"/>
    <n v="0"/>
    <n v="0"/>
    <n v="0"/>
    <n v="9787.553778769312"/>
    <n v="40180.301740052331"/>
    <n v="19989.410990851433"/>
    <n v="0"/>
    <n v="0"/>
    <n v="0"/>
    <n v="0"/>
    <n v="0"/>
    <n v="757.74024591949421"/>
    <m/>
    <n v="185.71343912588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57.5485336981646"/>
    <n v="0"/>
    <n v="0"/>
    <n v="0"/>
    <n v="26998.080000000002"/>
    <n v="28"/>
    <m/>
    <m/>
    <m/>
    <m/>
    <n v="3223.8693845999969"/>
    <m/>
    <m/>
    <m/>
    <m/>
    <n v="22746.959524549598"/>
    <m/>
    <m/>
    <m/>
    <m/>
    <m/>
    <m/>
    <m/>
    <m/>
    <m/>
    <m/>
    <m/>
    <m/>
    <n v="50508.764999999999"/>
    <n v="-23337.9740532"/>
    <m/>
    <m/>
    <m/>
    <m/>
    <n v="-24829.172369999997"/>
    <n v="0"/>
    <n v="30"/>
    <n v="-192.75890329405229"/>
    <n v="0"/>
    <n v="0"/>
    <n v="0"/>
    <n v="0"/>
    <n v="0"/>
    <n v="0"/>
    <n v="0"/>
    <n v="-25.154875122339945"/>
    <n v="0"/>
    <n v="0"/>
    <n v="-2.8023896447848529E-6"/>
    <n v="0"/>
    <n v="0"/>
    <n v="0"/>
    <n v="-3.8658845369354822E-7"/>
    <n v="0"/>
    <n v="-142.537292611677"/>
    <m/>
    <n v="0"/>
    <n v="0"/>
    <n v="0"/>
    <n v="0"/>
    <n v="-19.036036914055558"/>
    <n v="-6.0306954570079938"/>
    <n v="0"/>
    <n v="0"/>
    <m/>
    <m/>
    <m/>
    <n v="40180.301740052331"/>
    <n v="0"/>
    <n v="0"/>
    <n v="-24829.17237"/>
    <n v="0"/>
    <n v="0"/>
    <n v="0"/>
    <n v="-24636.356004960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8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6.0609999999999999"/>
    <n v="6.0609999999999999"/>
    <n v="6.0609999999999999"/>
    <n v="6.0609999999999999"/>
    <m/>
    <n v="739.04"/>
    <n v="252.22"/>
    <m/>
    <n v="6008.0268599999999"/>
    <n v="6008.0268599999999"/>
    <n v="4109.1761699999997"/>
    <n v="0"/>
    <n v="374.89198229446436"/>
    <n v="0"/>
    <n v="0"/>
    <n v="0"/>
    <n v="748.51883781208028"/>
    <n v="3072.8528742944391"/>
    <n v="1528.7221936778485"/>
    <n v="0"/>
    <n v="0"/>
    <n v="0"/>
    <n v="0"/>
    <n v="0"/>
    <n v="57.949397884219579"/>
    <m/>
    <n v="14.20273244598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.88793689506488"/>
    <n v="0"/>
    <n v="0"/>
    <n v="0"/>
    <n v="2062.67"/>
    <n v="11"/>
    <m/>
    <m/>
    <m/>
    <m/>
    <m/>
    <m/>
    <m/>
    <m/>
    <m/>
    <n v="1739.6101305729135"/>
    <m/>
    <m/>
    <m/>
    <m/>
    <m/>
    <m/>
    <m/>
    <m/>
    <m/>
    <m/>
    <m/>
    <m/>
    <n v="4108.4982"/>
    <n v="-1899.5586600000006"/>
    <m/>
    <m/>
    <m/>
    <m/>
    <n v="-1898.8506899999998"/>
    <n v="0"/>
    <n v="30"/>
    <n v="-14.741545592788952"/>
    <n v="0"/>
    <n v="0"/>
    <n v="0"/>
    <n v="0"/>
    <n v="0"/>
    <n v="0"/>
    <n v="0"/>
    <n v="-1.9237593291926487"/>
    <n v="0"/>
    <n v="0"/>
    <n v="-2.143169695045799E-7"/>
    <n v="0"/>
    <n v="0"/>
    <n v="0"/>
    <n v="-2.9564972692242009E-8"/>
    <n v="0"/>
    <n v="-10.90076754847604"/>
    <m/>
    <n v="0"/>
    <n v="0"/>
    <n v="0"/>
    <n v="0"/>
    <n v="-1.4558113855133641"/>
    <n v="-0.46120708572452251"/>
    <n v="0"/>
    <n v="0"/>
    <m/>
    <m/>
    <m/>
    <n v="3072.8528742944391"/>
    <n v="0"/>
    <n v="0"/>
    <n v="-1898.8506899999998"/>
    <n v="0"/>
    <n v="0"/>
    <n v="0"/>
    <n v="-1884.104749928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39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6.8"/>
    <n v="1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40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.3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41"/>
    <s v="Regular"/>
    <s v="Convencional"/>
    <s v="B2"/>
    <s v="Rural"/>
    <s v="Agropecuária rural"/>
    <s v="IRRIG./AQUIC."/>
    <s v="Não se aplica"/>
    <s v="Não se aplica"/>
    <s v="CATIVO"/>
    <x v="2"/>
    <n v="0"/>
    <n v="0"/>
    <n v="6.0069999999999997"/>
    <n v="6.0069999999999997"/>
    <n v="6.0069999999999997"/>
    <n v="6.0069999999999997"/>
    <m/>
    <n v="739.04"/>
    <n v="252.22"/>
    <m/>
    <n v="5954.4988199999998"/>
    <n v="5954.4988199999998"/>
    <n v="4072.5657899999997"/>
    <n v="0"/>
    <n v="371.5519118368004"/>
    <n v="0"/>
    <n v="0"/>
    <n v="0"/>
    <n v="741.84996844368357"/>
    <n v="3045.4755347115488"/>
    <n v="1515.1021642340927"/>
    <n v="0"/>
    <n v="0"/>
    <n v="0"/>
    <n v="0"/>
    <n v="0"/>
    <n v="57.433102308283615"/>
    <m/>
    <n v="14.07619432487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.00904750514019"/>
    <n v="0"/>
    <n v="0"/>
    <n v="0"/>
    <n v="0"/>
    <n v="0"/>
    <m/>
    <m/>
    <m/>
    <m/>
    <m/>
    <n v="590.96866"/>
    <m/>
    <m/>
    <m/>
    <n v="1724.1112117392329"/>
    <m/>
    <m/>
    <m/>
    <m/>
    <m/>
    <m/>
    <m/>
    <m/>
    <m/>
    <m/>
    <m/>
    <m/>
    <n v="3483.3359"/>
    <n v="-1579.0933500000001"/>
    <m/>
    <m/>
    <m/>
    <m/>
    <n v="-1881.9330299999997"/>
    <n v="0"/>
    <n v="30"/>
    <n v="-14.610206958569051"/>
    <n v="0"/>
    <n v="0"/>
    <n v="0"/>
    <n v="0"/>
    <n v="0"/>
    <n v="0"/>
    <n v="0"/>
    <n v="-1.9066197476423667"/>
    <n v="0"/>
    <n v="0"/>
    <n v="-2.1240771275188308E-7"/>
    <n v="0"/>
    <n v="0"/>
    <n v="0"/>
    <n v="-2.9301560289241024E-8"/>
    <n v="0"/>
    <n v="-10.803648022388302"/>
    <m/>
    <n v="0"/>
    <n v="0"/>
    <n v="0"/>
    <n v="0"/>
    <n v="-1.4428409491467988"/>
    <n v="-0.45709799768143888"/>
    <n v="0"/>
    <n v="0"/>
    <m/>
    <m/>
    <m/>
    <n v="3045.4755347115488"/>
    <n v="0"/>
    <n v="0"/>
    <n v="-1881.9330299999997"/>
    <n v="0"/>
    <n v="0"/>
    <n v="0"/>
    <n v="-1867.3184677147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2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1.2909999999999999"/>
    <n v="1.2909999999999999"/>
    <n v="1.2909999999999999"/>
    <n v="1.2909999999999999"/>
    <m/>
    <n v="739.04"/>
    <n v="252.22"/>
    <m/>
    <n v="1279.7166599999998"/>
    <n v="1279.7166599999998"/>
    <n v="875.25927000000001"/>
    <n v="0"/>
    <n v="79.852425200817265"/>
    <n v="0"/>
    <n v="0"/>
    <n v="0"/>
    <n v="159.43537693703936"/>
    <n v="654.52121113910596"/>
    <n v="325.61959281275404"/>
    <n v="0"/>
    <n v="0"/>
    <n v="0"/>
    <n v="0"/>
    <n v="0"/>
    <n v="12.343288676543057"/>
    <m/>
    <n v="3.0251984140854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919374118384546"/>
    <n v="0"/>
    <n v="0"/>
    <n v="0"/>
    <n v="0"/>
    <n v="0"/>
    <m/>
    <m/>
    <m/>
    <m/>
    <m/>
    <n v="127.00857999999999"/>
    <m/>
    <m/>
    <m/>
    <n v="370.53896693113859"/>
    <m/>
    <m/>
    <m/>
    <m/>
    <m/>
    <m/>
    <m/>
    <m/>
    <m/>
    <m/>
    <m/>
    <m/>
    <n v="747.67110000000002"/>
    <n v="-340.34914999999978"/>
    <m/>
    <m/>
    <m/>
    <m/>
    <n v="-404.45738999999992"/>
    <n v="0"/>
    <n v="30"/>
    <n v="-3.1399662366424081"/>
    <n v="0"/>
    <n v="0"/>
    <n v="0"/>
    <n v="0"/>
    <n v="0"/>
    <n v="0"/>
    <n v="0"/>
    <n v="-0.40976295891564973"/>
    <n v="0"/>
    <n v="0"/>
    <n v="-4.564975597531884E-8"/>
    <n v="0"/>
    <n v="0"/>
    <n v="0"/>
    <n v="-6.2973697367851855E-9"/>
    <n v="0"/>
    <n v="-2.3218760773935969"/>
    <m/>
    <n v="0"/>
    <n v="0"/>
    <n v="0"/>
    <n v="0"/>
    <n v="-0.31008950646720734"/>
    <n v="-9.82376419188844E-2"/>
    <n v="0"/>
    <n v="0"/>
    <m/>
    <m/>
    <m/>
    <n v="654.52121113910596"/>
    <n v="0"/>
    <n v="0"/>
    <n v="-404.45738999999992"/>
    <n v="0"/>
    <n v="0"/>
    <n v="0"/>
    <n v="-401.31648773426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5.7380000000000004"/>
    <n v="2.2951999999999999"/>
    <n v="5.7380000000000004"/>
    <n v="2.2951999999999999"/>
    <m/>
    <n v="739.04"/>
    <n v="252.22"/>
    <m/>
    <n v="5687.8498800000007"/>
    <n v="5687.8498800000007"/>
    <n v="3890.1918599999999"/>
    <n v="0"/>
    <n v="354.91341270510424"/>
    <n v="0"/>
    <n v="0"/>
    <n v="0"/>
    <n v="708.62911918259647"/>
    <n v="2909.0958245671495"/>
    <n v="1447.2542397827908"/>
    <n v="0"/>
    <n v="0"/>
    <n v="0"/>
    <n v="0"/>
    <n v="0"/>
    <n v="54.861185457787819"/>
    <m/>
    <n v="13.445847017832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64939480347837"/>
    <n v="0"/>
    <n v="0"/>
    <n v="0"/>
    <n v="0"/>
    <n v="0"/>
    <m/>
    <m/>
    <m/>
    <m/>
    <m/>
    <m/>
    <n v="2559.9168920000006"/>
    <m/>
    <m/>
    <n v="1646.9036345862692"/>
    <m/>
    <m/>
    <m/>
    <m/>
    <m/>
    <m/>
    <m/>
    <m/>
    <m/>
    <m/>
    <m/>
    <m/>
    <n v="1333.057"/>
    <n v="-601.25279999999975"/>
    <m/>
    <m/>
    <m/>
    <m/>
    <n v="-1797.6580199999999"/>
    <n v="0"/>
    <n v="30"/>
    <n v="-13.955945984396294"/>
    <n v="0"/>
    <n v="0"/>
    <n v="0"/>
    <n v="0"/>
    <n v="0"/>
    <n v="0"/>
    <n v="0"/>
    <n v="-1.8212392395491861"/>
    <n v="0"/>
    <n v="0"/>
    <n v="-2.0289576241339091E-7"/>
    <n v="0"/>
    <n v="0"/>
    <n v="0"/>
    <n v="-2.7989415229967562E-8"/>
    <n v="0"/>
    <n v="-10.319848901692069"/>
    <m/>
    <n v="0"/>
    <n v="0"/>
    <n v="0"/>
    <n v="0"/>
    <n v="-1.3782289605800457"/>
    <n v="-0.43662865168904652"/>
    <n v="0"/>
    <n v="0"/>
    <m/>
    <m/>
    <m/>
    <n v="2909.0958245671495"/>
    <n v="0"/>
    <n v="0"/>
    <n v="-1797.6580200000003"/>
    <n v="0"/>
    <n v="0"/>
    <n v="0"/>
    <n v="-1783.6979137251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4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1.1499999999999999"/>
    <n v="1.1499999999999999"/>
    <n v="1.1499999999999999"/>
    <n v="1.1499999999999999"/>
    <m/>
    <n v="739.04"/>
    <n v="252.22"/>
    <m/>
    <n v="1139.9489999999998"/>
    <n v="1139.9489999999998"/>
    <n v="779.66549999999995"/>
    <n v="0"/>
    <n v="71.131130116917006"/>
    <n v="0"/>
    <n v="0"/>
    <n v="0"/>
    <n v="142.02221803067022"/>
    <n v="583.03593556155829"/>
    <n v="290.05618259850286"/>
    <n v="0"/>
    <n v="0"/>
    <n v="0"/>
    <n v="0"/>
    <n v="0"/>
    <n v="10.995183561599161"/>
    <m/>
    <n v="2.6947933200606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013385155803434"/>
    <n v="0"/>
    <n v="0"/>
    <n v="0"/>
    <n v="0"/>
    <n v="0"/>
    <m/>
    <m/>
    <m/>
    <m/>
    <m/>
    <n v="113.13699999999997"/>
    <m/>
    <m/>
    <m/>
    <n v="330.06956775430626"/>
    <m/>
    <m/>
    <m/>
    <m/>
    <m/>
    <m/>
    <m/>
    <m/>
    <m/>
    <m/>
    <m/>
    <m/>
    <n v="666.52850000000001"/>
    <n v="-302.66399999999987"/>
    <m/>
    <m/>
    <m/>
    <m/>
    <n v="-360.28349999999995"/>
    <n v="0"/>
    <n v="30"/>
    <n v="-2.7970264695110245"/>
    <n v="0"/>
    <n v="0"/>
    <n v="0"/>
    <n v="0"/>
    <n v="0"/>
    <n v="0"/>
    <n v="0"/>
    <n v="-0.36500960708983143"/>
    <n v="0"/>
    <n v="0"/>
    <n v="-4.0664019707037369E-8"/>
    <n v="0"/>
    <n v="0"/>
    <n v="0"/>
    <n v="-5.6095927902788389E-9"/>
    <n v="0"/>
    <n v="-2.068286203720092"/>
    <m/>
    <n v="0"/>
    <n v="0"/>
    <n v="0"/>
    <n v="0"/>
    <n v="-0.27622225595452399"/>
    <n v="-8.7508356473057436E-2"/>
    <n v="0"/>
    <n v="0"/>
    <m/>
    <m/>
    <m/>
    <n v="583.03593556155829"/>
    <n v="0"/>
    <n v="0"/>
    <n v="-360.28349999999989"/>
    <n v="0"/>
    <n v="0"/>
    <n v="0"/>
    <n v="-357.48563973230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5"/>
    <s v="Regular"/>
    <s v="Verde"/>
    <s v="A4"/>
    <s v="Rural"/>
    <s v="Agropecuária rural"/>
    <s v="Não se aplica"/>
    <s v="Não se aplica"/>
    <s v="Ponta"/>
    <s v="CATIVO"/>
    <x v="2"/>
    <n v="0"/>
    <n v="0"/>
    <n v="5.2210000000000001"/>
    <n v="5.0121599999999997"/>
    <n v="5.2210000000000001"/>
    <n v="5.0121599999999997"/>
    <m/>
    <n v="2641.06"/>
    <n v="252.22"/>
    <m/>
    <n v="15105.814879999998"/>
    <n v="15105.814879999998"/>
    <n v="8966.2321400000001"/>
    <n v="0"/>
    <n v="280.95373773579882"/>
    <n v="0"/>
    <n v="0"/>
    <n v="0"/>
    <n v="3381.9914576053566"/>
    <n v="9983.0236687959532"/>
    <n v="1316.855068997203"/>
    <n v="0"/>
    <n v="0"/>
    <n v="0"/>
    <n v="0"/>
    <n v="0"/>
    <n v="49.91813336966019"/>
    <m/>
    <n v="12.561235944612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522654283394616"/>
    <n v="0"/>
    <n v="0"/>
    <n v="0"/>
    <n v="0"/>
    <n v="0"/>
    <m/>
    <m/>
    <m/>
    <m/>
    <m/>
    <n v="358.64928560000061"/>
    <m/>
    <m/>
    <m/>
    <n v="1397.3777232805976"/>
    <m/>
    <m/>
    <m/>
    <m/>
    <m/>
    <m/>
    <m/>
    <m/>
    <m/>
    <m/>
    <m/>
    <m/>
    <n v="8603.8733999999986"/>
    <n v="-5897.738884800001"/>
    <m/>
    <m/>
    <m/>
    <m/>
    <n v="-6139.5827400000007"/>
    <n v="0"/>
    <n v="30"/>
    <n v="-18.523284523151233"/>
    <n v="0"/>
    <n v="0"/>
    <n v="0"/>
    <n v="0"/>
    <n v="0"/>
    <n v="0"/>
    <n v="0"/>
    <n v="-8.692015870760315"/>
    <n v="0"/>
    <n v="0"/>
    <n v="-1.8461469153407961E-7"/>
    <n v="0"/>
    <n v="0"/>
    <n v="0"/>
    <n v="-1.1288832979516883E-8"/>
    <n v="0"/>
    <n v="-8.1693168474536151"/>
    <m/>
    <n v="0"/>
    <n v="0"/>
    <n v="0"/>
    <n v="0"/>
    <n v="-1.2540490420335288"/>
    <n v="-0.40790256699862404"/>
    <n v="0"/>
    <n v="0"/>
    <m/>
    <m/>
    <m/>
    <n v="9983.0236687959532"/>
    <n v="0"/>
    <n v="0"/>
    <n v="-6139.5827399999998"/>
    <n v="0"/>
    <n v="0"/>
    <n v="0"/>
    <n v="-6121.0422634840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6"/>
    <s v="Regular"/>
    <s v="Verde"/>
    <s v="A4"/>
    <s v="Rural"/>
    <s v="Agropecuária rural"/>
    <s v="Não se aplica"/>
    <s v="Não se aplica"/>
    <s v="Fora ponta"/>
    <s v="CATIVO"/>
    <x v="2"/>
    <n v="0"/>
    <n v="0"/>
    <n v="38.441000000000003"/>
    <n v="36.903359999999999"/>
    <n v="38.441000000000003"/>
    <n v="36.903359999999999"/>
    <m/>
    <n v="81.2"/>
    <n v="252.22"/>
    <m/>
    <n v="12816.998220000001"/>
    <n v="12816.998220000001"/>
    <n v="12744.729140000001"/>
    <n v="0"/>
    <n v="2068.596558571508"/>
    <n v="0"/>
    <n v="0"/>
    <n v="0"/>
    <n v="0"/>
    <n v="0"/>
    <n v="9695.695404581782"/>
    <n v="0"/>
    <n v="0"/>
    <n v="0"/>
    <n v="0"/>
    <n v="0"/>
    <n v="367.53552286211595"/>
    <m/>
    <n v="92.485437836978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2.86944135375848"/>
    <n v="0"/>
    <n v="0"/>
    <n v="0"/>
    <n v="0"/>
    <n v="0"/>
    <m/>
    <m/>
    <m/>
    <m/>
    <m/>
    <n v="509.78916560000107"/>
    <m/>
    <m/>
    <m/>
    <n v="10288.56484593554"/>
    <m/>
    <m/>
    <m/>
    <m/>
    <m/>
    <m/>
    <m/>
    <m/>
    <m/>
    <m/>
    <m/>
    <m/>
    <n v="12233.825999999999"/>
    <n v="-70.522291200000836"/>
    <m/>
    <m/>
    <m/>
    <m/>
    <n v="-72.269080000000372"/>
    <n v="0"/>
    <n v="30"/>
    <n v="-72.385328149106499"/>
    <n v="0"/>
    <n v="0"/>
    <n v="0"/>
    <n v="0"/>
    <n v="0"/>
    <n v="0"/>
    <n v="0"/>
    <n v="0"/>
    <n v="0"/>
    <n v="0"/>
    <n v="-1.3592743925983086E-6"/>
    <n v="0"/>
    <n v="0"/>
    <n v="0"/>
    <n v="-8.3117129179299809E-8"/>
    <n v="0"/>
    <n v="-60.148766315450075"/>
    <m/>
    <n v="0"/>
    <n v="0"/>
    <n v="0"/>
    <n v="0"/>
    <n v="-9.2332693401285155"/>
    <n v="-3.0032910511384898"/>
    <n v="0"/>
    <n v="0"/>
    <m/>
    <m/>
    <m/>
    <n v="0"/>
    <n v="0"/>
    <n v="0"/>
    <n v="-72.269080000000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7"/>
    <s v="Regular"/>
    <s v="Verde"/>
    <s v="A4"/>
    <s v="Rural"/>
    <s v="Agropecuária rural"/>
    <s v="Não se aplica"/>
    <s v="Não se aplica"/>
    <s v="Não se aplica"/>
    <s v="CATIVO"/>
    <x v="2"/>
    <n v="1999"/>
    <n v="1919.04"/>
    <n v="0"/>
    <n v="0"/>
    <n v="0"/>
    <n v="0"/>
    <n v="74.44"/>
    <m/>
    <m/>
    <n v="148805.56"/>
    <m/>
    <n v="148805.56"/>
    <n v="90794.58"/>
    <n v="0"/>
    <n v="0"/>
    <n v="0"/>
    <n v="0"/>
    <n v="0"/>
    <n v="54406.967968373152"/>
    <n v="94395.8543304222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9.29"/>
    <n v="24"/>
    <m/>
    <m/>
    <m/>
    <m/>
    <m/>
    <n v="3631.7832000000017"/>
    <m/>
    <m/>
    <m/>
    <n v="0"/>
    <m/>
    <m/>
    <m/>
    <m/>
    <m/>
    <m/>
    <m/>
    <m/>
    <m/>
    <m/>
    <m/>
    <m/>
    <n v="87162.796799999996"/>
    <n v="-55690.57080000003"/>
    <m/>
    <m/>
    <m/>
    <m/>
    <n v="-58010.979999999989"/>
    <n v="0"/>
    <n v="30"/>
    <n v="-139.83069886160956"/>
    <n v="0"/>
    <n v="0"/>
    <n v="0"/>
    <n v="0"/>
    <m/>
    <m/>
    <m/>
    <n v="-139.830698861609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395.854330422226"/>
    <m/>
    <n v="0"/>
    <n v="0"/>
    <n v="-58010.979999999996"/>
    <m/>
    <n v="0"/>
    <m/>
    <n v="-57878.35760224007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48"/>
    <s v="Regular"/>
    <s v="Verde"/>
    <s v="A4"/>
    <s v="Rural"/>
    <s v="Agropecuária rural"/>
    <s v="IRRIG./AQUIC. PR"/>
    <s v="Não se aplica"/>
    <s v="Fora ponta"/>
    <s v="CATIVO"/>
    <x v="2"/>
    <n v="0"/>
    <n v="0"/>
    <n v="19.091000000000001"/>
    <n v="5.7272999999999996"/>
    <n v="19.091000000000001"/>
    <n v="5.7272999999999996"/>
    <m/>
    <n v="81.2"/>
    <n v="252.22"/>
    <m/>
    <n v="6365.3212199999998"/>
    <n v="6365.3212199999998"/>
    <n v="6329.4301400000004"/>
    <n v="0"/>
    <n v="1027.3295933947779"/>
    <n v="0"/>
    <n v="0"/>
    <n v="0"/>
    <n v="0"/>
    <n v="0"/>
    <n v="4815.184853902625"/>
    <n v="0"/>
    <n v="0"/>
    <n v="0"/>
    <n v="0"/>
    <n v="0"/>
    <n v="182.52960815173009"/>
    <m/>
    <n v="45.931154073665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.4374627320986"/>
    <n v="0"/>
    <n v="0"/>
    <n v="0"/>
    <n v="0"/>
    <n v="0"/>
    <m/>
    <m/>
    <m/>
    <m/>
    <m/>
    <m/>
    <n v="4430.6010980000001"/>
    <m/>
    <m/>
    <n v="5109.6223166347236"/>
    <m/>
    <m/>
    <m/>
    <m/>
    <m/>
    <m/>
    <m/>
    <m/>
    <m/>
    <m/>
    <m/>
    <m/>
    <n v="1899.7242000000001"/>
    <n v="-9.9021659999996245"/>
    <m/>
    <m/>
    <m/>
    <m/>
    <n v="-35.891080000000187"/>
    <n v="0"/>
    <n v="30"/>
    <n v="-35.948812457912936"/>
    <n v="0"/>
    <n v="0"/>
    <n v="0"/>
    <n v="0"/>
    <n v="0"/>
    <n v="0"/>
    <n v="0"/>
    <n v="0"/>
    <n v="0"/>
    <n v="0"/>
    <n v="-6.7505879997042939E-7"/>
    <n v="0"/>
    <n v="0"/>
    <n v="0"/>
    <n v="-4.1278553908341564E-8"/>
    <n v="0"/>
    <n v="-29.871754057601379"/>
    <m/>
    <n v="0"/>
    <n v="0"/>
    <n v="0"/>
    <n v="0"/>
    <n v="-4.5855296421111404"/>
    <n v="-1.4915280418637664"/>
    <n v="0"/>
    <n v="0"/>
    <m/>
    <m/>
    <m/>
    <n v="0"/>
    <n v="0"/>
    <n v="0"/>
    <n v="-35.891080000000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49"/>
    <s v="Regular"/>
    <s v="Convencional"/>
    <s v="B1"/>
    <s v="Residencial"/>
    <s v="Residencial"/>
    <s v="Não se aplica"/>
    <s v="Não se aplica"/>
    <s v="Não se aplica"/>
    <s v="CATIVO"/>
    <x v="3"/>
    <n v="0"/>
    <n v="0"/>
    <n v="1002.316"/>
    <n v="1002.316"/>
    <n v="1002.316"/>
    <n v="1002.316"/>
    <m/>
    <n v="739.04"/>
    <n v="252.22"/>
    <m/>
    <n v="993555.75815999997"/>
    <n v="993555.75815999997"/>
    <n v="679540.17852000007"/>
    <n v="0"/>
    <n v="61996.408534145914"/>
    <n v="0"/>
    <n v="0"/>
    <n v="0"/>
    <n v="123783.60129359068"/>
    <n v="508161.95372897299"/>
    <n v="252806.91540643564"/>
    <n v="0"/>
    <n v="0"/>
    <n v="0"/>
    <n v="0"/>
    <n v="0"/>
    <n v="9583.1725275894132"/>
    <m/>
    <n v="2348.7256185998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74.831439847199"/>
    <n v="0"/>
    <n v="0"/>
    <n v="0"/>
    <n v="334928.53000000003"/>
    <n v="8247"/>
    <m/>
    <m/>
    <m/>
    <m/>
    <m/>
    <m/>
    <m/>
    <m/>
    <m/>
    <n v="287681.74684628285"/>
    <m/>
    <m/>
    <m/>
    <m/>
    <m/>
    <m/>
    <m/>
    <m/>
    <m/>
    <m/>
    <m/>
    <m/>
    <n v="679542.89040000003"/>
    <n v="-314012.89775999996"/>
    <m/>
    <m/>
    <m/>
    <m/>
    <n v="-314015.57963999995"/>
    <n v="0"/>
    <n v="31"/>
    <n v="-2437.8298980996478"/>
    <n v="0"/>
    <n v="0"/>
    <n v="0"/>
    <n v="0"/>
    <n v="0"/>
    <n v="0"/>
    <n v="0"/>
    <n v="-318.13475594771444"/>
    <n v="0"/>
    <n v="0"/>
    <n v="-3.5441888030618429E-5"/>
    <n v="0"/>
    <n v="0"/>
    <n v="0"/>
    <n v="-4.8892034101299942E-6"/>
    <n v="0"/>
    <n v="-1802.6750909286202"/>
    <m/>
    <n v="0"/>
    <n v="0"/>
    <n v="0"/>
    <n v="0"/>
    <n v="-240.74955365157803"/>
    <n v="-76.270457240564156"/>
    <n v="0"/>
    <n v="0"/>
    <m/>
    <m/>
    <m/>
    <n v="508161.95372897299"/>
    <n v="0"/>
    <n v="0"/>
    <n v="-314015.57964000001"/>
    <n v="0"/>
    <n v="0"/>
    <n v="0"/>
    <n v="-311577.02302080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0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1.4450000000000001"/>
    <n v="-1.4450000000000001"/>
    <n v="-1.4450000000000001"/>
    <n v="-1.4450000000000001"/>
    <m/>
    <n v="739.04"/>
    <n v="252.22"/>
    <m/>
    <n v="-1432.3706999999999"/>
    <n v="-1432.3706999999999"/>
    <n v="-979.66665"/>
    <n v="0"/>
    <n v="-89.37781132082182"/>
    <n v="0"/>
    <n v="0"/>
    <n v="0"/>
    <n v="-178.45400439505957"/>
    <n v="-732.59732772734947"/>
    <n v="-364.4618990042058"/>
    <n v="0"/>
    <n v="0"/>
    <n v="0"/>
    <n v="0"/>
    <n v="0"/>
    <n v="-13.815687170878947"/>
    <m/>
    <n v="-3.386066389119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0.277688304466054"/>
    <n v="0"/>
    <n v="0"/>
    <n v="0"/>
    <n v="-459.34"/>
    <n v="0"/>
    <m/>
    <m/>
    <m/>
    <m/>
    <m/>
    <m/>
    <m/>
    <m/>
    <m/>
    <n v="-414.73958730867184"/>
    <m/>
    <m/>
    <m/>
    <m/>
    <m/>
    <m/>
    <m/>
    <m/>
    <m/>
    <m/>
    <m/>
    <m/>
    <n v="-983.05649999999991"/>
    <n v="449.28420000000006"/>
    <m/>
    <m/>
    <m/>
    <m/>
    <n v="452.70405"/>
    <n v="0"/>
    <n v="31"/>
    <n v="3.5145245638639153"/>
    <n v="0"/>
    <n v="0"/>
    <n v="0"/>
    <n v="0"/>
    <n v="0"/>
    <n v="0"/>
    <n v="0"/>
    <n v="0.45864250629983871"/>
    <n v="0"/>
    <n v="0"/>
    <n v="5.1095241815346526E-8"/>
    <n v="0"/>
    <n v="0"/>
    <n v="0"/>
    <n v="7.0485697278854786E-9"/>
    <n v="0"/>
    <n v="2.5988465777178504"/>
    <m/>
    <n v="0"/>
    <n v="0"/>
    <n v="0"/>
    <n v="0"/>
    <n v="0.34707926943850964"/>
    <n v="0.10995615226397204"/>
    <n v="0"/>
    <n v="0"/>
    <m/>
    <m/>
    <m/>
    <n v="-732.59732772734947"/>
    <n v="0"/>
    <n v="0"/>
    <n v="452.70405000000005"/>
    <n v="0"/>
    <n v="0"/>
    <n v="0"/>
    <n v="449.1884777505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1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6.238"/>
    <n v="26.238"/>
    <n v="26.238"/>
    <n v="26.238"/>
    <m/>
    <n v="739.04"/>
    <n v="252.22"/>
    <m/>
    <n v="26008.679879999996"/>
    <n v="26008.679879999996"/>
    <n v="17788.576860000001"/>
    <n v="0"/>
    <n v="1622.9031234849292"/>
    <n v="0"/>
    <n v="0"/>
    <n v="0"/>
    <n v="3240.3295275554137"/>
    <n v="13302.345110664493"/>
    <n v="6617.8209730604503"/>
    <n v="0"/>
    <n v="0"/>
    <n v="0"/>
    <n v="0"/>
    <n v="0"/>
    <n v="250.86228372977286"/>
    <m/>
    <n v="61.483467071087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2.93147801562645"/>
    <n v="0"/>
    <n v="0"/>
    <n v="0"/>
    <n v="27441.68"/>
    <n v="480"/>
    <m/>
    <m/>
    <m/>
    <m/>
    <m/>
    <m/>
    <m/>
    <m/>
    <m/>
    <n v="7530.7524510760768"/>
    <m/>
    <m/>
    <m/>
    <m/>
    <m/>
    <m/>
    <m/>
    <m/>
    <m/>
    <m/>
    <m/>
    <m/>
    <n v="17789.932799999999"/>
    <n v="-8218.7770799999926"/>
    <m/>
    <m/>
    <m/>
    <m/>
    <n v="-8220.1030199999987"/>
    <n v="0"/>
    <n v="31"/>
    <n v="-63.815983049595161"/>
    <n v="0"/>
    <n v="0"/>
    <n v="0"/>
    <n v="0"/>
    <n v="0"/>
    <n v="0"/>
    <n v="0"/>
    <n v="-8.3279322354987926"/>
    <n v="0"/>
    <n v="0"/>
    <n v="-9.2777645477326587E-7"/>
    <n v="0"/>
    <n v="0"/>
    <n v="0"/>
    <n v="-1.2798636817024089E-7"/>
    <n v="0"/>
    <n v="-47.18929862018058"/>
    <m/>
    <n v="0"/>
    <n v="0"/>
    <n v="0"/>
    <n v="0"/>
    <n v="-6.3021909145519714"/>
    <n v="-1.9965602236000635"/>
    <n v="0"/>
    <n v="0"/>
    <m/>
    <m/>
    <m/>
    <n v="13302.345110664493"/>
    <n v="0"/>
    <n v="0"/>
    <n v="-8220.1030199999987"/>
    <n v="0"/>
    <n v="0"/>
    <n v="0"/>
    <n v="-8156.2680133010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8.67"/>
    <n v="8.67"/>
    <n v="8.67"/>
    <n v="8.67"/>
    <m/>
    <n v="667.62"/>
    <n v="252.22"/>
    <m/>
    <n v="7975.0128000000004"/>
    <n v="7975.0128000000004"/>
    <n v="5276.4753000000001"/>
    <n v="0"/>
    <n v="0"/>
    <n v="0"/>
    <n v="0"/>
    <n v="0"/>
    <n v="1070.7240263703575"/>
    <n v="4395.5839663640963"/>
    <n v="2186.7713940252347"/>
    <n v="0"/>
    <n v="0"/>
    <n v="0"/>
    <n v="0"/>
    <n v="0"/>
    <n v="0"/>
    <m/>
    <n v="20.316398334717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.66612982679629"/>
    <n v="0"/>
    <n v="0"/>
    <n v="0"/>
    <n v="707.13"/>
    <n v="21"/>
    <m/>
    <m/>
    <m/>
    <m/>
    <m/>
    <m/>
    <m/>
    <n v="3429.6785999999997"/>
    <m/>
    <n v="2488.4375238520311"/>
    <m/>
    <m/>
    <m/>
    <m/>
    <m/>
    <m/>
    <m/>
    <m/>
    <m/>
    <m/>
    <m/>
    <m/>
    <n v="1846.7967000000001"/>
    <n v="-944.53980000000024"/>
    <m/>
    <m/>
    <m/>
    <m/>
    <n v="-2698.5374999999999"/>
    <n v="0"/>
    <n v="31"/>
    <n v="-3.4115923002459567"/>
    <n v="0"/>
    <n v="0"/>
    <n v="0"/>
    <n v="0"/>
    <n v="0"/>
    <n v="0"/>
    <n v="0"/>
    <n v="-2.7518550377992597"/>
    <n v="0"/>
    <n v="0"/>
    <n v="-3.0657156457891688E-7"/>
    <n v="0"/>
    <n v="0"/>
    <n v="0"/>
    <n v="-4.2291389945603441E-8"/>
    <n v="0"/>
    <n v="0"/>
    <m/>
    <n v="0"/>
    <n v="0"/>
    <n v="0"/>
    <n v="0"/>
    <n v="0"/>
    <n v="-0.65973691358383135"/>
    <n v="0"/>
    <n v="0"/>
    <m/>
    <m/>
    <m/>
    <n v="4395.5839663640963"/>
    <n v="0"/>
    <n v="0"/>
    <n v="-2698.5375000000004"/>
    <n v="0"/>
    <n v="0"/>
    <n v="0"/>
    <n v="-2695.1308665035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3"/>
    <s v="Sistema de Compensação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5.3999999999999999E-2"/>
    <n v="-8.6400000000000005E-2"/>
    <n v="5.3999999999999999E-2"/>
    <n v="-8.6400000000000005E-2"/>
    <m/>
    <n v="667.62"/>
    <n v="252.22"/>
    <m/>
    <n v="49.67136"/>
    <n v="49.67136"/>
    <n v="32.863860000000003"/>
    <n v="0"/>
    <n v="0"/>
    <n v="0"/>
    <n v="0"/>
    <n v="0"/>
    <n v="6.66886936839669"/>
    <n v="27.377339582890567"/>
    <n v="13.620029443755787"/>
    <n v="0"/>
    <n v="0"/>
    <n v="0"/>
    <n v="0"/>
    <n v="0"/>
    <n v="0"/>
    <m/>
    <n v="0.12653812111588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78889389924683"/>
    <n v="0"/>
    <n v="0"/>
    <n v="0"/>
    <n v="8.43"/>
    <n v="0"/>
    <m/>
    <m/>
    <m/>
    <m/>
    <m/>
    <m/>
    <m/>
    <n v="51.267924000000008"/>
    <m/>
    <n v="15.49891883368047"/>
    <m/>
    <m/>
    <m/>
    <m/>
    <m/>
    <m/>
    <m/>
    <m/>
    <m/>
    <m/>
    <m/>
    <m/>
    <n v="-19.1709"/>
    <n v="8.6155799999999978"/>
    <m/>
    <m/>
    <m/>
    <m/>
    <n v="-16.807500000000001"/>
    <n v="0"/>
    <n v="31"/>
    <n v="-2.124867176624079E-2"/>
    <n v="0"/>
    <n v="0"/>
    <n v="0"/>
    <n v="0"/>
    <n v="0"/>
    <n v="0"/>
    <n v="0"/>
    <n v="-1.7139581550306815E-2"/>
    <n v="0"/>
    <n v="0"/>
    <n v="-1.9094414938081172E-9"/>
    <n v="0"/>
    <n v="0"/>
    <n v="0"/>
    <n v="-2.6340685188586122E-10"/>
    <n v="0"/>
    <n v="0"/>
    <m/>
    <n v="0"/>
    <n v="0"/>
    <n v="0"/>
    <n v="0"/>
    <n v="0"/>
    <n v="-4.1090880430827009E-3"/>
    <n v="0"/>
    <n v="0"/>
    <m/>
    <m/>
    <m/>
    <n v="27.377339582890567"/>
    <n v="0"/>
    <n v="0"/>
    <n v="-16.807499999999997"/>
    <n v="0"/>
    <n v="0"/>
    <n v="0"/>
    <n v="-16.786282213516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5.439"/>
    <n v="15.439"/>
    <n v="15.439"/>
    <n v="15.439"/>
    <m/>
    <n v="667.62"/>
    <n v="252.22"/>
    <m/>
    <n v="14201.409759999999"/>
    <n v="14201.409759999999"/>
    <n v="9396.0210100000004"/>
    <n v="0"/>
    <n v="0"/>
    <n v="0"/>
    <n v="0"/>
    <n v="0"/>
    <n v="1906.679151456972"/>
    <n v="7827.3841818564342"/>
    <n v="3894.0673070767702"/>
    <n v="0"/>
    <n v="0"/>
    <n v="0"/>
    <n v="0"/>
    <n v="0"/>
    <n v="0"/>
    <m/>
    <n v="36.178186146448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7.18839427865146"/>
    <n v="0"/>
    <n v="0"/>
    <n v="0"/>
    <n v="2519.4499999999998"/>
    <n v="108"/>
    <m/>
    <m/>
    <m/>
    <m/>
    <m/>
    <m/>
    <m/>
    <n v="3758.4701599999999"/>
    <m/>
    <n v="4431.2557013554215"/>
    <m/>
    <m/>
    <m/>
    <m/>
    <m/>
    <m/>
    <m/>
    <m/>
    <m/>
    <m/>
    <m/>
    <m/>
    <n v="5637.9160000000002"/>
    <n v="-2882.8981000000013"/>
    <m/>
    <m/>
    <m/>
    <m/>
    <n v="-4805.3887500000001"/>
    <n v="0"/>
    <n v="31"/>
    <n v="-6.0751526555359305"/>
    <n v="0"/>
    <n v="0"/>
    <n v="0"/>
    <n v="0"/>
    <n v="0"/>
    <n v="0"/>
    <n v="0"/>
    <n v="-4.9003333250957439"/>
    <n v="0"/>
    <n v="0"/>
    <n v="-5.459232852444984E-7"/>
    <n v="0"/>
    <n v="0"/>
    <n v="0"/>
    <n v="-7.5309912972443271E-8"/>
    <n v="0"/>
    <n v="0"/>
    <m/>
    <n v="0"/>
    <n v="0"/>
    <n v="0"/>
    <n v="0"/>
    <n v="0"/>
    <n v="-1.1748187092065479"/>
    <n v="0"/>
    <n v="0"/>
    <m/>
    <m/>
    <m/>
    <n v="7827.3841818564342"/>
    <n v="0"/>
    <n v="0"/>
    <n v="-4805.3887499999992"/>
    <n v="0"/>
    <n v="0"/>
    <n v="0"/>
    <n v="-4799.3224276756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5"/>
    <s v="Sistema de Compensação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.4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56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0.374000000000001"/>
    <n v="10.374000000000001"/>
    <n v="10.374000000000001"/>
    <n v="10.374000000000001"/>
    <m/>
    <n v="667.62"/>
    <n v="252.22"/>
    <m/>
    <n v="9542.4201600000015"/>
    <n v="9542.4201600000015"/>
    <n v="6313.5126600000003"/>
    <n v="0"/>
    <n v="0"/>
    <n v="0"/>
    <n v="0"/>
    <n v="0"/>
    <n v="1281.1639042175418"/>
    <n v="5259.4911265353103"/>
    <n v="2616.5589898059729"/>
    <n v="0"/>
    <n v="0"/>
    <n v="0"/>
    <n v="0"/>
    <n v="0"/>
    <n v="0"/>
    <m/>
    <n v="24.3093790454858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.95552835330858"/>
    <n v="0"/>
    <n v="0"/>
    <n v="0"/>
    <n v="2958.61"/>
    <n v="130"/>
    <m/>
    <m/>
    <m/>
    <m/>
    <m/>
    <m/>
    <m/>
    <n v="631.25789999999995"/>
    <m/>
    <n v="2977.5145181592816"/>
    <m/>
    <m/>
    <m/>
    <m/>
    <m/>
    <m/>
    <m/>
    <m/>
    <m/>
    <m/>
    <m/>
    <m/>
    <n v="5680.0637999999999"/>
    <n v="-2908.1858400000001"/>
    <m/>
    <m/>
    <m/>
    <m/>
    <n v="-3228.9075000000003"/>
    <n v="0"/>
    <n v="31"/>
    <n v="-4.0821059426471038"/>
    <n v="0"/>
    <n v="0"/>
    <n v="0"/>
    <n v="0"/>
    <n v="0"/>
    <n v="0"/>
    <n v="0"/>
    <n v="-3.2927040556087377"/>
    <n v="0"/>
    <n v="0"/>
    <n v="-3.668246790766716E-7"/>
    <n v="0"/>
    <n v="0"/>
    <n v="0"/>
    <n v="-5.0603375711943954E-8"/>
    <n v="0"/>
    <n v="0"/>
    <m/>
    <n v="0"/>
    <n v="0"/>
    <n v="0"/>
    <n v="0"/>
    <n v="0"/>
    <n v="-0.78940146960999868"/>
    <n v="0"/>
    <n v="0"/>
    <m/>
    <m/>
    <m/>
    <n v="5259.4911265353103"/>
    <n v="0"/>
    <n v="0"/>
    <n v="-3228.9075000000003"/>
    <n v="0"/>
    <n v="0"/>
    <n v="0"/>
    <n v="-3224.831327463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7"/>
    <s v="Sistema de Compensação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5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58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8440000000000001"/>
    <n v="1.8440000000000001"/>
    <n v="1.8440000000000001"/>
    <n v="1.8440000000000001"/>
    <m/>
    <n v="667.62"/>
    <n v="252.22"/>
    <m/>
    <n v="1696.18496"/>
    <n v="1696.18496"/>
    <n v="1122.2399600000001"/>
    <n v="0"/>
    <n v="0"/>
    <n v="0"/>
    <n v="0"/>
    <n v="0"/>
    <n v="227.72953917265733"/>
    <n v="934.88544797870748"/>
    <n v="465.09878322751246"/>
    <n v="0"/>
    <n v="0"/>
    <n v="0"/>
    <n v="0"/>
    <n v="0"/>
    <n v="0"/>
    <m/>
    <n v="4.32104250625371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160593241131764"/>
    <n v="0"/>
    <n v="0"/>
    <n v="0"/>
    <n v="751.3"/>
    <n v="30"/>
    <m/>
    <m/>
    <m/>
    <m/>
    <m/>
    <m/>
    <m/>
    <m/>
    <m/>
    <n v="529.25937646864418"/>
    <m/>
    <m/>
    <m/>
    <m/>
    <m/>
    <m/>
    <m/>
    <m/>
    <m/>
    <m/>
    <m/>
    <m/>
    <n v="1119.8056000000001"/>
    <n v="-576.40935999999988"/>
    <m/>
    <m/>
    <m/>
    <m/>
    <n v="-573.94500000000005"/>
    <n v="0"/>
    <n v="31"/>
    <n v="-0.72560279142464879"/>
    <n v="0"/>
    <n v="0"/>
    <n v="0"/>
    <n v="0"/>
    <n v="0"/>
    <n v="0"/>
    <n v="0"/>
    <n v="-0.58528496997709567"/>
    <n v="0"/>
    <n v="0"/>
    <n v="-6.5203892063436797E-8"/>
    <n v="0"/>
    <n v="0"/>
    <n v="0"/>
    <n v="-8.9948457571153995E-9"/>
    <n v="0"/>
    <n v="0"/>
    <m/>
    <n v="0"/>
    <n v="0"/>
    <n v="0"/>
    <n v="0"/>
    <n v="0"/>
    <n v="-0.1403177472489725"/>
    <n v="0"/>
    <n v="0"/>
    <m/>
    <m/>
    <m/>
    <n v="934.88544797870748"/>
    <n v="0"/>
    <n v="0"/>
    <n v="-573.94500000000005"/>
    <n v="0"/>
    <n v="0"/>
    <n v="0"/>
    <n v="-573.220451883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59"/>
    <s v="Sistema de Compensação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.659999999999997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60"/>
    <s v="Regular"/>
    <s v="Convencional"/>
    <s v="B3"/>
    <s v="Industrial"/>
    <s v="Não se aplica"/>
    <s v="Não se aplica"/>
    <s v="Não se aplica"/>
    <s v="Não se aplica"/>
    <s v="CATIVO"/>
    <x v="3"/>
    <n v="0"/>
    <n v="0"/>
    <n v="56.197000000000003"/>
    <n v="56.197000000000003"/>
    <n v="56.197000000000003"/>
    <n v="56.197000000000003"/>
    <m/>
    <n v="739.04"/>
    <n v="252.22"/>
    <m/>
    <n v="55705.838220000005"/>
    <n v="55705.838220000005"/>
    <n v="38099.880090000006"/>
    <n v="0"/>
    <n v="3475.9618427655528"/>
    <n v="0"/>
    <n v="0"/>
    <n v="0"/>
    <n v="6940.1935536257179"/>
    <n v="28491.191713698172"/>
    <n v="14174.162863902666"/>
    <n v="0"/>
    <n v="0"/>
    <n v="0"/>
    <n v="0"/>
    <n v="0"/>
    <n v="537.30115705320702"/>
    <m/>
    <n v="131.6863480064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5.3323526962483"/>
    <n v="0"/>
    <n v="0"/>
    <n v="0"/>
    <n v="9774.36"/>
    <n v="17"/>
    <m/>
    <m/>
    <m/>
    <m/>
    <m/>
    <m/>
    <m/>
    <m/>
    <m/>
    <n v="16129.495216598914"/>
    <m/>
    <m/>
    <m/>
    <m/>
    <m/>
    <m/>
    <m/>
    <m/>
    <m/>
    <m/>
    <m/>
    <m/>
    <n v="38101.914000000004"/>
    <n v="-17603.954220000007"/>
    <m/>
    <m/>
    <m/>
    <m/>
    <n v="-17605.958129999999"/>
    <n v="0"/>
    <n v="31"/>
    <n v="-136.68217087575613"/>
    <n v="0"/>
    <n v="0"/>
    <n v="0"/>
    <n v="0"/>
    <n v="0"/>
    <n v="0"/>
    <n v="0"/>
    <n v="-17.836908599676462"/>
    <n v="0"/>
    <n v="0"/>
    <n v="-1.9871258700732142E-6"/>
    <n v="0"/>
    <n v="0"/>
    <n v="0"/>
    <n v="-2.7412352210376412E-7"/>
    <n v="0"/>
    <n v="-101.07085199170251"/>
    <m/>
    <n v="0"/>
    <n v="0"/>
    <n v="0"/>
    <n v="0"/>
    <n v="-13.498140972066381"/>
    <n v="-4.2762670510577294"/>
    <n v="0"/>
    <n v="0"/>
    <m/>
    <m/>
    <m/>
    <n v="28491.191713698172"/>
    <n v="0"/>
    <n v="0"/>
    <n v="-17605.958129999999"/>
    <n v="0"/>
    <n v="0"/>
    <n v="0"/>
    <n v="-17469.23521394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10.62"/>
    <n v="10.62"/>
    <n v="10.62"/>
    <n v="10.62"/>
    <m/>
    <n v="739.04"/>
    <n v="252.22"/>
    <m/>
    <n v="10527.181199999999"/>
    <n v="10527.181199999999"/>
    <n v="7200.0413999999992"/>
    <n v="0"/>
    <n v="656.88052334057272"/>
    <n v="0"/>
    <n v="0"/>
    <n v="0"/>
    <n v="1311.5443091180155"/>
    <n v="5384.2101179684778"/>
    <n v="2678.6057906053043"/>
    <n v="0"/>
    <n v="0"/>
    <n v="0"/>
    <n v="0"/>
    <n v="0"/>
    <n v="101.53812993407224"/>
    <m/>
    <n v="24.88583048612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9.51491335185432"/>
    <n v="0"/>
    <n v="0"/>
    <n v="0"/>
    <n v="3045.84"/>
    <n v="11"/>
    <m/>
    <m/>
    <m/>
    <m/>
    <m/>
    <m/>
    <m/>
    <m/>
    <m/>
    <n v="3048.1207039571586"/>
    <m/>
    <m/>
    <m/>
    <m/>
    <m/>
    <m/>
    <m/>
    <m/>
    <m/>
    <m/>
    <m/>
    <m/>
    <n v="7200.0413999999992"/>
    <n v="-3327.1698000000006"/>
    <m/>
    <m/>
    <m/>
    <m/>
    <n v="-3327.1397999999995"/>
    <n v="0"/>
    <n v="31"/>
    <n v="-25.829931396703614"/>
    <n v="0"/>
    <n v="0"/>
    <n v="0"/>
    <n v="0"/>
    <n v="0"/>
    <n v="0"/>
    <n v="0"/>
    <n v="-3.3707843715601484"/>
    <n v="0"/>
    <n v="0"/>
    <n v="-3.7552308640442789E-7"/>
    <n v="0"/>
    <n v="0"/>
    <n v="0"/>
    <n v="-5.1803397127514472E-8"/>
    <n v="0"/>
    <n v="-19.100173463919418"/>
    <m/>
    <n v="0"/>
    <n v="0"/>
    <n v="0"/>
    <n v="0"/>
    <n v="-2.5508524854235048"/>
    <n v="-0.8081206484729293"/>
    <n v="0"/>
    <n v="0"/>
    <m/>
    <m/>
    <m/>
    <n v="5384.2101179684778"/>
    <n v="0"/>
    <n v="0"/>
    <n v="-3327.1397999999999"/>
    <n v="0"/>
    <n v="0"/>
    <n v="0"/>
    <n v="-3301.302168658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2"/>
    <s v="Regular"/>
    <s v="Verde"/>
    <s v="A4"/>
    <s v="Industrial"/>
    <s v="Não se aplica"/>
    <s v="Não se aplica"/>
    <s v="Não se aplica"/>
    <s v="Ponta"/>
    <s v="CATIVO"/>
    <x v="3"/>
    <n v="0"/>
    <n v="0"/>
    <n v="20.082999999999998"/>
    <n v="20.082999999999998"/>
    <n v="20.082999999999998"/>
    <n v="20.082999999999998"/>
    <m/>
    <n v="2641.06"/>
    <n v="252.22"/>
    <m/>
    <n v="58105.742239999992"/>
    <n v="58105.742239999992"/>
    <n v="34489.339219999994"/>
    <n v="0"/>
    <n v="1080.711341687042"/>
    <n v="0"/>
    <n v="0"/>
    <n v="0"/>
    <n v="13009.104470999495"/>
    <n v="38400.510312282917"/>
    <n v="5065.3898392397678"/>
    <n v="0"/>
    <n v="0"/>
    <n v="0"/>
    <n v="0"/>
    <n v="0"/>
    <n v="192.01414910225733"/>
    <m/>
    <n v="48.31781296220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.73692127435623"/>
    <n v="0"/>
    <n v="0"/>
    <n v="0"/>
    <n v="0"/>
    <n v="0"/>
    <m/>
    <m/>
    <m/>
    <m/>
    <m/>
    <m/>
    <m/>
    <m/>
    <m/>
    <n v="5375.1267605141238"/>
    <m/>
    <m/>
    <m/>
    <m/>
    <m/>
    <m/>
    <m/>
    <m/>
    <m/>
    <m/>
    <m/>
    <m/>
    <n v="34484.187199999993"/>
    <n v="-23621.585040000005"/>
    <m/>
    <m/>
    <m/>
    <m/>
    <n v="-23616.403019999998"/>
    <n v="0"/>
    <n v="31"/>
    <n v="-71.25131642949782"/>
    <n v="0"/>
    <n v="0"/>
    <n v="0"/>
    <n v="0"/>
    <n v="0"/>
    <n v="0"/>
    <n v="0"/>
    <n v="-33.434544097390244"/>
    <n v="0"/>
    <n v="0"/>
    <n v="-7.1013528213370591E-7"/>
    <n v="0"/>
    <n v="0"/>
    <n v="0"/>
    <n v="-4.3423426632216433E-8"/>
    <n v="0"/>
    <n v="-31.423939905652105"/>
    <m/>
    <n v="0"/>
    <n v="0"/>
    <n v="0"/>
    <n v="0"/>
    <n v="-4.8238013620301672"/>
    <n v="-1.5690303108663812"/>
    <n v="0"/>
    <n v="0"/>
    <m/>
    <m/>
    <m/>
    <n v="38400.510312282917"/>
    <n v="0"/>
    <n v="0"/>
    <n v="-23616.403020000002"/>
    <n v="0"/>
    <n v="0"/>
    <n v="0"/>
    <n v="-23545.08557317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3"/>
    <s v="Regular"/>
    <s v="Verde"/>
    <s v="A4"/>
    <s v="Industrial"/>
    <s v="Não se aplica"/>
    <s v="Não se aplica"/>
    <s v="Não se aplica"/>
    <s v="Fora ponta"/>
    <s v="CATIVO"/>
    <x v="3"/>
    <n v="0"/>
    <n v="0"/>
    <n v="412.01"/>
    <n v="412.01"/>
    <n v="412.01"/>
    <n v="412.01"/>
    <m/>
    <n v="81.2"/>
    <n v="252.22"/>
    <m/>
    <n v="137372.37419999999"/>
    <n v="137372.37419999999"/>
    <n v="136597.7954"/>
    <n v="0"/>
    <n v="22171.183582556303"/>
    <n v="0"/>
    <n v="0"/>
    <n v="0"/>
    <n v="0"/>
    <n v="0"/>
    <n v="103918.30242818188"/>
    <n v="0"/>
    <n v="0"/>
    <n v="0"/>
    <n v="0"/>
    <n v="0"/>
    <n v="3939.2396340995392"/>
    <m/>
    <n v="991.25738776862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4.3648326568509"/>
    <n v="0"/>
    <n v="0"/>
    <n v="0"/>
    <n v="0"/>
    <n v="0"/>
    <m/>
    <m/>
    <m/>
    <m/>
    <m/>
    <m/>
    <m/>
    <m/>
    <m/>
    <n v="110272.66726083873"/>
    <m/>
    <m/>
    <m/>
    <m/>
    <m/>
    <m/>
    <m/>
    <m/>
    <m/>
    <m/>
    <m/>
    <m/>
    <n v="136597.7954"/>
    <n v="-774.60879999998724"/>
    <m/>
    <m/>
    <m/>
    <m/>
    <n v="-774.57880000000398"/>
    <n v="0"/>
    <n v="31"/>
    <n v="-775.82474573279615"/>
    <n v="0"/>
    <n v="0"/>
    <n v="0"/>
    <n v="0"/>
    <n v="0"/>
    <n v="0"/>
    <n v="0"/>
    <n v="0"/>
    <n v="0"/>
    <n v="0"/>
    <n v="-1.456867903470993E-5"/>
    <n v="0"/>
    <n v="0"/>
    <n v="0"/>
    <n v="-8.9084824139717966E-7"/>
    <n v="0"/>
    <n v="-644.67347908817464"/>
    <m/>
    <n v="0"/>
    <n v="0"/>
    <n v="0"/>
    <n v="0"/>
    <n v="-98.962027544193916"/>
    <n v="-32.189223640893147"/>
    <n v="0"/>
    <n v="0"/>
    <m/>
    <m/>
    <m/>
    <n v="0"/>
    <n v="0"/>
    <n v="0"/>
    <n v="-774.57880000000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4"/>
    <s v="Regular"/>
    <s v="Verde"/>
    <s v="A4"/>
    <s v="Industrial"/>
    <s v="Não se aplica"/>
    <s v="Não se aplica"/>
    <s v="Não se aplica"/>
    <s v="Não se aplica"/>
    <s v="CATIVO"/>
    <x v="3"/>
    <n v="1914"/>
    <n v="1914"/>
    <n v="0"/>
    <n v="0"/>
    <n v="0"/>
    <n v="0"/>
    <n v="74.44"/>
    <m/>
    <m/>
    <n v="142478.16"/>
    <m/>
    <n v="142478.16"/>
    <n v="86933.88"/>
    <n v="0"/>
    <n v="0"/>
    <n v="0"/>
    <n v="0"/>
    <n v="0"/>
    <n v="52093.51510328475"/>
    <n v="90382.0236060170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746.8"/>
    <n v="9"/>
    <m/>
    <m/>
    <m/>
    <m/>
    <m/>
    <m/>
    <m/>
    <m/>
    <m/>
    <n v="0"/>
    <m/>
    <m/>
    <m/>
    <m/>
    <m/>
    <m/>
    <m/>
    <m/>
    <m/>
    <m/>
    <m/>
    <m/>
    <n v="86933.88"/>
    <n v="-55544.310000000027"/>
    <m/>
    <m/>
    <m/>
    <m/>
    <n v="-55544.279999999992"/>
    <n v="0"/>
    <n v="31"/>
    <n v="-133.88492127120116"/>
    <n v="0"/>
    <n v="0"/>
    <n v="0"/>
    <n v="0"/>
    <m/>
    <m/>
    <m/>
    <n v="-133.884921271201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382.023606017072"/>
    <m/>
    <n v="0"/>
    <n v="0"/>
    <n v="-55544.28"/>
    <m/>
    <n v="0"/>
    <m/>
    <n v="-55417.2968737806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65"/>
    <s v="Regular"/>
    <s v="Convencional"/>
    <s v="B3"/>
    <s v="Comercial"/>
    <s v="Não se aplica"/>
    <s v="Não se aplica"/>
    <s v="Não se aplica"/>
    <s v="Não se aplica"/>
    <s v="CATIVO"/>
    <x v="3"/>
    <n v="0"/>
    <n v="0"/>
    <n v="355.59399999999999"/>
    <n v="355.59399999999999"/>
    <n v="355.59399999999999"/>
    <n v="355.59399999999999"/>
    <m/>
    <n v="739.04"/>
    <n v="252.22"/>
    <m/>
    <n v="352486.10843999998"/>
    <n v="352486.10843999998"/>
    <n v="241082.06417999999"/>
    <n v="0"/>
    <n v="21994.61137634347"/>
    <n v="0"/>
    <n v="0"/>
    <n v="0"/>
    <n v="43914.998781215785"/>
    <n v="180281.8091044146"/>
    <n v="89688.902778201766"/>
    <n v="0"/>
    <n v="0"/>
    <n v="0"/>
    <n v="0"/>
    <n v="0"/>
    <n v="3399.8446116550367"/>
    <m/>
    <n v="833.26290074228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2.625809645884"/>
    <n v="0"/>
    <n v="0"/>
    <n v="0"/>
    <n v="124951.74"/>
    <n v="835"/>
    <m/>
    <m/>
    <m/>
    <m/>
    <m/>
    <m/>
    <m/>
    <m/>
    <m/>
    <n v="102061.52858784766"/>
    <m/>
    <m/>
    <m/>
    <m/>
    <m/>
    <m/>
    <m/>
    <m/>
    <m/>
    <m/>
    <m/>
    <m/>
    <n v="241079.35229999997"/>
    <n v="-111406.78614000004"/>
    <m/>
    <m/>
    <m/>
    <m/>
    <n v="-111404.04425999998"/>
    <n v="0"/>
    <n v="31"/>
    <n v="-864.87463512987597"/>
    <n v="0"/>
    <n v="0"/>
    <n v="0"/>
    <n v="0"/>
    <n v="0"/>
    <n v="0"/>
    <n v="0"/>
    <n v="-112.86541410740028"/>
    <n v="0"/>
    <n v="0"/>
    <n v="-1.2573815183714032E-5"/>
    <n v="0"/>
    <n v="0"/>
    <n v="0"/>
    <n v="-1.7345537344226614E-6"/>
    <n v="0"/>
    <n v="-639.53927332664534"/>
    <m/>
    <n v="0"/>
    <n v="0"/>
    <n v="0"/>
    <n v="0"/>
    <n v="-85.411284246863488"/>
    <n v="-27.058649140591569"/>
    <n v="0"/>
    <n v="0"/>
    <m/>
    <m/>
    <m/>
    <n v="180281.8091044146"/>
    <n v="0"/>
    <n v="0"/>
    <n v="-111404.04426"/>
    <n v="0"/>
    <n v="0"/>
    <n v="0"/>
    <n v="-110538.91180432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6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46.7"/>
    <n v="46.7"/>
    <n v="46.7"/>
    <n v="46.7"/>
    <m/>
    <n v="739.04"/>
    <n v="252.22"/>
    <m/>
    <n v="46291.841999999997"/>
    <n v="46291.841999999997"/>
    <n v="31661.199000000001"/>
    <n v="0"/>
    <n v="2888.5424143130649"/>
    <n v="0"/>
    <n v="0"/>
    <n v="0"/>
    <n v="5767.3370278541743"/>
    <n v="23676.328861499805"/>
    <n v="11778.803241173986"/>
    <n v="0"/>
    <n v="0"/>
    <n v="0"/>
    <n v="0"/>
    <n v="0"/>
    <n v="446.50006289276598"/>
    <m/>
    <n v="109.43204177985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4.8913798052351"/>
    <n v="0"/>
    <n v="0"/>
    <n v="0"/>
    <n v="29338.09"/>
    <n v="117"/>
    <m/>
    <m/>
    <m/>
    <m/>
    <m/>
    <m/>
    <m/>
    <m/>
    <m/>
    <n v="13403.69462097922"/>
    <m/>
    <m/>
    <m/>
    <m/>
    <m/>
    <m/>
    <m/>
    <m/>
    <m/>
    <m/>
    <m/>
    <m/>
    <n v="31661.199000000001"/>
    <n v="-14630.673000000003"/>
    <m/>
    <m/>
    <m/>
    <m/>
    <n v="-14630.643"/>
    <n v="0"/>
    <n v="31"/>
    <n v="-113.58359663145166"/>
    <n v="0"/>
    <n v="0"/>
    <n v="0"/>
    <n v="0"/>
    <n v="0"/>
    <n v="0"/>
    <n v="0"/>
    <n v="-14.822564044430692"/>
    <n v="0"/>
    <n v="0"/>
    <n v="-1.6513131413375959E-6"/>
    <n v="0"/>
    <n v="0"/>
    <n v="0"/>
    <n v="-2.2779818209528457E-7"/>
    <n v="0"/>
    <n v="-83.990404968459188"/>
    <m/>
    <n v="0"/>
    <n v="0"/>
    <n v="0"/>
    <n v="0"/>
    <n v="-11.217025524414112"/>
    <n v="-3.5536002150363402"/>
    <n v="0"/>
    <n v="0"/>
    <m/>
    <m/>
    <m/>
    <n v="23676.328861499805"/>
    <n v="0"/>
    <n v="0"/>
    <n v="-14630.642999999996"/>
    <n v="0"/>
    <n v="0"/>
    <n v="0"/>
    <n v="-14517.0255439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7"/>
    <s v="Regular"/>
    <s v="Verde"/>
    <s v="A4"/>
    <s v="Comercial"/>
    <s v="Não se aplica"/>
    <s v="Não se aplica"/>
    <s v="Não se aplica"/>
    <s v="Ponta"/>
    <s v="CATIVO"/>
    <x v="3"/>
    <n v="0"/>
    <n v="0"/>
    <n v="8.2110000000000003"/>
    <n v="8.2110000000000003"/>
    <n v="8.2110000000000003"/>
    <n v="8.2110000000000003"/>
    <m/>
    <n v="2641.06"/>
    <n v="252.22"/>
    <m/>
    <n v="23756.72208"/>
    <n v="23756.72208"/>
    <n v="14101.078739999999"/>
    <n v="0"/>
    <n v="441.8523540602651"/>
    <n v="0"/>
    <n v="0"/>
    <n v="0"/>
    <n v="5318.8147593176755"/>
    <n v="15700.173787489672"/>
    <n v="2071.0011437533103"/>
    <n v="0"/>
    <n v="0"/>
    <n v="0"/>
    <n v="0"/>
    <n v="0"/>
    <n v="78.505610629818008"/>
    <m/>
    <n v="19.754895296153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63694968798185"/>
    <n v="0"/>
    <n v="0"/>
    <n v="0"/>
    <n v="0"/>
    <n v="0"/>
    <m/>
    <m/>
    <m/>
    <m/>
    <m/>
    <m/>
    <m/>
    <m/>
    <m/>
    <n v="2197.6380934412923"/>
    <m/>
    <m/>
    <m/>
    <m/>
    <m/>
    <m/>
    <m/>
    <m/>
    <m/>
    <m/>
    <m/>
    <m/>
    <n v="14099.361400000002"/>
    <n v="-9657.3906799999932"/>
    <m/>
    <m/>
    <m/>
    <m/>
    <n v="-9655.6433400000005"/>
    <n v="0"/>
    <n v="31"/>
    <n v="-29.131332928477605"/>
    <n v="0"/>
    <n v="0"/>
    <n v="0"/>
    <n v="0"/>
    <n v="0"/>
    <n v="0"/>
    <n v="0"/>
    <n v="-13.669822316570389"/>
    <n v="0"/>
    <n v="0"/>
    <n v="-2.903407221310772E-7"/>
    <n v="0"/>
    <n v="0"/>
    <n v="0"/>
    <n v="-1.7753819747667876E-8"/>
    <n v="0"/>
    <n v="-12.847780240268435"/>
    <m/>
    <n v="0"/>
    <n v="0"/>
    <n v="0"/>
    <n v="0"/>
    <n v="-1.9722269075152923"/>
    <n v="-0.64150315602867281"/>
    <n v="0"/>
    <n v="0"/>
    <m/>
    <m/>
    <m/>
    <n v="15700.173787489672"/>
    <n v="0"/>
    <n v="0"/>
    <n v="-9655.6433400000005"/>
    <n v="0"/>
    <n v="0"/>
    <n v="0"/>
    <n v="-9626.4849694440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8"/>
    <s v="Regular"/>
    <s v="Verde"/>
    <s v="A4"/>
    <s v="Comercial"/>
    <s v="Não se aplica"/>
    <s v="Não se aplica"/>
    <s v="Não se aplica"/>
    <s v="Fora ponta"/>
    <s v="CATIVO"/>
    <x v="3"/>
    <n v="0"/>
    <n v="0"/>
    <n v="227.18100000000001"/>
    <n v="227.18100000000001"/>
    <n v="227.18100000000001"/>
    <n v="227.18100000000001"/>
    <m/>
    <n v="81.2"/>
    <n v="252.22"/>
    <m/>
    <n v="75746.689020000005"/>
    <n v="75746.689020000005"/>
    <n v="75319.588740000007"/>
    <n v="0"/>
    <n v="12225.119918129958"/>
    <n v="0"/>
    <n v="0"/>
    <n v="0"/>
    <n v="0"/>
    <n v="0"/>
    <n v="57300.220538183028"/>
    <n v="0"/>
    <n v="0"/>
    <n v="0"/>
    <n v="0"/>
    <n v="0"/>
    <n v="2172.0841710501386"/>
    <m/>
    <n v="546.57616225495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3.7765031135559"/>
    <n v="0"/>
    <n v="0"/>
    <n v="0"/>
    <n v="0"/>
    <n v="0"/>
    <m/>
    <m/>
    <m/>
    <m/>
    <m/>
    <m/>
    <m/>
    <m/>
    <m/>
    <n v="60803.997041296585"/>
    <m/>
    <m/>
    <m/>
    <m/>
    <m/>
    <m/>
    <m/>
    <m/>
    <m/>
    <m/>
    <m/>
    <m/>
    <n v="75319.257199999993"/>
    <n v="-427.46181999999681"/>
    <m/>
    <m/>
    <m/>
    <m/>
    <n v="-427.10028000000221"/>
    <n v="0"/>
    <n v="31"/>
    <n v="-427.787290503431"/>
    <n v="0"/>
    <n v="0"/>
    <n v="0"/>
    <n v="0"/>
    <n v="0"/>
    <n v="0"/>
    <n v="0"/>
    <n v="0"/>
    <n v="0"/>
    <n v="0"/>
    <n v="-8.0331228673458099E-6"/>
    <n v="0"/>
    <n v="0"/>
    <n v="0"/>
    <n v="-4.9121081246994436E-7"/>
    <n v="0"/>
    <n v="-355.4709003488515"/>
    <m/>
    <n v="0"/>
    <n v="0"/>
    <n v="0"/>
    <n v="0"/>
    <n v="-54.567346373917189"/>
    <n v="-17.749035256332945"/>
    <n v="0"/>
    <n v="0"/>
    <m/>
    <m/>
    <m/>
    <n v="0"/>
    <n v="0"/>
    <n v="0"/>
    <n v="-427.10028000000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69"/>
    <s v="Regular"/>
    <s v="Verde"/>
    <s v="A4"/>
    <s v="Comercial"/>
    <s v="Não se aplica"/>
    <s v="Não se aplica"/>
    <s v="Não se aplica"/>
    <s v="Não se aplica"/>
    <s v="CATIVO"/>
    <x v="3"/>
    <n v="1947"/>
    <n v="1947"/>
    <n v="0"/>
    <n v="0"/>
    <n v="0"/>
    <n v="0"/>
    <n v="74.44"/>
    <m/>
    <m/>
    <n v="144934.68"/>
    <m/>
    <n v="144934.68"/>
    <n v="88432.74"/>
    <n v="0"/>
    <n v="0"/>
    <n v="0"/>
    <n v="0"/>
    <n v="0"/>
    <n v="52991.679156789658"/>
    <n v="91940.3343578449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0547.94"/>
    <n v="15"/>
    <m/>
    <m/>
    <m/>
    <m/>
    <m/>
    <m/>
    <m/>
    <m/>
    <m/>
    <n v="0"/>
    <m/>
    <m/>
    <m/>
    <m/>
    <m/>
    <m/>
    <m/>
    <m/>
    <m/>
    <m/>
    <m/>
    <m/>
    <n v="88432.74"/>
    <n v="-56501.970000000016"/>
    <m/>
    <m/>
    <m/>
    <m/>
    <n v="-56501.939999999995"/>
    <n v="0"/>
    <n v="31"/>
    <n v="-136.19328198277071"/>
    <n v="0"/>
    <n v="0"/>
    <n v="0"/>
    <n v="0"/>
    <m/>
    <m/>
    <m/>
    <n v="-136.193281982770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940.334357844957"/>
    <m/>
    <n v="0"/>
    <n v="0"/>
    <n v="-56501.939999999988"/>
    <m/>
    <n v="0"/>
    <m/>
    <n v="-56372.76750953547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70"/>
    <s v="Sistema de Compensação"/>
    <s v="Verde"/>
    <s v="A4"/>
    <s v="Comercial"/>
    <s v="Não se aplica"/>
    <s v="Não se aplica"/>
    <s v="Não se aplica"/>
    <s v="Não se aplica"/>
    <s v="CATIVO"/>
    <x v="3"/>
    <n v="122"/>
    <n v="122"/>
    <n v="0"/>
    <n v="0"/>
    <n v="0"/>
    <n v="0"/>
    <n v="74.44"/>
    <m/>
    <m/>
    <n v="9081.68"/>
    <m/>
    <n v="9081.68"/>
    <n v="5541.24"/>
    <n v="0"/>
    <n v="0"/>
    <n v="0"/>
    <n v="0"/>
    <n v="0"/>
    <n v="3320.4852887151196"/>
    <n v="5761.02762796974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36.01"/>
    <n v="1"/>
    <m/>
    <m/>
    <m/>
    <m/>
    <m/>
    <m/>
    <m/>
    <m/>
    <m/>
    <n v="0"/>
    <m/>
    <m/>
    <m/>
    <m/>
    <m/>
    <m/>
    <m/>
    <m/>
    <m/>
    <m/>
    <m/>
    <m/>
    <n v="5541.24"/>
    <n v="-3540.4700000000012"/>
    <m/>
    <m/>
    <m/>
    <m/>
    <n v="-3540.4399999999996"/>
    <n v="0"/>
    <n v="31"/>
    <n v="-8.5339396003582806"/>
    <n v="0"/>
    <n v="0"/>
    <n v="0"/>
    <n v="0"/>
    <m/>
    <m/>
    <m/>
    <n v="-8.53393960035828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61.0276279697409"/>
    <m/>
    <n v="0"/>
    <n v="0"/>
    <n v="-3540.4400000000005"/>
    <m/>
    <n v="0"/>
    <m/>
    <n v="-3532.345986730009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71"/>
    <s v="Regular"/>
    <s v="Convencional"/>
    <s v="B2"/>
    <s v="Rural"/>
    <s v="Não se aplica"/>
    <s v="Não se aplica"/>
    <s v="Não se aplica"/>
    <s v="Não se aplica"/>
    <s v="CATIVO"/>
    <x v="3"/>
    <n v="0"/>
    <n v="0"/>
    <n v="2682.5039999999999"/>
    <n v="2682.5039999999999"/>
    <n v="2682.5039999999999"/>
    <n v="2682.5039999999999"/>
    <m/>
    <n v="739.04"/>
    <n v="252.22"/>
    <m/>
    <n v="2659058.9150399999"/>
    <n v="2659058.9150399999"/>
    <n v="1818657.23688"/>
    <n v="0"/>
    <n v="165921.34005491337"/>
    <n v="0"/>
    <n v="0"/>
    <n v="0"/>
    <n v="331282.75474447396"/>
    <n v="1359996.7211196718"/>
    <n v="676588.58264801244"/>
    <n v="0"/>
    <n v="0"/>
    <n v="0"/>
    <n v="0"/>
    <n v="0"/>
    <n v="25647.499030194776"/>
    <m/>
    <n v="6285.9077045529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335.709333898543"/>
    <n v="0"/>
    <n v="0"/>
    <n v="0"/>
    <n v="120712.65"/>
    <n v="12094"/>
    <m/>
    <m/>
    <m/>
    <m/>
    <m/>
    <n v="218221.70039999991"/>
    <m/>
    <m/>
    <m/>
    <n v="769924.29198191094"/>
    <m/>
    <m/>
    <m/>
    <m/>
    <m/>
    <m/>
    <m/>
    <m/>
    <m/>
    <m/>
    <m/>
    <m/>
    <n v="1600433.1500000001"/>
    <n v="-739541.94423999987"/>
    <m/>
    <m/>
    <m/>
    <m/>
    <n v="-840401.67815999989"/>
    <n v="0"/>
    <n v="31"/>
    <n v="-6524.3779935385101"/>
    <n v="0"/>
    <n v="0"/>
    <n v="0"/>
    <n v="0"/>
    <n v="0"/>
    <n v="0"/>
    <n v="0"/>
    <n v="-851.42585309303831"/>
    <n v="0"/>
    <n v="0"/>
    <n v="-9.4853457994759083E-5"/>
    <n v="0"/>
    <n v="0"/>
    <n v="0"/>
    <n v="-1.3084994861856103E-5"/>
    <n v="0"/>
    <n v="-4824.5095779339026"/>
    <m/>
    <n v="0"/>
    <n v="0"/>
    <n v="0"/>
    <n v="0"/>
    <n v="-644.31939694524408"/>
    <n v="-204.12305762817596"/>
    <n v="0"/>
    <n v="0"/>
    <m/>
    <m/>
    <m/>
    <n v="1359996.7211196718"/>
    <n v="0"/>
    <n v="0"/>
    <n v="-840401.67815999989"/>
    <n v="0"/>
    <n v="0"/>
    <n v="0"/>
    <n v="-833875.35523866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2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3.08"/>
    <n v="-3.08"/>
    <n v="-3.08"/>
    <n v="-3.08"/>
    <m/>
    <n v="739.04"/>
    <n v="252.22"/>
    <m/>
    <n v="-3053.0807999999997"/>
    <n v="-3053.0807999999997"/>
    <n v="-2088.1476000000002"/>
    <n v="0"/>
    <n v="-190.50772240009078"/>
    <n v="0"/>
    <n v="0"/>
    <n v="0"/>
    <n v="-380.37254916040376"/>
    <n v="-1561.5223317648695"/>
    <n v="-776.84612382903379"/>
    <n v="0"/>
    <n v="0"/>
    <n v="0"/>
    <n v="0"/>
    <n v="0"/>
    <n v="-29.447969886717754"/>
    <m/>
    <n v="-7.2173595006840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7.16628372163007"/>
    <n v="0"/>
    <n v="0"/>
    <n v="0"/>
    <n v="-26.87"/>
    <n v="0"/>
    <m/>
    <m/>
    <m/>
    <m/>
    <m/>
    <n v="-250.55799999999988"/>
    <m/>
    <m/>
    <m/>
    <n v="-884.01240755066385"/>
    <m/>
    <m/>
    <m/>
    <m/>
    <m/>
    <m/>
    <m/>
    <m/>
    <m/>
    <m/>
    <m/>
    <m/>
    <n v="-1837.5896"/>
    <n v="849.09519999999998"/>
    <m/>
    <m/>
    <m/>
    <m/>
    <n v="964.93319999999994"/>
    <n v="0"/>
    <n v="31"/>
    <n v="7.491166544429916"/>
    <n v="0"/>
    <n v="0"/>
    <n v="0"/>
    <n v="0"/>
    <n v="0"/>
    <n v="0"/>
    <n v="0"/>
    <n v="0.97759094768412069"/>
    <n v="0"/>
    <n v="0"/>
    <n v="1.0890892099268967E-7"/>
    <n v="0"/>
    <n v="0"/>
    <n v="0"/>
    <n v="1.5023942978587002E-8"/>
    <n v="0"/>
    <n v="5.5394100064850988"/>
    <m/>
    <n v="0"/>
    <n v="0"/>
    <n v="0"/>
    <n v="0"/>
    <n v="0.7397952594260282"/>
    <n v="0.2343702069017537"/>
    <n v="0"/>
    <n v="0"/>
    <m/>
    <m/>
    <m/>
    <n v="-1561.5223317648695"/>
    <n v="0"/>
    <n v="0"/>
    <n v="964.93319999999994"/>
    <n v="0"/>
    <n v="0"/>
    <n v="0"/>
    <n v="957.4398003265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83.722999999999999"/>
    <n v="83.722999999999999"/>
    <n v="83.722999999999999"/>
    <n v="83.722999999999999"/>
    <m/>
    <n v="739.04"/>
    <n v="252.22"/>
    <m/>
    <n v="82991.260979999992"/>
    <n v="82991.260979999992"/>
    <n v="56761.682310000004"/>
    <n v="0"/>
    <n v="5178.5318319814287"/>
    <n v="0"/>
    <n v="0"/>
    <n v="0"/>
    <n v="10339.587965375482"/>
    <n v="42446.537072191612"/>
    <n v="21116.84676147344"/>
    <n v="0"/>
    <n v="0"/>
    <n v="0"/>
    <n v="0"/>
    <n v="0"/>
    <n v="800.47804637197089"/>
    <m/>
    <n v="196.18798359603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.0788220863747"/>
    <n v="0"/>
    <n v="0"/>
    <n v="0"/>
    <n v="8232.81"/>
    <n v="843"/>
    <m/>
    <m/>
    <m/>
    <m/>
    <m/>
    <n v="6810.8660499999969"/>
    <m/>
    <m/>
    <m/>
    <n v="24029.925583559816"/>
    <m/>
    <m/>
    <m/>
    <m/>
    <m/>
    <m/>
    <m/>
    <m/>
    <m/>
    <m/>
    <m/>
    <m/>
    <n v="49949.026400000002"/>
    <n v="-23083.41373"/>
    <m/>
    <m/>
    <m/>
    <m/>
    <n v="-26229.578669999995"/>
    <n v="0"/>
    <n v="31"/>
    <n v="-203.63082357119129"/>
    <n v="0"/>
    <n v="0"/>
    <n v="0"/>
    <n v="0"/>
    <n v="0"/>
    <n v="0"/>
    <n v="0"/>
    <n v="-26.573651595115734"/>
    <n v="0"/>
    <n v="0"/>
    <n v="-2.9604489100165665E-6"/>
    <n v="0"/>
    <n v="0"/>
    <n v="0"/>
    <n v="-4.083926796738524E-7"/>
    <n v="0"/>
    <n v="-150.57663116005006"/>
    <m/>
    <n v="0"/>
    <n v="0"/>
    <n v="0"/>
    <n v="0"/>
    <n v="-20.109700813287418"/>
    <n v="-6.3708366339076576"/>
    <n v="0"/>
    <n v="0"/>
    <m/>
    <m/>
    <m/>
    <n v="42446.537072191612"/>
    <n v="0"/>
    <n v="0"/>
    <n v="-26229.578669999995"/>
    <n v="0"/>
    <n v="0"/>
    <n v="0"/>
    <n v="-26025.887143745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Não se aplica"/>
    <s v="Não se aplica"/>
    <s v="Não se aplica"/>
    <s v="Ponta"/>
    <s v="CATIVO"/>
    <x v="3"/>
    <n v="0"/>
    <n v="0"/>
    <n v="2.9790000000000001"/>
    <n v="2.8598400000000002"/>
    <n v="2.9790000000000001"/>
    <n v="2.8598400000000002"/>
    <m/>
    <n v="2641.06"/>
    <n v="252.22"/>
    <m/>
    <n v="8619.0811200000007"/>
    <n v="8619.0811200000007"/>
    <n v="5115.95586"/>
    <n v="0"/>
    <n v="160.30668161558029"/>
    <n v="0"/>
    <n v="0"/>
    <n v="0"/>
    <n v="1929.697864816387"/>
    <n v="5696.1171249460149"/>
    <n v="751.37162431386093"/>
    <n v="0"/>
    <n v="0"/>
    <n v="0"/>
    <n v="0"/>
    <n v="0"/>
    <n v="28.482305939133827"/>
    <m/>
    <n v="7.1671943840264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94464415059042"/>
    <n v="0"/>
    <n v="0"/>
    <n v="0"/>
    <n v="0"/>
    <n v="0"/>
    <m/>
    <m/>
    <m/>
    <m/>
    <m/>
    <n v="204.63823439999987"/>
    <m/>
    <m/>
    <m/>
    <n v="797.31626846445135"/>
    <m/>
    <m/>
    <m/>
    <m/>
    <m/>
    <m/>
    <m/>
    <m/>
    <m/>
    <m/>
    <m/>
    <m/>
    <n v="4911.5923999999995"/>
    <n v="-3362.7554752000015"/>
    <m/>
    <m/>
    <m/>
    <m/>
    <n v="-3503.1252600000003"/>
    <n v="0"/>
    <n v="31"/>
    <n v="-10.569022140291509"/>
    <n v="0"/>
    <n v="0"/>
    <n v="0"/>
    <n v="0"/>
    <n v="0"/>
    <n v="0"/>
    <n v="0"/>
    <n v="-4.9594934455074053"/>
    <n v="0"/>
    <n v="0"/>
    <n v="-1.0533756267250283E-7"/>
    <n v="0"/>
    <n v="0"/>
    <n v="0"/>
    <n v="-6.4411906919303874E-9"/>
    <n v="0"/>
    <n v="-4.6612516545804112"/>
    <m/>
    <n v="0"/>
    <n v="0"/>
    <n v="0"/>
    <n v="0"/>
    <n v="-0.7155357395552393"/>
    <n v="-0.23274118886973838"/>
    <n v="0"/>
    <n v="0"/>
    <m/>
    <m/>
    <m/>
    <n v="5696.1171249460149"/>
    <n v="0"/>
    <n v="0"/>
    <n v="-3503.1252599999998"/>
    <n v="0"/>
    <n v="0"/>
    <n v="0"/>
    <n v="-3492.546428446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Não se aplica"/>
    <s v="Não se aplica"/>
    <s v="Não se aplica"/>
    <s v="Fora ponta"/>
    <s v="CATIVO"/>
    <x v="3"/>
    <n v="0"/>
    <n v="0"/>
    <n v="28.277999999999999"/>
    <n v="27.146879999999999"/>
    <n v="28.277999999999999"/>
    <n v="27.146879999999999"/>
    <m/>
    <n v="81.2"/>
    <n v="252.22"/>
    <m/>
    <n v="9428.4507599999997"/>
    <n v="9428.4507599999997"/>
    <n v="9375.2881199999993"/>
    <n v="0"/>
    <n v="1521.7026998071094"/>
    <n v="0"/>
    <n v="0"/>
    <n v="0"/>
    <n v="0"/>
    <n v="0"/>
    <n v="7132.3554187134469"/>
    <n v="0"/>
    <n v="0"/>
    <n v="0"/>
    <n v="0"/>
    <n v="0"/>
    <n v="270.36678326513135"/>
    <m/>
    <n v="68.034213760154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6.12710550197914"/>
    <n v="0"/>
    <n v="0"/>
    <n v="0"/>
    <n v="0"/>
    <n v="0"/>
    <m/>
    <m/>
    <m/>
    <m/>
    <m/>
    <n v="375.01152479999973"/>
    <m/>
    <m/>
    <m/>
    <n v="7568.4825242154257"/>
    <m/>
    <m/>
    <m/>
    <m/>
    <m/>
    <m/>
    <m/>
    <m/>
    <m/>
    <m/>
    <m/>
    <m/>
    <n v="9001.3109999999979"/>
    <n v="-50.031729600003018"/>
    <m/>
    <m/>
    <m/>
    <m/>
    <n v="-53.162640000000273"/>
    <n v="0"/>
    <n v="31"/>
    <n v="-53.248154558947135"/>
    <n v="0"/>
    <n v="0"/>
    <n v="0"/>
    <n v="0"/>
    <n v="0"/>
    <n v="0"/>
    <n v="0"/>
    <n v="0"/>
    <n v="0"/>
    <n v="0"/>
    <n v="-9.9991120805498213E-7"/>
    <n v="0"/>
    <n v="0"/>
    <n v="0"/>
    <n v="-6.1142714002926368E-8"/>
    <n v="0"/>
    <n v="-44.246684890307051"/>
    <m/>
    <n v="0"/>
    <n v="0"/>
    <n v="0"/>
    <n v="0"/>
    <n v="-6.7921851772886725"/>
    <n v="-2.2092834302982283"/>
    <n v="0"/>
    <n v="0"/>
    <m/>
    <m/>
    <m/>
    <n v="0"/>
    <n v="0"/>
    <n v="0"/>
    <n v="-53.16264000000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6"/>
    <s v="Regular"/>
    <s v="Verde"/>
    <s v="A4"/>
    <s v="Rural"/>
    <s v="Não se aplica"/>
    <s v="Não se aplica"/>
    <s v="Não se aplica"/>
    <s v="Não se aplica"/>
    <s v="CATIVO"/>
    <x v="3"/>
    <n v="176"/>
    <n v="168.96"/>
    <n v="0"/>
    <n v="0"/>
    <n v="0"/>
    <n v="0"/>
    <n v="74.44"/>
    <m/>
    <m/>
    <n v="13101.439999999999"/>
    <m/>
    <n v="13101.439999999999"/>
    <n v="7993.92"/>
    <n v="0"/>
    <n v="0"/>
    <n v="0"/>
    <n v="0"/>
    <n v="0"/>
    <n v="4790.2082853595166"/>
    <n v="8310.99067641536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489999999999998"/>
    <n v="2"/>
    <m/>
    <m/>
    <m/>
    <m/>
    <m/>
    <n v="319.75679999999966"/>
    <m/>
    <m/>
    <m/>
    <n v="0"/>
    <m/>
    <m/>
    <m/>
    <m/>
    <m/>
    <m/>
    <m/>
    <m/>
    <m/>
    <m/>
    <m/>
    <m/>
    <n v="7674.1632000000009"/>
    <n v="-4903.2492000000002"/>
    <m/>
    <m/>
    <m/>
    <m/>
    <n v="-5107.5199999999995"/>
    <n v="0"/>
    <n v="31"/>
    <n v="-12.311257128385478"/>
    <n v="0"/>
    <n v="0"/>
    <n v="0"/>
    <n v="0"/>
    <m/>
    <m/>
    <m/>
    <n v="-12.3112571283854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310.9906764153639"/>
    <m/>
    <n v="0"/>
    <n v="0"/>
    <n v="-5107.5199999999986"/>
    <m/>
    <n v="0"/>
    <m/>
    <n v="-5095.843390692472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77"/>
    <s v="Sistema de Compensação"/>
    <s v="Verde"/>
    <s v="A4"/>
    <s v="Rural"/>
    <s v="Não se aplica"/>
    <s v="Não se aplica"/>
    <s v="Não se aplica"/>
    <s v="Não se aplica"/>
    <s v="CATIVO"/>
    <x v="3"/>
    <n v="491"/>
    <n v="471.35999999999996"/>
    <n v="0"/>
    <n v="0"/>
    <n v="0"/>
    <n v="0"/>
    <n v="74.44"/>
    <m/>
    <m/>
    <n v="36550.04"/>
    <m/>
    <n v="36550.04"/>
    <n v="22301.22"/>
    <n v="0"/>
    <n v="0"/>
    <n v="0"/>
    <n v="0"/>
    <n v="0"/>
    <n v="13363.592432451835"/>
    <n v="23185.7751256814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.36"/>
    <n v="4"/>
    <m/>
    <m/>
    <m/>
    <m/>
    <m/>
    <n v="892.04880000000196"/>
    <m/>
    <m/>
    <m/>
    <n v="0"/>
    <m/>
    <m/>
    <m/>
    <m/>
    <m/>
    <m/>
    <m/>
    <m/>
    <m/>
    <m/>
    <m/>
    <m/>
    <n v="21409.171200000001"/>
    <n v="-13678.897200000003"/>
    <m/>
    <m/>
    <m/>
    <m/>
    <n v="-14248.819999999998"/>
    <n v="0"/>
    <n v="31"/>
    <n v="-34.345609375213826"/>
    <n v="0"/>
    <n v="0"/>
    <n v="0"/>
    <n v="0"/>
    <m/>
    <m/>
    <m/>
    <n v="-34.345609375213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185.775125681495"/>
    <m/>
    <n v="0"/>
    <n v="0"/>
    <n v="-14248.82"/>
    <m/>
    <n v="0"/>
    <m/>
    <n v="-14216.24491380683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78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56.93600000000001"/>
    <n v="156.93600000000001"/>
    <n v="156.93600000000001"/>
    <n v="156.93600000000001"/>
    <m/>
    <n v="739.04"/>
    <n v="252.22"/>
    <m/>
    <n v="155564.37936000002"/>
    <n v="155564.37936000002"/>
    <n v="106397.89992000001"/>
    <n v="0"/>
    <n v="9706.9869878508598"/>
    <n v="0"/>
    <n v="0"/>
    <n v="0"/>
    <n v="19381.216355531535"/>
    <n v="79564.632681120638"/>
    <n v="39582.832236764043"/>
    <n v="0"/>
    <n v="0"/>
    <n v="0"/>
    <n v="0"/>
    <n v="0"/>
    <n v="1500.4696760201095"/>
    <m/>
    <n v="367.747899545245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60.4700980966682"/>
    <n v="0"/>
    <n v="0"/>
    <n v="0"/>
    <n v="50683.91"/>
    <n v="365"/>
    <m/>
    <m/>
    <m/>
    <m/>
    <m/>
    <m/>
    <m/>
    <m/>
    <m/>
    <n v="45043.302334860709"/>
    <m/>
    <m/>
    <m/>
    <m/>
    <m/>
    <m/>
    <m/>
    <m/>
    <m/>
    <m/>
    <m/>
    <m/>
    <n v="106400.6118"/>
    <n v="-49163.797559999992"/>
    <m/>
    <m/>
    <m/>
    <m/>
    <n v="-49166.479439999996"/>
    <n v="0"/>
    <n v="31"/>
    <n v="-381.69925740797771"/>
    <n v="0"/>
    <n v="0"/>
    <n v="0"/>
    <n v="0"/>
    <n v="0"/>
    <n v="0"/>
    <n v="0"/>
    <n v="-49.811432781087206"/>
    <n v="0"/>
    <n v="0"/>
    <n v="-5.5492637329734862E-6"/>
    <n v="0"/>
    <n v="0"/>
    <n v="0"/>
    <n v="-7.6551896199816838E-7"/>
    <n v="0"/>
    <n v="-282.25092492783915"/>
    <m/>
    <n v="0"/>
    <n v="0"/>
    <n v="0"/>
    <n v="0"/>
    <n v="-37.694970400416423"/>
    <n v="-11.94192298387452"/>
    <n v="0"/>
    <n v="0"/>
    <m/>
    <m/>
    <m/>
    <n v="79564.632681120638"/>
    <n v="0"/>
    <n v="0"/>
    <n v="-49166.479439999996"/>
    <n v="0"/>
    <n v="0"/>
    <n v="0"/>
    <n v="-48784.666397416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79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0.39100000000000001"/>
    <n v="0.39100000000000001"/>
    <n v="0.39100000000000001"/>
    <n v="0.39100000000000001"/>
    <m/>
    <n v="739.04"/>
    <n v="252.22"/>
    <m/>
    <n v="387.58265999999998"/>
    <n v="387.58265999999998"/>
    <n v="265.08627000000001"/>
    <n v="0"/>
    <n v="24.184584239751786"/>
    <n v="0"/>
    <n v="0"/>
    <n v="0"/>
    <n v="48.287554130427885"/>
    <n v="198.23221809092985"/>
    <n v="98.619102083490972"/>
    <n v="0"/>
    <n v="0"/>
    <n v="0"/>
    <n v="0"/>
    <n v="0"/>
    <n v="3.738362410943715"/>
    <m/>
    <n v="0.91622972882060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604550952973169"/>
    <n v="0"/>
    <n v="0"/>
    <n v="0"/>
    <n v="204.52"/>
    <n v="2"/>
    <m/>
    <m/>
    <m/>
    <m/>
    <m/>
    <m/>
    <m/>
    <m/>
    <m/>
    <n v="112.22365303646414"/>
    <m/>
    <m/>
    <m/>
    <m/>
    <m/>
    <m/>
    <m/>
    <m/>
    <m/>
    <m/>
    <m/>
    <m/>
    <n v="264.40830000000005"/>
    <n v="-123.20435999999989"/>
    <m/>
    <m/>
    <m/>
    <m/>
    <n v="-122.49638999999999"/>
    <n v="0"/>
    <n v="31"/>
    <n v="-0.95098899963375061"/>
    <n v="0"/>
    <n v="0"/>
    <n v="0"/>
    <n v="0"/>
    <n v="0"/>
    <n v="0"/>
    <n v="0"/>
    <n v="-0.12410326641055036"/>
    <n v="0"/>
    <n v="0"/>
    <n v="-1.382576897412946E-8"/>
    <n v="0"/>
    <n v="0"/>
    <n v="0"/>
    <n v="-1.9072619039661731E-9"/>
    <n v="0"/>
    <n v="-0.70321730926482928"/>
    <m/>
    <n v="0"/>
    <n v="0"/>
    <n v="0"/>
    <n v="0"/>
    <n v="-9.391556702453796E-2"/>
    <n v="-2.9752841200839542E-2"/>
    <n v="0"/>
    <n v="0"/>
    <m/>
    <m/>
    <m/>
    <n v="198.23221809092985"/>
    <n v="0"/>
    <n v="0"/>
    <n v="-122.49638999999996"/>
    <n v="0"/>
    <n v="0"/>
    <n v="0"/>
    <n v="-121.54511750898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378.35599999999999"/>
    <n v="378.35599999999999"/>
    <n v="378.35599999999999"/>
    <n v="378.35599999999999"/>
    <m/>
    <n v="406.47"/>
    <n v="138.72"/>
    <m/>
    <n v="206275.90763999999"/>
    <n v="206275.90763999999"/>
    <n v="141081.38527999999"/>
    <n v="0"/>
    <n v="12871.382110072969"/>
    <n v="0"/>
    <n v="0"/>
    <n v="0"/>
    <n v="25699.327894666836"/>
    <n v="105502.02559950517"/>
    <n v="52486.498576331593"/>
    <n v="0"/>
    <n v="0"/>
    <n v="0"/>
    <n v="0"/>
    <n v="0"/>
    <n v="1989.610016867676"/>
    <m/>
    <n v="487.6305841501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40.5368649608999"/>
    <n v="0"/>
    <n v="0"/>
    <n v="0"/>
    <n v="48701.45"/>
    <n v="66"/>
    <m/>
    <m/>
    <m/>
    <m/>
    <m/>
    <m/>
    <m/>
    <m/>
    <m/>
    <n v="59727.035441292493"/>
    <m/>
    <m/>
    <m/>
    <m/>
    <m/>
    <m/>
    <m/>
    <m/>
    <m/>
    <m/>
    <m/>
    <m/>
    <n v="141082.8768"/>
    <n v="-65193.06084000002"/>
    <m/>
    <m/>
    <m/>
    <m/>
    <n v="-65194.52236000001"/>
    <n v="0"/>
    <n v="31"/>
    <n v="-506.12996590755938"/>
    <n v="0"/>
    <n v="0"/>
    <n v="0"/>
    <n v="0"/>
    <n v="0"/>
    <n v="0"/>
    <n v="0"/>
    <n v="-66.049535821839527"/>
    <n v="0"/>
    <n v="0"/>
    <n v="-7.3578848969191313E-6"/>
    <n v="0"/>
    <n v="0"/>
    <n v="0"/>
    <n v="-1.0150533853447996E-6"/>
    <n v="0"/>
    <n v="-374.2623236452946"/>
    <m/>
    <n v="0"/>
    <n v="0"/>
    <n v="0"/>
    <n v="0"/>
    <n v="-49.983209852750633"/>
    <n v="-15.834888214736679"/>
    <n v="0"/>
    <n v="0"/>
    <m/>
    <m/>
    <m/>
    <n v="105502.02559950517"/>
    <n v="0"/>
    <n v="0"/>
    <n v="-65194.522360000003"/>
    <n v="0"/>
    <n v="0"/>
    <n v="0"/>
    <n v="-64688.05233791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77.802999999999997"/>
    <n v="73.134820000000005"/>
    <n v="77.802999999999997"/>
    <n v="73.134820000000005"/>
    <m/>
    <n v="739.04"/>
    <n v="252.22"/>
    <m/>
    <n v="77123.001779999991"/>
    <n v="77123.001779999991"/>
    <n v="52748.099909999997"/>
    <n v="0"/>
    <n v="4812.3611447708645"/>
    <n v="0"/>
    <n v="0"/>
    <n v="0"/>
    <n v="9608.4822864697708"/>
    <n v="39445.169473474714"/>
    <n v="19623.687978009842"/>
    <n v="0"/>
    <n v="0"/>
    <n v="0"/>
    <n v="0"/>
    <n v="0"/>
    <n v="743.8767536026952"/>
    <m/>
    <n v="182.31565624406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7.0968741538909"/>
    <n v="0"/>
    <n v="0"/>
    <n v="0"/>
    <n v="27335.69"/>
    <n v="28"/>
    <m/>
    <m/>
    <m/>
    <m/>
    <n v="3164.8859945999948"/>
    <m/>
    <m/>
    <m/>
    <m/>
    <n v="22330.784852163735"/>
    <m/>
    <m/>
    <m/>
    <m/>
    <m/>
    <m/>
    <m/>
    <m/>
    <m/>
    <m/>
    <m/>
    <m/>
    <n v="49579.946100000001"/>
    <n v="-22915.705573200001"/>
    <m/>
    <m/>
    <m/>
    <m/>
    <n v="-24374.901869999998"/>
    <n v="0"/>
    <n v="31"/>
    <n v="-189.23221774553531"/>
    <n v="0"/>
    <n v="0"/>
    <n v="0"/>
    <n v="0"/>
    <n v="0"/>
    <n v="0"/>
    <n v="0"/>
    <n v="-24.694645617748392"/>
    <n v="0"/>
    <n v="0"/>
    <n v="-2.7511159714777023E-6"/>
    <n v="0"/>
    <n v="0"/>
    <n v="0"/>
    <n v="-3.7951576814521104E-7"/>
    <n v="0"/>
    <n v="-139.929453485247"/>
    <m/>
    <n v="0"/>
    <n v="0"/>
    <n v="0"/>
    <n v="0"/>
    <n v="-18.687756678286746"/>
    <n v="-5.9203588336289386"/>
    <n v="0"/>
    <n v="0"/>
    <m/>
    <m/>
    <m/>
    <n v="39445.169473474714"/>
    <n v="0"/>
    <n v="0"/>
    <n v="-24374.901869999994"/>
    <n v="0"/>
    <n v="0"/>
    <n v="0"/>
    <n v="-24185.613241819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5.7320000000000002"/>
    <n v="5.7320000000000002"/>
    <n v="5.7320000000000002"/>
    <n v="5.7320000000000002"/>
    <m/>
    <n v="739.04"/>
    <n v="252.22"/>
    <m/>
    <n v="5681.9023200000001"/>
    <n v="5681.9023200000001"/>
    <n v="3886.1240399999997"/>
    <n v="0"/>
    <n v="354.54229376536375"/>
    <n v="0"/>
    <n v="0"/>
    <n v="0"/>
    <n v="707.88813369721902"/>
    <n v="2906.0538979468283"/>
    <n v="1445.7409031779291"/>
    <n v="0"/>
    <n v="0"/>
    <n v="0"/>
    <n v="0"/>
    <n v="0"/>
    <n v="54.803819282683818"/>
    <m/>
    <n v="13.4317872265977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44062931570895"/>
    <n v="0"/>
    <n v="0"/>
    <n v="0"/>
    <n v="2014.21"/>
    <n v="11"/>
    <m/>
    <m/>
    <m/>
    <m/>
    <m/>
    <m/>
    <m/>
    <m/>
    <m/>
    <n v="1645.1815324936381"/>
    <m/>
    <m/>
    <m/>
    <m/>
    <m/>
    <m/>
    <m/>
    <m/>
    <m/>
    <m/>
    <m/>
    <m/>
    <n v="3884.7681000000002"/>
    <n v="-1797.1642200000006"/>
    <m/>
    <m/>
    <m/>
    <m/>
    <n v="-1795.7782799999998"/>
    <n v="0"/>
    <n v="31"/>
    <n v="-13.9413528028158"/>
    <n v="0"/>
    <n v="0"/>
    <n v="0"/>
    <n v="0"/>
    <n v="0"/>
    <n v="0"/>
    <n v="0"/>
    <n v="-1.8193348415991295"/>
    <n v="0"/>
    <n v="0"/>
    <n v="-2.0268362277420238E-7"/>
    <n v="0"/>
    <n v="0"/>
    <n v="0"/>
    <n v="-2.7960140869254246E-8"/>
    <n v="0"/>
    <n v="-10.309057843237838"/>
    <m/>
    <n v="0"/>
    <n v="0"/>
    <n v="0"/>
    <n v="0"/>
    <n v="-1.3767878009837631"/>
    <n v="-0.43617208635092553"/>
    <n v="0"/>
    <n v="0"/>
    <m/>
    <m/>
    <m/>
    <n v="2906.0538979468283"/>
    <n v="0"/>
    <n v="0"/>
    <n v="-1795.77828"/>
    <n v="0"/>
    <n v="0"/>
    <n v="0"/>
    <n v="-1781.832771257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3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8.08"/>
    <n v="2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84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.3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185"/>
    <s v="Regular"/>
    <s v="Convencional"/>
    <s v="B2"/>
    <s v="Rural"/>
    <s v="Agropecuária rural"/>
    <s v="IRRIG./AQUIC."/>
    <s v="Não se aplica"/>
    <s v="Não se aplica"/>
    <s v="CATIVO"/>
    <x v="3"/>
    <n v="0"/>
    <n v="0"/>
    <n v="11.356999999999999"/>
    <n v="11.356999999999999"/>
    <n v="11.356999999999999"/>
    <n v="11.356999999999999"/>
    <m/>
    <n v="739.04"/>
    <n v="252.22"/>
    <m/>
    <n v="11257.739819999999"/>
    <n v="11257.739819999999"/>
    <n v="7699.7052899999999"/>
    <n v="0"/>
    <n v="702.46629977202304"/>
    <n v="0"/>
    <n v="0"/>
    <n v="0"/>
    <n v="1402.5620262385407"/>
    <n v="5757.8601044979287"/>
    <n v="2864.4939702358233"/>
    <n v="0"/>
    <n v="0"/>
    <n v="0"/>
    <n v="0"/>
    <n v="0"/>
    <n v="108.58460844267971"/>
    <m/>
    <n v="26.612841509502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5.15827409953005"/>
    <n v="0"/>
    <n v="0"/>
    <n v="0"/>
    <n v="0"/>
    <n v="0"/>
    <m/>
    <m/>
    <m/>
    <m/>
    <m/>
    <n v="1117.3016599999999"/>
    <m/>
    <m/>
    <m/>
    <n v="3259.6522443353533"/>
    <m/>
    <m/>
    <m/>
    <m/>
    <m/>
    <m/>
    <m/>
    <m/>
    <m/>
    <m/>
    <m/>
    <m/>
    <n v="6584.1423999999997"/>
    <n v="-2986.999350000001"/>
    <m/>
    <m/>
    <m/>
    <m/>
    <n v="-3558.0345299999994"/>
    <n v="0"/>
    <n v="31"/>
    <n v="-27.622460534118545"/>
    <n v="0"/>
    <n v="0"/>
    <n v="0"/>
    <n v="0"/>
    <n v="0"/>
    <n v="0"/>
    <n v="0"/>
    <n v="-3.6047079197560379"/>
    <n v="0"/>
    <n v="0"/>
    <n v="-4.0158374758902937E-7"/>
    <n v="0"/>
    <n v="0"/>
    <n v="0"/>
    <n v="-5.5398345466528554E-8"/>
    <n v="0"/>
    <n v="-20.425675144042657"/>
    <m/>
    <n v="0"/>
    <n v="0"/>
    <n v="0"/>
    <n v="0"/>
    <n v="-2.7278749225004475"/>
    <n v="-0.86420209083870603"/>
    <n v="0"/>
    <n v="0"/>
    <m/>
    <m/>
    <m/>
    <n v="5757.8601044979287"/>
    <n v="0"/>
    <n v="0"/>
    <n v="-3558.034529999999"/>
    <n v="0"/>
    <n v="0"/>
    <n v="0"/>
    <n v="-3530.4038351650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6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19"/>
    <n v="0.19"/>
    <n v="0.19"/>
    <n v="0.19"/>
    <m/>
    <n v="739.04"/>
    <n v="252.22"/>
    <m/>
    <n v="188.33939999999998"/>
    <n v="188.33939999999998"/>
    <n v="128.8143"/>
    <n v="0"/>
    <n v="11.752099758447159"/>
    <n v="0"/>
    <n v="0"/>
    <n v="0"/>
    <n v="23.464540370284649"/>
    <n v="96.327676310170517"/>
    <n v="47.922325820622213"/>
    <n v="0"/>
    <n v="0"/>
    <n v="0"/>
    <n v="0"/>
    <n v="0"/>
    <n v="1.8165955449598614"/>
    <m/>
    <n v="0.44522672244479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09071126979586"/>
    <n v="0"/>
    <n v="0"/>
    <n v="0"/>
    <n v="0"/>
    <n v="0"/>
    <m/>
    <m/>
    <m/>
    <m/>
    <m/>
    <n v="18.6922"/>
    <m/>
    <m/>
    <m/>
    <n v="54.533232933320171"/>
    <m/>
    <m/>
    <m/>
    <m/>
    <m/>
    <m/>
    <m/>
    <m/>
    <m/>
    <m/>
    <m/>
    <m/>
    <n v="110.12209999999999"/>
    <n v="-50.030400000000014"/>
    <m/>
    <m/>
    <m/>
    <m/>
    <n v="-59.525099999999995"/>
    <n v="0"/>
    <n v="31"/>
    <n v="-0.46211741670185802"/>
    <n v="0"/>
    <n v="0"/>
    <n v="0"/>
    <n v="0"/>
    <n v="0"/>
    <n v="0"/>
    <n v="0"/>
    <n v="-6.0305935084411288E-2"/>
    <n v="0"/>
    <n v="0"/>
    <n v="-6.7184018348598329E-9"/>
    <n v="0"/>
    <n v="0"/>
    <n v="0"/>
    <n v="-9.2680174645920488E-10"/>
    <n v="0"/>
    <n v="-0.34171685104940686"/>
    <m/>
    <n v="0"/>
    <n v="0"/>
    <n v="0"/>
    <n v="0"/>
    <n v="-4.5636720549008247E-2"/>
    <n v="-1.445790237380945E-2"/>
    <n v="0"/>
    <n v="0"/>
    <m/>
    <m/>
    <m/>
    <n v="96.327676310170517"/>
    <n v="0"/>
    <n v="0"/>
    <n v="-59.525099999999995"/>
    <n v="0"/>
    <n v="0"/>
    <n v="0"/>
    <n v="-59.062844825337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7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9.593"/>
    <n v="7.8372000000000002"/>
    <n v="19.593"/>
    <n v="7.8372000000000002"/>
    <m/>
    <n v="739.04"/>
    <n v="252.22"/>
    <m/>
    <n v="19421.757180000001"/>
    <n v="19421.757180000001"/>
    <n v="13283.466210000001"/>
    <n v="0"/>
    <n v="1211.8888977223958"/>
    <n v="0"/>
    <n v="0"/>
    <n v="0"/>
    <n v="2419.688102499932"/>
    <n v="9933.4113786587932"/>
    <n v="4941.8006831760576"/>
    <n v="0"/>
    <n v="0"/>
    <n v="0"/>
    <n v="0"/>
    <n v="0"/>
    <n v="187.32924480209772"/>
    <m/>
    <n v="45.912248278215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1.72370031100581"/>
    <n v="0"/>
    <n v="0"/>
    <n v="0"/>
    <n v="0"/>
    <n v="0"/>
    <m/>
    <m/>
    <m/>
    <m/>
    <m/>
    <m/>
    <n v="8741.1034620000009"/>
    <m/>
    <m/>
    <n v="5623.5243834870635"/>
    <m/>
    <m/>
    <m/>
    <m/>
    <m/>
    <m/>
    <m/>
    <m/>
    <m/>
    <m/>
    <m/>
    <m/>
    <n v="4543.9856"/>
    <n v="-2060.8447000000006"/>
    <m/>
    <m/>
    <m/>
    <m/>
    <n v="-6138.2909699999991"/>
    <n v="0"/>
    <n v="31"/>
    <n v="-47.654034449680694"/>
    <n v="0"/>
    <n v="0"/>
    <n v="0"/>
    <n v="0"/>
    <n v="0"/>
    <n v="0"/>
    <n v="0"/>
    <n v="-6.2188115058356743"/>
    <n v="0"/>
    <n v="0"/>
    <n v="-6.9280849857022986E-7"/>
    <n v="0"/>
    <n v="0"/>
    <n v="0"/>
    <n v="-9.5572772806917783E-8"/>
    <n v="0"/>
    <n v="-35.238201382163425"/>
    <m/>
    <n v="0"/>
    <n v="0"/>
    <n v="0"/>
    <n v="0"/>
    <n v="-4.7061066616669507"/>
    <n v="-1.4909141116318381"/>
    <n v="0"/>
    <n v="0"/>
    <m/>
    <m/>
    <m/>
    <n v="9933.4113786587932"/>
    <n v="0"/>
    <n v="0"/>
    <n v="-6138.2909699999982"/>
    <n v="0"/>
    <n v="0"/>
    <n v="0"/>
    <n v="-6090.6227298043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8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01"/>
    <n v="0.01"/>
    <n v="0.01"/>
    <n v="0.01"/>
    <m/>
    <n v="739.04"/>
    <n v="252.22"/>
    <m/>
    <n v="9.9125999999999994"/>
    <n v="9.9125999999999994"/>
    <n v="6.7797000000000001"/>
    <n v="0"/>
    <n v="0.61853156623406103"/>
    <n v="0"/>
    <n v="0"/>
    <n v="0"/>
    <n v="1.2349758089623499"/>
    <n v="5.0698777005352902"/>
    <n v="2.52222767476959"/>
    <n v="0"/>
    <n v="0"/>
    <n v="0"/>
    <n v="0"/>
    <n v="0"/>
    <n v="9.56102918399927E-2"/>
    <m/>
    <n v="2.34329853918313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4794247961568203"/>
    <n v="0"/>
    <n v="0"/>
    <n v="0"/>
    <n v="0"/>
    <n v="0"/>
    <m/>
    <m/>
    <m/>
    <m/>
    <m/>
    <n v="0.98380000000000001"/>
    <m/>
    <m/>
    <m/>
    <n v="2.870170154385272"/>
    <m/>
    <m/>
    <m/>
    <m/>
    <m/>
    <m/>
    <m/>
    <m/>
    <m/>
    <m/>
    <m/>
    <m/>
    <n v="5.7958999999999996"/>
    <n v="-2.6616"/>
    <m/>
    <m/>
    <m/>
    <m/>
    <n v="-3.1328999999999998"/>
    <n v="0"/>
    <n v="31"/>
    <n v="-2.4321969300096669E-2"/>
    <n v="0"/>
    <n v="0"/>
    <n v="0"/>
    <n v="0"/>
    <n v="0"/>
    <n v="0"/>
    <n v="0"/>
    <n v="-3.1739965833899042E-3"/>
    <n v="0"/>
    <n v="0"/>
    <n v="-3.5359981609417446E-10"/>
    <n v="0"/>
    <n v="0"/>
    <n v="0"/>
    <n v="-4.8779036365687034E-11"/>
    <n v="0"/>
    <n v="-1.7985097423652951E-2"/>
    <m/>
    <n v="0"/>
    <n v="0"/>
    <n v="0"/>
    <n v="0"/>
    <n v="-2.4019326604741015E-3"/>
    <n v="-7.6094223020049812E-4"/>
    <n v="0"/>
    <n v="0"/>
    <m/>
    <m/>
    <m/>
    <n v="5.0698777005352902"/>
    <n v="0"/>
    <n v="0"/>
    <n v="-3.1328999999999994"/>
    <n v="0"/>
    <n v="0"/>
    <n v="0"/>
    <n v="-3.108570780280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89"/>
    <s v="Regular"/>
    <s v="Verde"/>
    <s v="A4"/>
    <s v="Rural"/>
    <s v="Agropecuária rural"/>
    <s v="Não se aplica"/>
    <s v="Não se aplica"/>
    <s v="Ponta"/>
    <s v="CATIVO"/>
    <x v="3"/>
    <n v="0"/>
    <n v="0"/>
    <n v="5.0190000000000001"/>
    <n v="4.8182400000000003"/>
    <n v="5.0190000000000001"/>
    <n v="4.8182400000000003"/>
    <m/>
    <n v="2641.06"/>
    <n v="252.22"/>
    <m/>
    <n v="14521.37232"/>
    <n v="14521.37232"/>
    <n v="8619.329459999999"/>
    <n v="0"/>
    <n v="270.08366399080143"/>
    <n v="0"/>
    <n v="0"/>
    <n v="0"/>
    <n v="3251.1425255164304"/>
    <n v="9596.7814199745044"/>
    <n v="1265.9060699668573"/>
    <n v="0"/>
    <n v="0"/>
    <n v="0"/>
    <n v="0"/>
    <n v="0"/>
    <n v="47.986805474492343"/>
    <m/>
    <n v="12.07524290480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407240346362315"/>
    <n v="0"/>
    <n v="0"/>
    <n v="0"/>
    <n v="0"/>
    <n v="0"/>
    <m/>
    <m/>
    <m/>
    <m/>
    <m/>
    <n v="344.77317839999967"/>
    <m/>
    <m/>
    <m/>
    <n v="1343.3133103132197"/>
    <m/>
    <m/>
    <m/>
    <m/>
    <m/>
    <m/>
    <m/>
    <m/>
    <m/>
    <m/>
    <m/>
    <m/>
    <n v="8277.5787999999993"/>
    <n v="-5662.9686272000017"/>
    <m/>
    <m/>
    <m/>
    <m/>
    <n v="-5902.0428600000005"/>
    <n v="0"/>
    <n v="31"/>
    <n v="-17.806620383391419"/>
    <n v="0"/>
    <n v="0"/>
    <n v="0"/>
    <n v="0"/>
    <n v="0"/>
    <n v="0"/>
    <n v="0"/>
    <n v="-8.3557225924814702"/>
    <n v="0"/>
    <n v="0"/>
    <n v="-1.7747197489370592E-7"/>
    <n v="0"/>
    <n v="0"/>
    <n v="0"/>
    <n v="-1.085209078155458E-8"/>
    <n v="0"/>
    <n v="-7.8532467453302957"/>
    <m/>
    <n v="0"/>
    <n v="0"/>
    <n v="0"/>
    <n v="0"/>
    <n v="-1.2055300022919582"/>
    <n v="-0.3921208549638191"/>
    <n v="0"/>
    <n v="0"/>
    <m/>
    <m/>
    <m/>
    <n v="9596.7814199745044"/>
    <n v="0"/>
    <n v="0"/>
    <n v="-5902.0428600000005"/>
    <n v="0"/>
    <n v="0"/>
    <n v="0"/>
    <n v="-5884.219712780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0"/>
    <s v="Regular"/>
    <s v="Verde"/>
    <s v="A4"/>
    <s v="Rural"/>
    <s v="Agropecuária rural"/>
    <s v="Não se aplica"/>
    <s v="Não se aplica"/>
    <s v="Fora ponta"/>
    <s v="CATIVO"/>
    <x v="3"/>
    <n v="0"/>
    <n v="0"/>
    <n v="47.811999999999998"/>
    <n v="45.899520000000003"/>
    <n v="47.811999999999998"/>
    <n v="45.899520000000003"/>
    <m/>
    <n v="81.2"/>
    <n v="252.22"/>
    <m/>
    <n v="15941.47704"/>
    <n v="15941.47704"/>
    <n v="15851.590479999999"/>
    <n v="0"/>
    <n v="2572.8711182961142"/>
    <n v="0"/>
    <n v="0"/>
    <n v="0"/>
    <n v="0"/>
    <n v="0"/>
    <n v="12059.274958608363"/>
    <n v="0"/>
    <n v="0"/>
    <n v="0"/>
    <n v="0"/>
    <n v="0"/>
    <n v="457.13192734537307"/>
    <m/>
    <n v="115.03118425279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7.39688691776735"/>
    <n v="0"/>
    <n v="0"/>
    <n v="0"/>
    <n v="0"/>
    <n v="0"/>
    <m/>
    <m/>
    <m/>
    <m/>
    <m/>
    <n v="634.06361919999836"/>
    <m/>
    <m/>
    <m/>
    <n v="12796.671845526131"/>
    <m/>
    <m/>
    <m/>
    <m/>
    <m/>
    <m/>
    <m/>
    <m/>
    <m/>
    <m/>
    <m/>
    <m/>
    <n v="15217.685999999998"/>
    <n v="-86.161958400003641"/>
    <m/>
    <m/>
    <m/>
    <m/>
    <n v="-89.886560000000458"/>
    <n v="0"/>
    <n v="31"/>
    <n v="-90.031146678422374"/>
    <n v="0"/>
    <n v="0"/>
    <n v="0"/>
    <n v="0"/>
    <n v="0"/>
    <n v="0"/>
    <n v="0"/>
    <n v="0"/>
    <n v="0"/>
    <n v="0"/>
    <n v="-1.6906324162846431E-6"/>
    <n v="0"/>
    <n v="0"/>
    <n v="0"/>
    <n v="-1.0337907951907255E-7"/>
    <n v="0"/>
    <n v="-74.811602587713423"/>
    <m/>
    <n v="0"/>
    <n v="0"/>
    <n v="0"/>
    <n v="0"/>
    <n v="-11.48412043625882"/>
    <n v="-3.7354218604363467"/>
    <n v="0"/>
    <n v="0"/>
    <m/>
    <m/>
    <m/>
    <n v="0"/>
    <n v="0"/>
    <n v="0"/>
    <n v="-89.886560000000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1"/>
    <s v="Regular"/>
    <s v="Verde"/>
    <s v="A4"/>
    <s v="Rural"/>
    <s v="Agropecuária rural"/>
    <s v="Não se aplica"/>
    <s v="Não se aplica"/>
    <s v="Não se aplica"/>
    <s v="CATIVO"/>
    <x v="3"/>
    <n v="1982"/>
    <n v="1902.72"/>
    <n v="0"/>
    <n v="0"/>
    <n v="0"/>
    <n v="0"/>
    <n v="74.44"/>
    <m/>
    <m/>
    <n v="147540.07999999999"/>
    <m/>
    <n v="147540.07999999999"/>
    <n v="90022.44"/>
    <n v="0"/>
    <n v="0"/>
    <n v="0"/>
    <n v="0"/>
    <n v="0"/>
    <n v="53944.277395355472"/>
    <n v="93593.088185541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9.85"/>
    <n v="25"/>
    <m/>
    <m/>
    <m/>
    <m/>
    <m/>
    <n v="3600.8975999999989"/>
    <m/>
    <m/>
    <m/>
    <n v="0"/>
    <m/>
    <m/>
    <m/>
    <m/>
    <m/>
    <m/>
    <m/>
    <m/>
    <m/>
    <m/>
    <m/>
    <m/>
    <n v="86421.542400000006"/>
    <n v="-55216.964400000026"/>
    <m/>
    <m/>
    <m/>
    <m/>
    <n v="-57517.639999999992"/>
    <n v="0"/>
    <n v="31"/>
    <n v="-138.64154334353225"/>
    <n v="0"/>
    <n v="0"/>
    <n v="0"/>
    <n v="0"/>
    <m/>
    <m/>
    <m/>
    <n v="-138.641543343532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593.088185541201"/>
    <m/>
    <n v="0"/>
    <n v="0"/>
    <n v="-57517.639999999985"/>
    <m/>
    <n v="0"/>
    <m/>
    <n v="-57386.14545654819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192"/>
    <s v="Regular"/>
    <s v="Verde"/>
    <s v="A4"/>
    <s v="Rural"/>
    <s v="Agropecuária rural"/>
    <s v="IRRIG./AQUIC. PR"/>
    <s v="Não se aplica"/>
    <s v="Fora ponta"/>
    <s v="CATIVO"/>
    <x v="3"/>
    <n v="0"/>
    <n v="0"/>
    <n v="33.917999999999999"/>
    <n v="10.1754"/>
    <n v="33.917999999999999"/>
    <n v="10.1754"/>
    <m/>
    <n v="81.2"/>
    <n v="252.22"/>
    <m/>
    <n v="11308.939559999999"/>
    <n v="11308.939559999999"/>
    <n v="11245.173719999999"/>
    <n v="0"/>
    <n v="1825.2037687268385"/>
    <n v="0"/>
    <n v="0"/>
    <n v="0"/>
    <n v="0"/>
    <n v="0"/>
    <n v="8554.8918272834962"/>
    <n v="0"/>
    <n v="0"/>
    <n v="0"/>
    <n v="0"/>
    <n v="0"/>
    <n v="324.29098786288728"/>
    <m/>
    <n v="81.603524376437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.11193027852494"/>
    <n v="0"/>
    <n v="0"/>
    <n v="0"/>
    <n v="0"/>
    <n v="0"/>
    <m/>
    <m/>
    <m/>
    <m/>
    <m/>
    <m/>
    <n v="7871.6216039999999"/>
    <m/>
    <m/>
    <n v="9078.0037575620208"/>
    <m/>
    <m/>
    <m/>
    <m/>
    <m/>
    <m/>
    <m/>
    <m/>
    <m/>
    <m/>
    <m/>
    <m/>
    <n v="3375.0771999999997"/>
    <n v="-17.634668000000147"/>
    <m/>
    <m/>
    <m/>
    <m/>
    <n v="-63.765840000000324"/>
    <n v="0"/>
    <n v="31"/>
    <n v="-63.86841029529387"/>
    <n v="0"/>
    <n v="0"/>
    <n v="0"/>
    <n v="0"/>
    <n v="0"/>
    <n v="0"/>
    <n v="0"/>
    <n v="0"/>
    <n v="0"/>
    <n v="0"/>
    <n v="-1.1993415682809427E-6"/>
    <n v="0"/>
    <n v="0"/>
    <n v="0"/>
    <n v="-7.3337446337973233E-8"/>
    <n v="0"/>
    <n v="-53.071612494145029"/>
    <m/>
    <n v="0"/>
    <n v="0"/>
    <n v="0"/>
    <n v="0"/>
    <n v="-8.1468751977961347"/>
    <n v="-2.6499213306759941"/>
    <n v="0"/>
    <n v="0"/>
    <m/>
    <m/>
    <m/>
    <n v="0"/>
    <n v="0"/>
    <n v="0"/>
    <n v="-63.765840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3"/>
    <s v="Regular"/>
    <s v="Convencional"/>
    <s v="B1"/>
    <s v="Residencial"/>
    <s v="Residencial"/>
    <s v="Não se aplica"/>
    <s v="Não se aplica"/>
    <s v="Não se aplica"/>
    <s v="CATIVO"/>
    <x v="4"/>
    <n v="0"/>
    <n v="0"/>
    <n v="1114.566"/>
    <n v="1114.566"/>
    <n v="1114.566"/>
    <n v="1114.566"/>
    <m/>
    <n v="739.04"/>
    <n v="252.22"/>
    <m/>
    <n v="1104824.69316"/>
    <n v="1104824.69316"/>
    <n v="755642.31102000002"/>
    <n v="0"/>
    <n v="68939.425365123243"/>
    <n v="0"/>
    <n v="0"/>
    <n v="0"/>
    <n v="137646.20474919304"/>
    <n v="565071.33091748168"/>
    <n v="281118.92105572432"/>
    <n v="0"/>
    <n v="0"/>
    <n v="0"/>
    <n v="0"/>
    <n v="0"/>
    <n v="10656.398053493331"/>
    <m/>
    <n v="2611.7608796231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80.485773533226"/>
    <n v="0"/>
    <n v="0"/>
    <n v="0"/>
    <n v="376447.84"/>
    <n v="8243"/>
    <m/>
    <m/>
    <m/>
    <m/>
    <m/>
    <m/>
    <m/>
    <m/>
    <m/>
    <n v="319899.40682925755"/>
    <m/>
    <m/>
    <m/>
    <m/>
    <m/>
    <m/>
    <m/>
    <m/>
    <m/>
    <m/>
    <m/>
    <m/>
    <n v="755645.02289999998"/>
    <n v="-349179.70026000007"/>
    <m/>
    <m/>
    <m/>
    <m/>
    <n v="-349182.38213999994"/>
    <n v="0"/>
    <n v="30"/>
    <n v="-2710.8440034933155"/>
    <n v="0"/>
    <n v="0"/>
    <n v="0"/>
    <n v="0"/>
    <n v="0"/>
    <n v="0"/>
    <n v="0"/>
    <n v="-353.76286759626237"/>
    <n v="0"/>
    <n v="0"/>
    <n v="-3.9411068428307772E-5"/>
    <n v="0"/>
    <n v="0"/>
    <n v="0"/>
    <n v="-5.4367483244277537E-6"/>
    <n v="0"/>
    <n v="-2004.5578095091187"/>
    <m/>
    <n v="0"/>
    <n v="0"/>
    <n v="0"/>
    <n v="0"/>
    <n v="-267.71124776539909"/>
    <n v="-84.812033774564497"/>
    <n v="0"/>
    <n v="0"/>
    <m/>
    <m/>
    <m/>
    <n v="565071.33091748168"/>
    <n v="0"/>
    <n v="0"/>
    <n v="-349182.38214"/>
    <n v="0"/>
    <n v="0"/>
    <n v="0"/>
    <n v="-346470.7300294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4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51500000000000001"/>
    <n v="-0.51500000000000001"/>
    <n v="-0.51500000000000001"/>
    <n v="-0.51500000000000001"/>
    <m/>
    <n v="739.04"/>
    <n v="252.22"/>
    <m/>
    <n v="-510.49889999999999"/>
    <n v="-510.49889999999999"/>
    <n v="-349.15455000000003"/>
    <n v="0"/>
    <n v="-31.854375661054142"/>
    <n v="0"/>
    <n v="0"/>
    <n v="0"/>
    <n v="-63.601254161561023"/>
    <n v="-261.09870157756745"/>
    <n v="-129.89472525063388"/>
    <n v="0"/>
    <n v="0"/>
    <n v="0"/>
    <n v="0"/>
    <n v="0"/>
    <n v="-4.9239300297596245"/>
    <m/>
    <n v="-1.2067987476793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919037700207625"/>
    <n v="0"/>
    <n v="0"/>
    <n v="0"/>
    <n v="-187.91"/>
    <n v="0"/>
    <m/>
    <m/>
    <m/>
    <m/>
    <m/>
    <m/>
    <m/>
    <m/>
    <m/>
    <n v="-147.81376295084152"/>
    <m/>
    <m/>
    <m/>
    <m/>
    <m/>
    <m/>
    <m/>
    <m/>
    <m/>
    <m/>
    <m/>
    <m/>
    <n v="-352.5444"/>
    <n v="157.92450000000002"/>
    <m/>
    <m/>
    <m/>
    <m/>
    <n v="161.34434999999999"/>
    <n v="0"/>
    <n v="30"/>
    <n v="1.2525814189549749"/>
    <n v="0"/>
    <n v="0"/>
    <n v="0"/>
    <n v="0"/>
    <n v="0"/>
    <n v="0"/>
    <n v="0"/>
    <n v="0.16346082404458429"/>
    <n v="0"/>
    <n v="0"/>
    <n v="1.8210386087957886E-8"/>
    <n v="0"/>
    <n v="0"/>
    <n v="0"/>
    <n v="2.5121202895661554E-9"/>
    <n v="0"/>
    <n v="0.92623251731812672"/>
    <m/>
    <n v="0"/>
    <n v="0"/>
    <n v="0"/>
    <n v="0"/>
    <n v="0.12369953201441675"/>
    <n v="3.9188524855325646E-2"/>
    <n v="0"/>
    <n v="0"/>
    <m/>
    <m/>
    <m/>
    <n v="-261.09870157756745"/>
    <n v="0"/>
    <n v="0"/>
    <n v="161.34434999999996"/>
    <n v="0"/>
    <n v="0"/>
    <n v="0"/>
    <n v="160.0913951844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5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5.38"/>
    <n v="25.38"/>
    <n v="25.38"/>
    <n v="25.38"/>
    <m/>
    <n v="739.04"/>
    <n v="252.22"/>
    <m/>
    <n v="25158.178799999998"/>
    <n v="25158.178799999998"/>
    <n v="17206.8786"/>
    <n v="0"/>
    <n v="1569.8331151020468"/>
    <n v="0"/>
    <n v="0"/>
    <n v="0"/>
    <n v="3134.368603146444"/>
    <n v="12867.349603958566"/>
    <n v="6401.4138385652195"/>
    <n v="0"/>
    <n v="0"/>
    <n v="0"/>
    <n v="0"/>
    <n v="0"/>
    <n v="242.65892068990146"/>
    <m/>
    <n v="59.472916924468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3.07801326460094"/>
    <n v="0"/>
    <n v="0"/>
    <n v="0"/>
    <n v="31576.69"/>
    <n v="496"/>
    <m/>
    <m/>
    <m/>
    <m/>
    <m/>
    <m/>
    <m/>
    <m/>
    <m/>
    <n v="7284.49185182982"/>
    <m/>
    <m/>
    <m/>
    <m/>
    <m/>
    <m/>
    <m/>
    <m/>
    <m/>
    <m/>
    <m/>
    <m/>
    <n v="17206.8786"/>
    <n v="-7951.3301999999931"/>
    <m/>
    <m/>
    <m/>
    <m/>
    <n v="-7951.3001999999988"/>
    <n v="0"/>
    <n v="30"/>
    <n v="-61.729158083646325"/>
    <n v="0"/>
    <n v="0"/>
    <n v="0"/>
    <n v="0"/>
    <n v="0"/>
    <n v="0"/>
    <n v="0"/>
    <n v="-8.0556033286438833"/>
    <n v="0"/>
    <n v="0"/>
    <n v="-8.9743753051152453E-7"/>
    <n v="0"/>
    <n v="0"/>
    <n v="0"/>
    <n v="-1.2380121461319504E-7"/>
    <n v="0"/>
    <n v="-45.646177261231287"/>
    <m/>
    <n v="0"/>
    <n v="0"/>
    <n v="0"/>
    <n v="0"/>
    <n v="-6.0961050922832953"/>
    <n v="-1.9312713802488659"/>
    <n v="0"/>
    <n v="0"/>
    <m/>
    <m/>
    <m/>
    <n v="12867.349603958566"/>
    <n v="0"/>
    <n v="0"/>
    <n v="-7951.3001999999979"/>
    <n v="0"/>
    <n v="0"/>
    <n v="0"/>
    <n v="-7889.552640352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6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8.73"/>
    <n v="8.73"/>
    <n v="8.73"/>
    <n v="8.73"/>
    <m/>
    <n v="667.62"/>
    <n v="252.22"/>
    <m/>
    <n v="8030.2031999999999"/>
    <n v="8030.2031999999999"/>
    <n v="5312.9907000000003"/>
    <n v="0"/>
    <n v="0"/>
    <n v="0"/>
    <n v="0"/>
    <n v="0"/>
    <n v="1078.1338812241315"/>
    <n v="4426.0032325673083"/>
    <n v="2201.9047600738522"/>
    <n v="0"/>
    <n v="0"/>
    <n v="0"/>
    <n v="0"/>
    <n v="0"/>
    <n v="0"/>
    <m/>
    <n v="20.456996247068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75378470449044"/>
    <n v="0"/>
    <n v="0"/>
    <n v="0"/>
    <n v="725.93"/>
    <n v="14"/>
    <m/>
    <m/>
    <m/>
    <m/>
    <m/>
    <m/>
    <m/>
    <n v="3453.4134000000004"/>
    <m/>
    <n v="2505.6585447783427"/>
    <m/>
    <m/>
    <m/>
    <m/>
    <m/>
    <m/>
    <m/>
    <m/>
    <m/>
    <m/>
    <m/>
    <m/>
    <n v="1859.5773000000002"/>
    <n v="-951.0762000000002"/>
    <m/>
    <m/>
    <m/>
    <m/>
    <n v="-2717.2125000000001"/>
    <n v="0"/>
    <n v="30"/>
    <n v="-3.4352019355419543"/>
    <n v="0"/>
    <n v="0"/>
    <n v="0"/>
    <n v="0"/>
    <n v="0"/>
    <n v="0"/>
    <n v="0"/>
    <n v="-2.7708990172993708"/>
    <n v="0"/>
    <n v="0"/>
    <n v="-3.0869296097080223E-7"/>
    <n v="0"/>
    <n v="0"/>
    <n v="0"/>
    <n v="-4.2584133552736603E-8"/>
    <n v="0"/>
    <n v="0"/>
    <m/>
    <n v="0"/>
    <n v="0"/>
    <n v="0"/>
    <n v="0"/>
    <n v="0"/>
    <n v="-0.6643025669650342"/>
    <n v="0"/>
    <n v="0"/>
    <m/>
    <m/>
    <m/>
    <n v="4426.0032325673083"/>
    <n v="0"/>
    <n v="0"/>
    <n v="-2717.2125000000001"/>
    <n v="0"/>
    <n v="0"/>
    <n v="0"/>
    <n v="-2713.782291185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7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06"/>
    <n v="-9.6000000000000002E-2"/>
    <n v="0.06"/>
    <n v="-9.6000000000000002E-2"/>
    <m/>
    <n v="667.62"/>
    <n v="252.22"/>
    <m/>
    <n v="55.190399999999997"/>
    <n v="55.190399999999997"/>
    <n v="36.5154"/>
    <n v="0"/>
    <n v="0"/>
    <n v="0"/>
    <n v="0"/>
    <n v="0"/>
    <n v="7.4098548537740996"/>
    <n v="30.419266203211738"/>
    <n v="15.133366048617539"/>
    <n v="0"/>
    <n v="0"/>
    <n v="0"/>
    <n v="0"/>
    <n v="0"/>
    <n v="0"/>
    <m/>
    <n v="0.14059791235098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76548776940922"/>
    <n v="0"/>
    <n v="0"/>
    <n v="0"/>
    <n v="8.66"/>
    <n v="0"/>
    <m/>
    <m/>
    <m/>
    <m/>
    <m/>
    <m/>
    <m/>
    <n v="56.964359999999999"/>
    <m/>
    <n v="17.221020926311631"/>
    <m/>
    <m/>
    <m/>
    <m/>
    <m/>
    <m/>
    <m/>
    <m/>
    <m/>
    <m/>
    <m/>
    <m/>
    <n v="-21.301000000000002"/>
    <n v="9.5761999999999965"/>
    <m/>
    <m/>
    <m/>
    <m/>
    <n v="-18.675000000000001"/>
    <n v="0"/>
    <n v="30"/>
    <n v="-2.3609635295816389E-2"/>
    <n v="0"/>
    <n v="0"/>
    <n v="0"/>
    <n v="0"/>
    <n v="0"/>
    <n v="0"/>
    <n v="0"/>
    <n v="-1.9043979500340313E-2"/>
    <n v="0"/>
    <n v="0"/>
    <n v="-2.1216006729218861E-9"/>
    <n v="0"/>
    <n v="0"/>
    <n v="0"/>
    <n v="-2.9267432921642467E-10"/>
    <n v="0"/>
    <n v="0"/>
    <m/>
    <n v="0"/>
    <n v="0"/>
    <n v="0"/>
    <n v="0"/>
    <n v="0"/>
    <n v="-4.5656533812029887E-3"/>
    <n v="0"/>
    <n v="0"/>
    <m/>
    <m/>
    <m/>
    <n v="30.419266203211738"/>
    <n v="0"/>
    <n v="0"/>
    <n v="-18.675000000000001"/>
    <n v="0"/>
    <n v="0"/>
    <n v="0"/>
    <n v="-18.65142468168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8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6.474"/>
    <n v="16.474"/>
    <n v="16.474"/>
    <n v="16.474"/>
    <m/>
    <n v="667.62"/>
    <n v="252.22"/>
    <m/>
    <n v="15153.444160000001"/>
    <n v="15153.444160000001"/>
    <n v="10025.911660000002"/>
    <n v="0"/>
    <n v="0"/>
    <n v="0"/>
    <n v="0"/>
    <n v="0"/>
    <n v="2034.4991476845753"/>
    <n v="8352.1165238618378"/>
    <n v="4155.117871415423"/>
    <n v="0"/>
    <n v="0"/>
    <n v="0"/>
    <n v="0"/>
    <n v="0"/>
    <n v="0"/>
    <m/>
    <n v="38.603500134503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.20044091887462"/>
    <n v="0"/>
    <n v="0"/>
    <n v="0"/>
    <n v="2621.11"/>
    <n v="97"/>
    <m/>
    <m/>
    <m/>
    <m/>
    <m/>
    <m/>
    <m/>
    <n v="4010.4305599999998"/>
    <m/>
    <n v="4728.3183123342978"/>
    <m/>
    <m/>
    <m/>
    <m/>
    <m/>
    <m/>
    <m/>
    <m/>
    <m/>
    <m/>
    <m/>
    <m/>
    <n v="6014.0204999999996"/>
    <n v="-3078.0101000000004"/>
    <m/>
    <m/>
    <m/>
    <m/>
    <n v="-5127.5325000000003"/>
    <n v="0"/>
    <n v="30"/>
    <n v="-6.4824188643897287"/>
    <n v="0"/>
    <n v="0"/>
    <n v="0"/>
    <n v="0"/>
    <n v="0"/>
    <n v="0"/>
    <n v="0"/>
    <n v="-5.2288419714766405"/>
    <n v="0"/>
    <n v="0"/>
    <n v="-5.8252135204384103E-7"/>
    <n v="0"/>
    <n v="0"/>
    <n v="0"/>
    <n v="-8.0358631748822518E-8"/>
    <n v="0"/>
    <n v="0"/>
    <m/>
    <n v="0"/>
    <n v="0"/>
    <n v="0"/>
    <n v="0"/>
    <n v="0"/>
    <n v="-1.2535762300323015"/>
    <n v="0"/>
    <n v="0"/>
    <m/>
    <m/>
    <m/>
    <n v="8352.1165238618378"/>
    <n v="0"/>
    <n v="0"/>
    <n v="-5127.5325000000003"/>
    <n v="0"/>
    <n v="0"/>
    <n v="0"/>
    <n v="-5121.059503434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199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.2E-2"/>
    <n v="-7.1999999999999998E-3"/>
    <n v="1.2E-2"/>
    <n v="-7.1999999999999998E-3"/>
    <m/>
    <n v="667.62"/>
    <n v="252.22"/>
    <m/>
    <n v="11.038080000000001"/>
    <n v="11.038080000000001"/>
    <n v="7.3030799999999996"/>
    <n v="0"/>
    <n v="0"/>
    <n v="0"/>
    <n v="0"/>
    <n v="0"/>
    <n v="1.4819709707548199"/>
    <n v="6.0838532406423482"/>
    <n v="3.0266732097235081"/>
    <n v="0"/>
    <n v="0"/>
    <n v="0"/>
    <n v="0"/>
    <n v="0"/>
    <n v="0"/>
    <m/>
    <n v="2.811958247019767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1753097553881846"/>
    <n v="0"/>
    <n v="0"/>
    <n v="0"/>
    <n v="25.27"/>
    <n v="0"/>
    <m/>
    <m/>
    <m/>
    <m/>
    <m/>
    <m/>
    <m/>
    <n v="9.9321600000000014"/>
    <m/>
    <n v="3.4442041852623264"/>
    <m/>
    <m/>
    <m/>
    <m/>
    <m/>
    <m/>
    <m/>
    <m/>
    <m/>
    <m/>
    <m/>
    <m/>
    <n v="-3.6515"/>
    <n v="0.29218000000000055"/>
    <m/>
    <m/>
    <m/>
    <m/>
    <n v="-3.7349999999999999"/>
    <n v="0"/>
    <n v="30"/>
    <n v="-4.7219270591627449E-3"/>
    <n v="0"/>
    <n v="0"/>
    <n v="0"/>
    <n v="0"/>
    <n v="0"/>
    <n v="0"/>
    <n v="0"/>
    <n v="-3.808795900067885E-3"/>
    <n v="0"/>
    <n v="0"/>
    <n v="-4.2432013458437723E-10"/>
    <n v="0"/>
    <n v="0"/>
    <n v="0"/>
    <n v="-5.8534843638824441E-11"/>
    <n v="0"/>
    <n v="0"/>
    <m/>
    <n v="0"/>
    <n v="0"/>
    <n v="0"/>
    <n v="0"/>
    <n v="0"/>
    <n v="-9.1313067624059635E-4"/>
    <n v="0"/>
    <n v="0"/>
    <m/>
    <m/>
    <m/>
    <n v="6.0838532406423482"/>
    <n v="0"/>
    <n v="0"/>
    <n v="-3.7350000000000003"/>
    <n v="0"/>
    <n v="0"/>
    <n v="0"/>
    <n v="-3.730284936337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2.676"/>
    <n v="12.676"/>
    <n v="12.676"/>
    <n v="12.676"/>
    <m/>
    <n v="667.62"/>
    <n v="252.22"/>
    <m/>
    <n v="11659.89184"/>
    <n v="11659.89184"/>
    <n v="7714.4868399999996"/>
    <n v="0"/>
    <n v="0"/>
    <n v="0"/>
    <n v="0"/>
    <n v="0"/>
    <n v="1565.4553354406748"/>
    <n v="6426.5769731985338"/>
    <n v="3197.1758005379324"/>
    <n v="0"/>
    <n v="0"/>
    <n v="0"/>
    <n v="0"/>
    <n v="0"/>
    <n v="0"/>
    <m/>
    <n v="29.703652282685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1.05188716083853"/>
    <n v="0"/>
    <n v="0"/>
    <n v="0"/>
    <n v="3309.46"/>
    <n v="130"/>
    <m/>
    <m/>
    <m/>
    <m/>
    <m/>
    <m/>
    <m/>
    <n v="771.33459999999991"/>
    <m/>
    <n v="3638.2276876987708"/>
    <m/>
    <m/>
    <m/>
    <m/>
    <m/>
    <m/>
    <m/>
    <m/>
    <m/>
    <m/>
    <m/>
    <m/>
    <n v="6945.3432000000003"/>
    <n v="-3548.6401599999999"/>
    <m/>
    <m/>
    <m/>
    <m/>
    <n v="-3945.4050000000002"/>
    <n v="0"/>
    <n v="30"/>
    <n v="-4.9879289501623134"/>
    <n v="0"/>
    <n v="0"/>
    <n v="0"/>
    <n v="0"/>
    <n v="0"/>
    <n v="0"/>
    <n v="0"/>
    <n v="-4.0233580691051429"/>
    <n v="0"/>
    <n v="0"/>
    <n v="-4.482235453906469E-7"/>
    <n v="0"/>
    <n v="0"/>
    <n v="0"/>
    <n v="-6.183228151712683E-8"/>
    <n v="0"/>
    <n v="0"/>
    <m/>
    <n v="0"/>
    <n v="0"/>
    <n v="0"/>
    <n v="0"/>
    <n v="0"/>
    <n v="-0.96457037100215359"/>
    <n v="0"/>
    <n v="0"/>
    <m/>
    <m/>
    <m/>
    <n v="6426.5769731985338"/>
    <n v="0"/>
    <n v="0"/>
    <n v="-3945.4050000000007"/>
    <n v="0"/>
    <n v="0"/>
    <n v="0"/>
    <n v="-3940.4243210840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1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0.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.5609999999999999"/>
    <n v="3.5609999999999999"/>
    <n v="3.5609999999999999"/>
    <n v="3.5609999999999999"/>
    <m/>
    <n v="667.62"/>
    <n v="252.22"/>
    <m/>
    <n v="3275.55024"/>
    <n v="3275.55024"/>
    <n v="2167.1889900000001"/>
    <n v="0"/>
    <n v="0"/>
    <n v="0"/>
    <n v="0"/>
    <n v="0"/>
    <n v="439.7748855714928"/>
    <n v="1805.3834491606167"/>
    <n v="898.16527498545099"/>
    <n v="0"/>
    <n v="0"/>
    <n v="0"/>
    <n v="0"/>
    <n v="0"/>
    <n v="0"/>
    <m/>
    <n v="8.3444860980311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90231699114437"/>
    <n v="0"/>
    <n v="0"/>
    <n v="0"/>
    <n v="1195.74"/>
    <n v="50"/>
    <m/>
    <m/>
    <m/>
    <m/>
    <m/>
    <m/>
    <m/>
    <m/>
    <m/>
    <n v="1022.0675919765954"/>
    <m/>
    <m/>
    <m/>
    <m/>
    <m/>
    <m/>
    <m/>
    <m/>
    <m/>
    <m/>
    <m/>
    <m/>
    <n v="2166.5803999999998"/>
    <n v="-1108.9998400000009"/>
    <m/>
    <m/>
    <m/>
    <m/>
    <n v="-1108.3612499999999"/>
    <n v="0"/>
    <n v="30"/>
    <n v="-1.4012318548068379"/>
    <n v="0"/>
    <n v="0"/>
    <n v="0"/>
    <n v="0"/>
    <n v="0"/>
    <n v="0"/>
    <n v="0"/>
    <n v="-1.1302601833451718"/>
    <n v="0"/>
    <n v="0"/>
    <n v="-1.2591704035003204E-7"/>
    <n v="0"/>
    <n v="0"/>
    <n v="0"/>
    <n v="-1.7370226146340428E-8"/>
    <n v="0"/>
    <n v="0"/>
    <m/>
    <n v="0"/>
    <n v="0"/>
    <n v="0"/>
    <n v="0"/>
    <n v="0"/>
    <n v="-0.27097152817439607"/>
    <n v="0"/>
    <n v="0"/>
    <m/>
    <m/>
    <m/>
    <n v="1805.3834491606167"/>
    <n v="0"/>
    <n v="0"/>
    <n v="-1108.3612499999999"/>
    <n v="0"/>
    <n v="0"/>
    <n v="0"/>
    <n v="-1106.962054858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3"/>
    <s v="Sistema de Compensação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4.2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04"/>
    <s v="Regular"/>
    <s v="Convencional"/>
    <s v="B3"/>
    <s v="Industrial"/>
    <s v="Não se aplica"/>
    <s v="Não se aplica"/>
    <s v="Não se aplica"/>
    <s v="Não se aplica"/>
    <s v="CATIVO"/>
    <x v="4"/>
    <n v="0"/>
    <n v="0"/>
    <n v="53.191000000000003"/>
    <n v="53.191000000000003"/>
    <n v="53.191000000000003"/>
    <n v="53.191000000000003"/>
    <m/>
    <n v="739.04"/>
    <n v="252.22"/>
    <m/>
    <n v="52726.110659999998"/>
    <n v="52726.110659999998"/>
    <n v="36061.902269999999"/>
    <n v="0"/>
    <n v="3290.0312539555939"/>
    <n v="0"/>
    <n v="0"/>
    <n v="0"/>
    <n v="6568.9598254516359"/>
    <n v="26967.186476917261"/>
    <n v="13415.981224866928"/>
    <n v="0"/>
    <n v="0"/>
    <n v="0"/>
    <n v="0"/>
    <n v="0"/>
    <n v="508.56070332610523"/>
    <m/>
    <n v="124.64239259769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0.7408433237745"/>
    <n v="0"/>
    <n v="0"/>
    <n v="0"/>
    <n v="9251.5400000000009"/>
    <n v="16"/>
    <m/>
    <m/>
    <m/>
    <m/>
    <m/>
    <m/>
    <m/>
    <m/>
    <m/>
    <n v="15266.722068190702"/>
    <m/>
    <m/>
    <m/>
    <m/>
    <m/>
    <m/>
    <m/>
    <m/>
    <m/>
    <m/>
    <m/>
    <m/>
    <n v="36061.224300000002"/>
    <n v="-16664.916360000003"/>
    <m/>
    <m/>
    <m/>
    <m/>
    <n v="-16664.20839"/>
    <n v="0"/>
    <n v="30"/>
    <n v="-129.37098690414132"/>
    <n v="0"/>
    <n v="0"/>
    <n v="0"/>
    <n v="0"/>
    <n v="0"/>
    <n v="0"/>
    <n v="0"/>
    <n v="-16.882805226709934"/>
    <n v="0"/>
    <n v="0"/>
    <n v="-1.8808350432664156E-6"/>
    <n v="0"/>
    <n v="0"/>
    <n v="0"/>
    <n v="-2.5946064852178097E-7"/>
    <n v="0"/>
    <n v="-95.664531706152502"/>
    <m/>
    <n v="0"/>
    <n v="0"/>
    <n v="0"/>
    <n v="0"/>
    <n v="-12.776120014327887"/>
    <n v="-4.0475278166594677"/>
    <n v="0"/>
    <n v="0"/>
    <m/>
    <m/>
    <m/>
    <n v="26967.186476917261"/>
    <n v="0"/>
    <n v="0"/>
    <n v="-16664.208389999996"/>
    <n v="0"/>
    <n v="0"/>
    <n v="0"/>
    <n v="-16534.79883739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5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5.13"/>
    <n v="15.13"/>
    <n v="15.13"/>
    <n v="15.13"/>
    <m/>
    <n v="739.04"/>
    <n v="252.22"/>
    <m/>
    <n v="14997.763800000001"/>
    <n v="14997.763800000001"/>
    <n v="10257.686100000001"/>
    <n v="0"/>
    <n v="935.83825971213435"/>
    <n v="0"/>
    <n v="0"/>
    <n v="0"/>
    <n v="1868.5183989600355"/>
    <n v="7670.7249609098944"/>
    <n v="3816.1304719263899"/>
    <n v="0"/>
    <n v="0"/>
    <n v="0"/>
    <n v="0"/>
    <n v="0"/>
    <n v="144.65837155390898"/>
    <m/>
    <n v="35.454106897840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43697165852689"/>
    <n v="0"/>
    <n v="0"/>
    <n v="0"/>
    <n v="4009.88"/>
    <n v="12"/>
    <m/>
    <m/>
    <m/>
    <m/>
    <m/>
    <m/>
    <m/>
    <m/>
    <m/>
    <n v="4342.5674435849169"/>
    <m/>
    <m/>
    <m/>
    <m/>
    <m/>
    <m/>
    <m/>
    <m/>
    <m/>
    <m/>
    <m/>
    <m/>
    <n v="10257.686100000001"/>
    <n v="-4740.1077000000005"/>
    <m/>
    <m/>
    <m/>
    <m/>
    <n v="-4740.0776999999998"/>
    <n v="0"/>
    <n v="30"/>
    <n v="-36.799139551047119"/>
    <n v="0"/>
    <n v="0"/>
    <n v="0"/>
    <n v="0"/>
    <n v="0"/>
    <n v="0"/>
    <n v="0"/>
    <n v="-4.8022568306689664"/>
    <n v="0"/>
    <n v="0"/>
    <n v="-5.3499707064474933E-7"/>
    <n v="0"/>
    <n v="0"/>
    <n v="0"/>
    <n v="-7.3802652877930086E-8"/>
    <n v="0"/>
    <n v="-27.211452401987003"/>
    <m/>
    <n v="0"/>
    <n v="0"/>
    <n v="0"/>
    <n v="0"/>
    <n v="-3.6341241152973396"/>
    <n v="-1.1513055942933548"/>
    <n v="0"/>
    <n v="0"/>
    <m/>
    <m/>
    <m/>
    <n v="7670.7249609098944"/>
    <n v="0"/>
    <n v="0"/>
    <n v="-4740.0776999999989"/>
    <n v="0"/>
    <n v="0"/>
    <n v="0"/>
    <n v="-4703.267590565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6"/>
    <s v="Regular"/>
    <s v="Verde"/>
    <s v="A4"/>
    <s v="Industrial"/>
    <s v="Não se aplica"/>
    <s v="Não se aplica"/>
    <s v="Não se aplica"/>
    <s v="Ponta"/>
    <s v="CATIVO"/>
    <x v="4"/>
    <n v="0"/>
    <n v="0"/>
    <n v="24.431000000000001"/>
    <n v="24.431000000000001"/>
    <n v="24.431000000000001"/>
    <n v="24.431000000000001"/>
    <m/>
    <n v="2641.06"/>
    <n v="252.22"/>
    <m/>
    <n v="70685.72368000001"/>
    <n v="70685.72368000001"/>
    <n v="41956.33354"/>
    <n v="0"/>
    <n v="1314.686988435798"/>
    <n v="0"/>
    <n v="0"/>
    <n v="0"/>
    <n v="15825.5953458641"/>
    <n v="46714.279113647564"/>
    <n v="6162.0544322295855"/>
    <n v="0"/>
    <n v="0"/>
    <n v="0"/>
    <n v="0"/>
    <n v="0"/>
    <n v="233.5855039942862"/>
    <m/>
    <n v="58.778692848657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9543512691322"/>
    <n v="0"/>
    <n v="0"/>
    <n v="0"/>
    <n v="0"/>
    <n v="0"/>
    <m/>
    <m/>
    <m/>
    <m/>
    <m/>
    <m/>
    <m/>
    <m/>
    <m/>
    <n v="6538.8498673564991"/>
    <m/>
    <m/>
    <m/>
    <m/>
    <m/>
    <m/>
    <m/>
    <m/>
    <m/>
    <m/>
    <m/>
    <m/>
    <n v="41954.616199999989"/>
    <n v="-28731.137480000019"/>
    <m/>
    <m/>
    <m/>
    <m/>
    <n v="-28729.390140000003"/>
    <n v="0"/>
    <n v="30"/>
    <n v="-86.67733464567209"/>
    <n v="0"/>
    <n v="0"/>
    <n v="0"/>
    <n v="0"/>
    <n v="0"/>
    <n v="0"/>
    <n v="0"/>
    <n v="-40.673173671431869"/>
    <n v="0"/>
    <n v="0"/>
    <n v="-8.638799045002088E-7"/>
    <n v="0"/>
    <n v="0"/>
    <n v="0"/>
    <n v="-5.2824645990767749E-8"/>
    <n v="0"/>
    <n v="-38.227270618682041"/>
    <m/>
    <n v="0"/>
    <n v="0"/>
    <n v="0"/>
    <n v="0"/>
    <n v="-5.8681616828043275"/>
    <n v="-1.9087277560512135"/>
    <n v="0"/>
    <n v="0"/>
    <m/>
    <m/>
    <m/>
    <n v="46714.279113647564"/>
    <n v="0"/>
    <n v="0"/>
    <n v="-28729.390140000003"/>
    <n v="0"/>
    <n v="0"/>
    <n v="0"/>
    <n v="-28642.63235762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7"/>
    <s v="Regular"/>
    <s v="Verde"/>
    <s v="A4"/>
    <s v="Industrial"/>
    <s v="Não se aplica"/>
    <s v="Não se aplica"/>
    <s v="Não se aplica"/>
    <s v="Fora ponta"/>
    <s v="CATIVO"/>
    <x v="4"/>
    <n v="0"/>
    <n v="0"/>
    <n v="433.82400000000001"/>
    <n v="433.82400000000001"/>
    <n v="433.82400000000001"/>
    <n v="433.82400000000001"/>
    <m/>
    <n v="81.2"/>
    <n v="252.22"/>
    <m/>
    <n v="144645.59808"/>
    <n v="144645.59808"/>
    <n v="143830.00896000001"/>
    <n v="0"/>
    <n v="23345.043922523499"/>
    <n v="0"/>
    <n v="0"/>
    <n v="0"/>
    <n v="0"/>
    <n v="0"/>
    <n v="109420.28987792427"/>
    <n v="0"/>
    <n v="0"/>
    <n v="0"/>
    <n v="0"/>
    <n v="0"/>
    <n v="4147.8039247193001"/>
    <m/>
    <n v="1043.7398242550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0.7986921737956"/>
    <n v="0"/>
    <n v="0"/>
    <n v="0"/>
    <n v="0"/>
    <n v="0"/>
    <m/>
    <m/>
    <m/>
    <m/>
    <m/>
    <m/>
    <m/>
    <m/>
    <m/>
    <n v="116111.08857009806"/>
    <m/>
    <m/>
    <m/>
    <m/>
    <m/>
    <m/>
    <m/>
    <m/>
    <m/>
    <m/>
    <m/>
    <m/>
    <n v="143828.68279999998"/>
    <n v="-816.94528000004357"/>
    <m/>
    <m/>
    <m/>
    <m/>
    <n v="-815.58912000000419"/>
    <n v="0"/>
    <n v="30"/>
    <n v="-816.90103272441775"/>
    <n v="0"/>
    <n v="0"/>
    <n v="0"/>
    <n v="0"/>
    <n v="0"/>
    <n v="0"/>
    <n v="0"/>
    <n v="0"/>
    <n v="0"/>
    <n v="0"/>
    <n v="-1.5340017853304744E-5"/>
    <n v="0"/>
    <n v="0"/>
    <n v="0"/>
    <n v="-9.3801372713642195E-7"/>
    <n v="0"/>
    <n v="-678.80592071053616"/>
    <m/>
    <n v="0"/>
    <n v="0"/>
    <n v="0"/>
    <n v="0"/>
    <n v="-104.20160344975284"/>
    <n v="-33.893492286077617"/>
    <n v="0"/>
    <n v="0"/>
    <m/>
    <m/>
    <m/>
    <n v="0"/>
    <n v="0"/>
    <n v="0"/>
    <n v="-815.5891200000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08"/>
    <s v="Regular"/>
    <s v="Verde"/>
    <s v="A4"/>
    <s v="Industrial"/>
    <s v="Não se aplica"/>
    <s v="Não se aplica"/>
    <s v="Não se aplica"/>
    <s v="Não se aplica"/>
    <s v="CATIVO"/>
    <x v="4"/>
    <n v="1974"/>
    <n v="1974"/>
    <n v="0"/>
    <n v="0"/>
    <n v="0"/>
    <n v="0"/>
    <n v="74.44"/>
    <m/>
    <m/>
    <n v="146944.56"/>
    <m/>
    <n v="146944.56"/>
    <n v="89659.08"/>
    <n v="0"/>
    <n v="0"/>
    <n v="0"/>
    <n v="0"/>
    <n v="0"/>
    <n v="53726.540655111858"/>
    <n v="93215.3158820677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2230.91"/>
    <n v="9"/>
    <m/>
    <m/>
    <m/>
    <m/>
    <m/>
    <m/>
    <m/>
    <m/>
    <m/>
    <n v="0"/>
    <m/>
    <m/>
    <m/>
    <m/>
    <m/>
    <m/>
    <m/>
    <m/>
    <m/>
    <m/>
    <m/>
    <m/>
    <n v="89659.08"/>
    <n v="-57285.510000000024"/>
    <m/>
    <m/>
    <m/>
    <m/>
    <n v="-57285.479999999989"/>
    <n v="0"/>
    <n v="30"/>
    <n v="-138.08194074678613"/>
    <n v="0"/>
    <n v="0"/>
    <n v="0"/>
    <n v="0"/>
    <m/>
    <m/>
    <m/>
    <n v="-138.081940746786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215.315882067764"/>
    <m/>
    <n v="0"/>
    <n v="0"/>
    <n v="-57285.479999999996"/>
    <m/>
    <n v="0"/>
    <m/>
    <n v="-57154.51621151670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09"/>
    <s v="Regular"/>
    <s v="Convencional"/>
    <s v="B3"/>
    <s v="Comercial"/>
    <s v="Não se aplica"/>
    <s v="Não se aplica"/>
    <s v="Não se aplica"/>
    <s v="Não se aplica"/>
    <s v="CATIVO"/>
    <x v="4"/>
    <n v="0"/>
    <n v="0"/>
    <n v="398.88"/>
    <n v="398.88"/>
    <n v="398.88"/>
    <n v="398.88"/>
    <m/>
    <n v="739.04"/>
    <n v="252.22"/>
    <m/>
    <n v="395393.78879999998"/>
    <n v="395393.78879999998"/>
    <n v="270428.67359999998"/>
    <n v="0"/>
    <n v="24671.987113944226"/>
    <n v="0"/>
    <n v="0"/>
    <n v="0"/>
    <n v="49260.715067890211"/>
    <n v="202227.28171895165"/>
    <n v="100606.61749120941"/>
    <n v="0"/>
    <n v="0"/>
    <n v="0"/>
    <n v="0"/>
    <n v="0"/>
    <n v="3813.7033209136289"/>
    <m/>
    <n v="934.69492130937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78.729626910324"/>
    <n v="0"/>
    <n v="0"/>
    <n v="0"/>
    <n v="140161.85999999999"/>
    <n v="836"/>
    <m/>
    <m/>
    <m/>
    <m/>
    <m/>
    <m/>
    <m/>
    <m/>
    <m/>
    <n v="114485.34711811974"/>
    <m/>
    <m/>
    <m/>
    <m/>
    <m/>
    <m/>
    <m/>
    <m/>
    <m/>
    <m/>
    <m/>
    <m/>
    <n v="270428.67359999998"/>
    <n v="-124965.14520000003"/>
    <m/>
    <m/>
    <m/>
    <m/>
    <n v="-124965.11519999999"/>
    <n v="0"/>
    <n v="30"/>
    <n v="-970.15471144224284"/>
    <n v="0"/>
    <n v="0"/>
    <n v="0"/>
    <n v="0"/>
    <n v="0"/>
    <n v="0"/>
    <n v="0"/>
    <n v="-126.60437571825605"/>
    <n v="0"/>
    <n v="0"/>
    <n v="-1.4104414731264114E-5"/>
    <n v="0"/>
    <n v="0"/>
    <n v="0"/>
    <n v="-1.9456983864074573E-6"/>
    <n v="0"/>
    <n v="-717.38956603467159"/>
    <m/>
    <n v="0"/>
    <n v="0"/>
    <n v="0"/>
    <n v="0"/>
    <n v="-95.80828996099126"/>
    <n v="-30.352463678237427"/>
    <n v="0"/>
    <n v="0"/>
    <m/>
    <m/>
    <m/>
    <n v="202227.28171895165"/>
    <n v="0"/>
    <n v="0"/>
    <n v="-124965.11519999997"/>
    <n v="0"/>
    <n v="0"/>
    <n v="0"/>
    <n v="-123994.67128384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43.261000000000003"/>
    <n v="43.261000000000003"/>
    <n v="43.261000000000003"/>
    <n v="43.261000000000003"/>
    <m/>
    <n v="739.04"/>
    <n v="252.22"/>
    <m/>
    <n v="42882.898860000001"/>
    <n v="42882.898860000001"/>
    <n v="29329.660170000003"/>
    <n v="0"/>
    <n v="2675.8294086851715"/>
    <n v="0"/>
    <n v="0"/>
    <n v="0"/>
    <n v="5342.628847152022"/>
    <n v="21932.79792028572"/>
    <n v="10911.409143820725"/>
    <n v="0"/>
    <n v="0"/>
    <n v="0"/>
    <n v="0"/>
    <n v="0"/>
    <n v="413.61968352899248"/>
    <m/>
    <n v="101.37343810360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5.2339610654021"/>
    <n v="0"/>
    <n v="0"/>
    <n v="0"/>
    <n v="31578.34"/>
    <n v="118"/>
    <m/>
    <m/>
    <m/>
    <m/>
    <m/>
    <m/>
    <m/>
    <m/>
    <m/>
    <n v="12416.643104886127"/>
    <m/>
    <m/>
    <m/>
    <m/>
    <m/>
    <m/>
    <m/>
    <m/>
    <m/>
    <m/>
    <m/>
    <m/>
    <n v="29328.982199999999"/>
    <n v="-13553.946660000001"/>
    <m/>
    <m/>
    <m/>
    <m/>
    <n v="-13553.23869"/>
    <n v="0"/>
    <n v="30"/>
    <n v="-105.21927138914543"/>
    <n v="0"/>
    <n v="0"/>
    <n v="0"/>
    <n v="0"/>
    <n v="0"/>
    <n v="0"/>
    <n v="0"/>
    <n v="-13.731026619402655"/>
    <n v="0"/>
    <n v="0"/>
    <n v="-1.5297100617317483E-6"/>
    <n v="0"/>
    <n v="0"/>
    <n v="0"/>
    <n v="-2.110230070684338E-7"/>
    <n v="0"/>
    <n v="-77.805329964465272"/>
    <m/>
    <n v="0"/>
    <n v="0"/>
    <n v="0"/>
    <n v="0"/>
    <n v="-10.391000882477101"/>
    <n v="-3.2919121820703765"/>
    <n v="0"/>
    <n v="0"/>
    <m/>
    <m/>
    <m/>
    <n v="21932.79792028572"/>
    <n v="0"/>
    <n v="0"/>
    <n v="-13553.238689999998"/>
    <n v="0"/>
    <n v="0"/>
    <n v="0"/>
    <n v="-13447.98805257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1"/>
    <s v="Regular"/>
    <s v="Verde"/>
    <s v="A4"/>
    <s v="Comercial"/>
    <s v="Não se aplica"/>
    <s v="Não se aplica"/>
    <s v="Não se aplica"/>
    <s v="Ponta"/>
    <s v="CATIVO"/>
    <x v="4"/>
    <n v="0"/>
    <n v="0"/>
    <n v="20.187999999999999"/>
    <n v="20.187999999999999"/>
    <n v="20.187999999999999"/>
    <n v="20.187999999999999"/>
    <m/>
    <n v="2641.06"/>
    <n v="252.22"/>
    <m/>
    <n v="58409.536639999998"/>
    <n v="58409.536639999998"/>
    <n v="34669.659919999998"/>
    <n v="0"/>
    <n v="1086.3616275445902"/>
    <n v="0"/>
    <n v="0"/>
    <n v="0"/>
    <n v="13077.120005006116"/>
    <n v="38601.279798056443"/>
    <n v="5091.8732298248478"/>
    <n v="0"/>
    <n v="0"/>
    <n v="0"/>
    <n v="0"/>
    <n v="0"/>
    <n v="193.01805716657725"/>
    <m/>
    <n v="48.570433106655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1.35631960796218"/>
    <n v="0"/>
    <n v="0"/>
    <n v="0"/>
    <n v="0"/>
    <n v="0"/>
    <m/>
    <m/>
    <m/>
    <m/>
    <m/>
    <m/>
    <m/>
    <m/>
    <m/>
    <n v="5403.22954943281"/>
    <m/>
    <m/>
    <m/>
    <m/>
    <m/>
    <m/>
    <m/>
    <m/>
    <m/>
    <m/>
    <m/>
    <m/>
    <n v="34673.094599999997"/>
    <n v="-23736.472040000008"/>
    <m/>
    <m/>
    <m/>
    <m/>
    <n v="-23739.87672"/>
    <n v="0"/>
    <n v="30"/>
    <n v="-71.623839868483628"/>
    <n v="0"/>
    <n v="0"/>
    <n v="0"/>
    <n v="0"/>
    <n v="0"/>
    <n v="0"/>
    <n v="0"/>
    <n v="-33.609350009368427"/>
    <n v="0"/>
    <n v="0"/>
    <n v="-7.1384783950634301E-7"/>
    <n v="0"/>
    <n v="0"/>
    <n v="0"/>
    <n v="-4.36504592471465E-8"/>
    <n v="0"/>
    <n v="-31.588233770617308"/>
    <m/>
    <n v="0"/>
    <n v="0"/>
    <n v="0"/>
    <n v="0"/>
    <n v="-4.8490216549651279"/>
    <n v="-1.5772336760329821"/>
    <n v="0"/>
    <n v="0"/>
    <m/>
    <m/>
    <m/>
    <n v="38601.279798056443"/>
    <n v="0"/>
    <n v="0"/>
    <n v="-23739.87672"/>
    <n v="0"/>
    <n v="0"/>
    <n v="0"/>
    <n v="-23668.186403986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2"/>
    <s v="Sistema de Compensação"/>
    <s v="Verde"/>
    <s v="A4"/>
    <s v="Comercial"/>
    <s v="Não se aplica"/>
    <s v="Não se aplica"/>
    <s v="Não se aplica"/>
    <s v="Ponta"/>
    <s v="CATIVO"/>
    <x v="4"/>
    <n v="0"/>
    <n v="0"/>
    <n v="1.8859999999999999"/>
    <n v="1.8859999999999999"/>
    <n v="1.8859999999999999"/>
    <n v="1.8859999999999999"/>
    <m/>
    <n v="2641.06"/>
    <n v="252.22"/>
    <m/>
    <n v="5456.7260799999995"/>
    <n v="5456.7260799999995"/>
    <n v="3238.9032399999996"/>
    <n v="0"/>
    <n v="101.48989645081718"/>
    <n v="0"/>
    <n v="0"/>
    <n v="0"/>
    <n v="1221.6885441570009"/>
    <n v="3606.2023825606525"/>
    <n v="475.69213946154468"/>
    <n v="0"/>
    <n v="0"/>
    <n v="0"/>
    <n v="0"/>
    <n v="0"/>
    <n v="18.032101041022624"/>
    <m/>
    <n v="4.5375389755870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087478639816556"/>
    <n v="0"/>
    <n v="0"/>
    <n v="0"/>
    <n v="0"/>
    <n v="0"/>
    <m/>
    <m/>
    <m/>
    <m/>
    <m/>
    <m/>
    <m/>
    <m/>
    <m/>
    <n v="504.77961810136122"/>
    <m/>
    <m/>
    <m/>
    <m/>
    <m/>
    <m/>
    <m/>
    <m/>
    <m/>
    <m/>
    <m/>
    <m/>
    <n v="3245.7725999999998"/>
    <n v="-2210.9834800000003"/>
    <m/>
    <m/>
    <m/>
    <m/>
    <n v="-2217.8228399999998"/>
    <n v="0"/>
    <n v="30"/>
    <n v="-6.6912305325915895"/>
    <n v="0"/>
    <n v="0"/>
    <n v="0"/>
    <n v="0"/>
    <n v="0"/>
    <n v="0"/>
    <n v="0"/>
    <n v="-3.1398471427417007"/>
    <n v="0"/>
    <n v="0"/>
    <n v="-6.6689040068013128E-8"/>
    <n v="0"/>
    <n v="0"/>
    <n v="0"/>
    <n v="-4.0779077892239002E-9"/>
    <n v="0"/>
    <n v="-2.9510307554678263"/>
    <m/>
    <n v="0"/>
    <n v="0"/>
    <n v="0"/>
    <n v="0"/>
    <n v="-0.45300449976542012"/>
    <n v="-0.14734806384972376"/>
    <n v="0"/>
    <n v="0"/>
    <m/>
    <m/>
    <m/>
    <n v="3606.2023825606525"/>
    <n v="0"/>
    <n v="0"/>
    <n v="-2217.8228399999998"/>
    <n v="0"/>
    <n v="0"/>
    <n v="0"/>
    <n v="-2211.125399144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3"/>
    <s v="Regular"/>
    <s v="Verde"/>
    <s v="A4"/>
    <s v="Comercial"/>
    <s v="Não se aplica"/>
    <s v="Não se aplica"/>
    <s v="Não se aplica"/>
    <s v="Fora ponta"/>
    <s v="CATIVO"/>
    <x v="4"/>
    <n v="0"/>
    <n v="0"/>
    <n v="271.642"/>
    <n v="271.642"/>
    <n v="271.642"/>
    <n v="271.642"/>
    <m/>
    <n v="81.2"/>
    <n v="252.22"/>
    <m/>
    <n v="90570.875639999984"/>
    <n v="90570.875639999984"/>
    <n v="90060.188679999992"/>
    <n v="0"/>
    <n v="14617.666199200892"/>
    <n v="0"/>
    <n v="0"/>
    <n v="0"/>
    <n v="0"/>
    <n v="0"/>
    <n v="68514.297002976091"/>
    <n v="0"/>
    <n v="0"/>
    <n v="0"/>
    <n v="0"/>
    <n v="0"/>
    <n v="2597.1770895999298"/>
    <m/>
    <n v="653.5451550405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9.491448927386"/>
    <n v="0"/>
    <n v="0"/>
    <n v="0"/>
    <n v="0"/>
    <n v="0"/>
    <m/>
    <m/>
    <m/>
    <m/>
    <m/>
    <m/>
    <m/>
    <m/>
    <m/>
    <n v="72703.788451903471"/>
    <m/>
    <m/>
    <m/>
    <m/>
    <m/>
    <m/>
    <m/>
    <m/>
    <m/>
    <m/>
    <m/>
    <m/>
    <n v="90059.525599999994"/>
    <n v="-511.38003999998909"/>
    <m/>
    <m/>
    <m/>
    <m/>
    <n v="-510.68696000000261"/>
    <n v="0"/>
    <n v="30"/>
    <n v="-511.50842353422195"/>
    <n v="0"/>
    <n v="0"/>
    <n v="0"/>
    <n v="0"/>
    <n v="0"/>
    <n v="0"/>
    <n v="0"/>
    <n v="0"/>
    <n v="0"/>
    <n v="0"/>
    <n v="-9.6052535809576511E-6"/>
    <n v="0"/>
    <n v="0"/>
    <n v="0"/>
    <n v="-5.8734440244734287E-7"/>
    <n v="0"/>
    <n v="-425.03918158896522"/>
    <m/>
    <n v="0"/>
    <n v="0"/>
    <n v="0"/>
    <n v="0"/>
    <n v="-65.246579175650822"/>
    <n v="-21.222652577023609"/>
    <n v="0"/>
    <n v="0"/>
    <m/>
    <m/>
    <m/>
    <n v="0"/>
    <n v="0"/>
    <n v="0"/>
    <n v="-510.68696000000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4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5.92"/>
    <n v="5.92"/>
    <n v="5.92"/>
    <n v="5.92"/>
    <m/>
    <n v="81.2"/>
    <n v="252.22"/>
    <m/>
    <n v="1973.8463999999999"/>
    <n v="1973.8463999999999"/>
    <n v="1962.7167999999999"/>
    <n v="0"/>
    <n v="318.56849787319072"/>
    <n v="0"/>
    <n v="0"/>
    <n v="0"/>
    <n v="0"/>
    <n v="0"/>
    <n v="1493.1587834635973"/>
    <n v="0"/>
    <n v="0"/>
    <n v="0"/>
    <n v="0"/>
    <n v="0"/>
    <n v="56.60129276927568"/>
    <m/>
    <n v="14.242964334822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303220332828218"/>
    <n v="0"/>
    <n v="0"/>
    <n v="0"/>
    <n v="0"/>
    <n v="0"/>
    <m/>
    <m/>
    <m/>
    <m/>
    <m/>
    <m/>
    <m/>
    <m/>
    <m/>
    <n v="1584.4620037964255"/>
    <m/>
    <m/>
    <m/>
    <m/>
    <m/>
    <m/>
    <m/>
    <m/>
    <m/>
    <m/>
    <m/>
    <m/>
    <n v="1962.7167999999999"/>
    <n v="-11.159599999999955"/>
    <m/>
    <m/>
    <m/>
    <m/>
    <n v="-11.129600000000057"/>
    <n v="0"/>
    <n v="30"/>
    <n v="-11.147502475032752"/>
    <n v="0"/>
    <n v="0"/>
    <n v="0"/>
    <n v="0"/>
    <n v="0"/>
    <n v="0"/>
    <n v="0"/>
    <n v="0"/>
    <n v="0"/>
    <n v="0"/>
    <n v="-2.0933134692313615E-7"/>
    <n v="0"/>
    <n v="0"/>
    <n v="0"/>
    <n v="-1.2800214221897477E-8"/>
    <n v="0"/>
    <n v="-9.2630445770781762"/>
    <m/>
    <n v="0"/>
    <n v="0"/>
    <n v="0"/>
    <n v="0"/>
    <n v="-1.4219441350006718"/>
    <n v="-0.46251354082203555"/>
    <n v="0"/>
    <n v="0"/>
    <m/>
    <m/>
    <m/>
    <n v="0"/>
    <n v="0"/>
    <n v="0"/>
    <n v="-11.129600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5"/>
    <s v="Regular"/>
    <s v="Verde"/>
    <s v="A4"/>
    <s v="Comercial"/>
    <s v="Não se aplica"/>
    <s v="Não se aplica"/>
    <s v="Não se aplica"/>
    <s v="Não se aplica"/>
    <s v="CATIVO"/>
    <x v="4"/>
    <n v="2420"/>
    <n v="2420"/>
    <n v="0"/>
    <n v="0"/>
    <n v="0"/>
    <n v="0"/>
    <n v="74.44"/>
    <m/>
    <m/>
    <n v="180144.8"/>
    <m/>
    <n v="180144.8"/>
    <n v="109916.40000000001"/>
    <n v="0"/>
    <n v="0"/>
    <n v="0"/>
    <n v="0"/>
    <n v="0"/>
    <n v="65865.363923693352"/>
    <n v="114276.121800711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8322.3"/>
    <n v="15"/>
    <m/>
    <m/>
    <m/>
    <m/>
    <m/>
    <m/>
    <m/>
    <m/>
    <m/>
    <n v="0"/>
    <m/>
    <m/>
    <m/>
    <m/>
    <m/>
    <m/>
    <m/>
    <m/>
    <m/>
    <m/>
    <m/>
    <m/>
    <n v="109916.40000000001"/>
    <n v="-70228.430000000008"/>
    <m/>
    <m/>
    <m/>
    <m/>
    <n v="-70228.399999999994"/>
    <n v="0"/>
    <n v="30"/>
    <n v="-169.27978551530396"/>
    <n v="0"/>
    <n v="0"/>
    <n v="0"/>
    <n v="0"/>
    <m/>
    <m/>
    <m/>
    <n v="-169.279785515303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276.12180071125"/>
    <m/>
    <n v="0"/>
    <n v="0"/>
    <n v="-70228.39999999998"/>
    <m/>
    <n v="0"/>
    <m/>
    <n v="-70067.8466220214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16"/>
    <s v="Sistema de Compensação"/>
    <s v="Verde"/>
    <s v="A4"/>
    <s v="Comercial"/>
    <s v="Não se aplica"/>
    <s v="Não se aplica"/>
    <s v="Não se aplica"/>
    <s v="Não se aplica"/>
    <s v="CATIVO"/>
    <x v="4"/>
    <n v="161"/>
    <n v="161"/>
    <n v="0"/>
    <n v="0"/>
    <n v="0"/>
    <n v="0"/>
    <n v="74.44"/>
    <m/>
    <m/>
    <n v="11984.84"/>
    <m/>
    <n v="11984.84"/>
    <n v="7312.62"/>
    <n v="0"/>
    <n v="0"/>
    <n v="0"/>
    <n v="0"/>
    <n v="0"/>
    <n v="4381.9518974027396"/>
    <n v="7602.667607402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46.19"/>
    <n v="1"/>
    <m/>
    <m/>
    <m/>
    <m/>
    <m/>
    <m/>
    <m/>
    <m/>
    <m/>
    <n v="0"/>
    <m/>
    <m/>
    <m/>
    <m/>
    <m/>
    <m/>
    <m/>
    <m/>
    <m/>
    <m/>
    <m/>
    <m/>
    <n v="7312.62"/>
    <n v="-4672.2500000000009"/>
    <m/>
    <m/>
    <m/>
    <m/>
    <n v="-4672.2199999999993"/>
    <n v="0"/>
    <n v="30"/>
    <n v="-11.262002259489236"/>
    <n v="0"/>
    <n v="0"/>
    <n v="0"/>
    <n v="0"/>
    <m/>
    <m/>
    <m/>
    <n v="-11.2620022594892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02.66760740269"/>
    <m/>
    <n v="0"/>
    <n v="0"/>
    <n v="-4672.22"/>
    <m/>
    <n v="0"/>
    <m/>
    <n v="-4661.538556258454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17"/>
    <s v="Regular"/>
    <s v="Convencional"/>
    <s v="B2"/>
    <s v="Rural"/>
    <s v="Não se aplica"/>
    <s v="Não se aplica"/>
    <s v="Não se aplica"/>
    <s v="Não se aplica"/>
    <s v="CATIVO"/>
    <x v="4"/>
    <n v="0"/>
    <n v="0"/>
    <n v="3795.2049999999999"/>
    <n v="3795.2049999999999"/>
    <n v="3795.2049999999999"/>
    <n v="3795.2049999999999"/>
    <m/>
    <n v="739.04"/>
    <n v="252.22"/>
    <m/>
    <n v="3762034.9082999998"/>
    <n v="3762034.9082999998"/>
    <n v="2573035.1338499999"/>
    <n v="0"/>
    <n v="234745.40928293395"/>
    <n v="0"/>
    <n v="0"/>
    <n v="0"/>
    <n v="468698.63650529552"/>
    <n v="1924122.5198460035"/>
    <n v="957237.10824239219"/>
    <n v="0"/>
    <n v="0"/>
    <n v="0"/>
    <n v="0"/>
    <n v="0"/>
    <n v="36286.065764259947"/>
    <m/>
    <n v="8893.2983324005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051.30383498344"/>
    <n v="0"/>
    <n v="0"/>
    <n v="0"/>
    <n v="122831.82"/>
    <n v="12103"/>
    <m/>
    <m/>
    <m/>
    <m/>
    <m/>
    <n v="308739.92674999987"/>
    <m/>
    <m/>
    <m/>
    <n v="1089288.4120773757"/>
    <m/>
    <m/>
    <m/>
    <m/>
    <m/>
    <m/>
    <m/>
    <m/>
    <m/>
    <m/>
    <m/>
    <m/>
    <n v="2264298.1902000001"/>
    <n v="-1046297.1133499993"/>
    <m/>
    <m/>
    <m/>
    <m/>
    <n v="-1188999.7744499999"/>
    <n v="0"/>
    <n v="30"/>
    <n v="-9230.6859497576952"/>
    <n v="0"/>
    <n v="0"/>
    <n v="0"/>
    <n v="0"/>
    <n v="0"/>
    <n v="0"/>
    <n v="0"/>
    <n v="-1204.5967703264905"/>
    <n v="0"/>
    <n v="0"/>
    <n v="-1.3419846072793007E-4"/>
    <n v="0"/>
    <n v="0"/>
    <n v="0"/>
    <n v="-1.8512626411393285E-5"/>
    <n v="0"/>
    <n v="-6825.7131667734939"/>
    <m/>
    <n v="0"/>
    <n v="0"/>
    <n v="0"/>
    <n v="0"/>
    <n v="-911.5826842694587"/>
    <n v="-288.79317567680846"/>
    <n v="0"/>
    <n v="0"/>
    <m/>
    <m/>
    <m/>
    <n v="1924122.5198460035"/>
    <n v="0"/>
    <n v="0"/>
    <n v="-1188999.7744499999"/>
    <n v="0"/>
    <n v="0"/>
    <n v="0"/>
    <n v="-1179766.336817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8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8.1120000000000001"/>
    <n v="-8.1120000000000001"/>
    <n v="-8.1120000000000001"/>
    <n v="-8.1120000000000001"/>
    <m/>
    <n v="739.04"/>
    <n v="252.22"/>
    <m/>
    <n v="-8041.1011199999994"/>
    <n v="-8041.1011199999994"/>
    <n v="-5499.6926400000002"/>
    <n v="0"/>
    <n v="-501.75280652907031"/>
    <n v="0"/>
    <n v="0"/>
    <n v="0"/>
    <n v="-1001.8123762302582"/>
    <n v="-4112.6847906742278"/>
    <n v="-2046.0310897730915"/>
    <n v="0"/>
    <n v="0"/>
    <n v="0"/>
    <n v="0"/>
    <n v="0"/>
    <n v="-77.559068740602086"/>
    <m/>
    <n v="-19.00883774985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2.25093946424124"/>
    <n v="0"/>
    <n v="0"/>
    <n v="0"/>
    <n v="0"/>
    <n v="0"/>
    <m/>
    <m/>
    <m/>
    <m/>
    <m/>
    <n v="-659.91119999999978"/>
    <m/>
    <m/>
    <m/>
    <n v="-2328.2820292373326"/>
    <m/>
    <m/>
    <m/>
    <m/>
    <m/>
    <m/>
    <m/>
    <m/>
    <m/>
    <m/>
    <m/>
    <m/>
    <n v="-4838.5882000000001"/>
    <n v="2237.56052"/>
    <m/>
    <m/>
    <m/>
    <m/>
    <n v="2541.4084799999996"/>
    <n v="0"/>
    <n v="30"/>
    <n v="19.729981496237997"/>
    <n v="0"/>
    <n v="0"/>
    <n v="0"/>
    <n v="0"/>
    <n v="0"/>
    <n v="0"/>
    <n v="0"/>
    <n v="2.5747460284459294"/>
    <n v="0"/>
    <n v="0"/>
    <n v="2.8684053177130409E-7"/>
    <n v="0"/>
    <n v="0"/>
    <n v="0"/>
    <n v="3.9569556520291371E-8"/>
    <n v="0"/>
    <n v="14.589511030067285"/>
    <m/>
    <n v="0"/>
    <n v="0"/>
    <n v="0"/>
    <n v="0"/>
    <n v="1.9484477741766"/>
    <n v="0.61727633713864449"/>
    <n v="0"/>
    <n v="0"/>
    <m/>
    <m/>
    <m/>
    <n v="-4112.6847906742278"/>
    <n v="0"/>
    <n v="0"/>
    <n v="2541.4084799999991"/>
    <n v="0"/>
    <n v="0"/>
    <n v="0"/>
    <n v="2521.6726169638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19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08.008"/>
    <n v="108.008"/>
    <n v="108.008"/>
    <n v="108.008"/>
    <m/>
    <n v="739.04"/>
    <n v="252.22"/>
    <m/>
    <n v="107064.01007999999"/>
    <n v="107064.01007999999"/>
    <n v="73226.183759999985"/>
    <n v="0"/>
    <n v="6680.6357405808458"/>
    <n v="0"/>
    <n v="0"/>
    <n v="0"/>
    <n v="13338.726717440548"/>
    <n v="54758.735067941561"/>
    <n v="27242.076669651386"/>
    <n v="0"/>
    <n v="0"/>
    <n v="0"/>
    <n v="0"/>
    <n v="0"/>
    <n v="1032.6676401053933"/>
    <m/>
    <n v="253.09498862009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8.0571338330583"/>
    <n v="0"/>
    <n v="0"/>
    <n v="0"/>
    <n v="8435.18"/>
    <n v="878"/>
    <m/>
    <m/>
    <m/>
    <m/>
    <m/>
    <n v="8786.4507999999951"/>
    <m/>
    <m/>
    <m/>
    <n v="31000.133803484445"/>
    <m/>
    <m/>
    <m/>
    <m/>
    <m/>
    <m/>
    <m/>
    <m/>
    <m/>
    <m/>
    <m/>
    <m/>
    <n v="64440.926200000002"/>
    <n v="-29775.562279999984"/>
    <m/>
    <m/>
    <m/>
    <m/>
    <n v="-33837.826319999993"/>
    <n v="0"/>
    <n v="30"/>
    <n v="-262.69672601648199"/>
    <n v="0"/>
    <n v="0"/>
    <n v="0"/>
    <n v="0"/>
    <n v="0"/>
    <n v="0"/>
    <n v="0"/>
    <n v="-34.281702297877928"/>
    <n v="0"/>
    <n v="0"/>
    <n v="-3.8191647036001086E-6"/>
    <n v="0"/>
    <n v="0"/>
    <n v="0"/>
    <n v="-5.2685254559037276E-7"/>
    <n v="0"/>
    <n v="-194.25344025339109"/>
    <m/>
    <n v="0"/>
    <n v="0"/>
    <n v="0"/>
    <n v="0"/>
    <n v="-25.942794279248915"/>
    <n v="-8.2187848399495351"/>
    <n v="0"/>
    <n v="0"/>
    <m/>
    <m/>
    <m/>
    <n v="54758.735067941561"/>
    <n v="0"/>
    <n v="0"/>
    <n v="-33837.82632"/>
    <n v="0"/>
    <n v="0"/>
    <n v="0"/>
    <n v="-33575.05128365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0"/>
    <s v="Regular"/>
    <s v="Verde"/>
    <s v="A4"/>
    <s v="Rural"/>
    <s v="Não se aplica"/>
    <s v="Não se aplica"/>
    <s v="Não se aplica"/>
    <s v="Ponta"/>
    <s v="CATIVO"/>
    <x v="4"/>
    <n v="0"/>
    <n v="0"/>
    <n v="3.573"/>
    <n v="3.4300799999999998"/>
    <n v="3.573"/>
    <n v="3.4300799999999998"/>
    <m/>
    <n v="2641.06"/>
    <n v="252.22"/>
    <m/>
    <n v="10337.689439999998"/>
    <n v="10337.689439999998"/>
    <n v="6136.0558199999996"/>
    <n v="0"/>
    <n v="192.27115589542407"/>
    <n v="0"/>
    <n v="0"/>
    <n v="0"/>
    <n v="2314.4714571966938"/>
    <n v="6831.8987873219576"/>
    <n v="901.19194819517452"/>
    <n v="0"/>
    <n v="0"/>
    <n v="0"/>
    <n v="0"/>
    <n v="0"/>
    <n v="34.161557274429391"/>
    <m/>
    <n v="8.5963026297839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105811866418115"/>
    <n v="0"/>
    <n v="0"/>
    <n v="0"/>
    <n v="0"/>
    <n v="0"/>
    <m/>
    <m/>
    <m/>
    <m/>
    <m/>
    <n v="245.44223280000028"/>
    <m/>
    <m/>
    <m/>
    <n v="956.29776006159261"/>
    <m/>
    <m/>
    <m/>
    <m/>
    <m/>
    <m/>
    <m/>
    <m/>
    <m/>
    <m/>
    <m/>
    <m/>
    <n v="5890.4762000000001"/>
    <n v="-4033.7356623999995"/>
    <m/>
    <m/>
    <m/>
    <m/>
    <n v="-4201.6336200000005"/>
    <n v="0"/>
    <n v="30"/>
    <n v="-12.676440452253246"/>
    <n v="0"/>
    <n v="0"/>
    <n v="0"/>
    <n v="0"/>
    <n v="0"/>
    <n v="0"/>
    <n v="0"/>
    <n v="-5.9483954618322059"/>
    <n v="0"/>
    <n v="0"/>
    <n v="-1.2634131962840911E-7"/>
    <n v="0"/>
    <n v="0"/>
    <n v="0"/>
    <n v="-7.7255393193809141E-9"/>
    <n v="0"/>
    <n v="-5.5906855192399405"/>
    <m/>
    <n v="0"/>
    <n v="0"/>
    <n v="0"/>
    <n v="0"/>
    <n v="-0.85821053958739668"/>
    <n v="-0.27914879752654365"/>
    <n v="0"/>
    <n v="0"/>
    <m/>
    <m/>
    <m/>
    <n v="6831.8987873219576"/>
    <n v="0"/>
    <n v="0"/>
    <n v="-4201.6336199999996"/>
    <n v="0"/>
    <n v="0"/>
    <n v="0"/>
    <n v="-4188.9454141789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1"/>
    <s v="Regular"/>
    <s v="Verde"/>
    <s v="A4"/>
    <s v="Rural"/>
    <s v="Não se aplica"/>
    <s v="Não se aplica"/>
    <s v="Não se aplica"/>
    <s v="Fora ponta"/>
    <s v="CATIVO"/>
    <x v="4"/>
    <n v="0"/>
    <n v="0"/>
    <n v="33.890999999999998"/>
    <n v="32.535359999999997"/>
    <n v="33.890999999999998"/>
    <n v="32.535359999999997"/>
    <m/>
    <n v="81.2"/>
    <n v="252.22"/>
    <m/>
    <n v="11299.93722"/>
    <n v="11299.93722"/>
    <n v="11236.222139999998"/>
    <n v="0"/>
    <n v="1823.7508380777547"/>
    <n v="0"/>
    <n v="0"/>
    <n v="0"/>
    <n v="0"/>
    <n v="0"/>
    <n v="8548.081812561617"/>
    <n v="0"/>
    <n v="0"/>
    <n v="0"/>
    <n v="0"/>
    <n v="0"/>
    <n v="324.03284007491925"/>
    <m/>
    <n v="81.538564910721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9551356416912"/>
    <n v="0"/>
    <n v="0"/>
    <n v="0"/>
    <n v="0"/>
    <n v="0"/>
    <m/>
    <m/>
    <m/>
    <m/>
    <m/>
    <n v="449.44888560000038"/>
    <m/>
    <m/>
    <m/>
    <n v="9070.7773261257862"/>
    <m/>
    <m/>
    <m/>
    <m/>
    <m/>
    <m/>
    <m/>
    <m/>
    <m/>
    <m/>
    <m/>
    <m/>
    <n v="10788.311599999999"/>
    <n v="-59.658131199999843"/>
    <m/>
    <m/>
    <m/>
    <m/>
    <n v="-63.715080000000327"/>
    <n v="0"/>
    <n v="30"/>
    <n v="-63.817568645492429"/>
    <n v="0"/>
    <n v="0"/>
    <n v="0"/>
    <n v="0"/>
    <n v="0"/>
    <n v="0"/>
    <n v="0"/>
    <n v="0"/>
    <n v="0"/>
    <n v="0"/>
    <n v="-1.1983865988440812E-6"/>
    <n v="0"/>
    <n v="0"/>
    <n v="0"/>
    <n v="-7.3279124990222044E-8"/>
    <n v="0"/>
    <n v="-53.02936550029699"/>
    <m/>
    <n v="0"/>
    <n v="0"/>
    <n v="0"/>
    <n v="0"/>
    <n v="-8.1403899796127916"/>
    <n v="-2.6478118939188562"/>
    <n v="0"/>
    <n v="0"/>
    <m/>
    <m/>
    <m/>
    <n v="0"/>
    <n v="0"/>
    <n v="0"/>
    <n v="-63.715080000000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2"/>
    <s v="Regular"/>
    <s v="Verde"/>
    <s v="A4"/>
    <s v="Rural"/>
    <s v="Não se aplica"/>
    <s v="Não se aplica"/>
    <s v="Não se aplica"/>
    <s v="Não se aplica"/>
    <s v="CATIVO"/>
    <x v="4"/>
    <n v="201"/>
    <n v="192.96"/>
    <n v="0"/>
    <n v="0"/>
    <n v="0"/>
    <n v="0"/>
    <n v="74.44"/>
    <m/>
    <m/>
    <n v="14962.439999999999"/>
    <m/>
    <n v="14962.439999999999"/>
    <n v="9129.42"/>
    <n v="0"/>
    <n v="0"/>
    <n v="0"/>
    <n v="0"/>
    <n v="0"/>
    <n v="5470.6355986208118"/>
    <n v="9491.52912476981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3"/>
    <n v="2"/>
    <m/>
    <m/>
    <m/>
    <m/>
    <m/>
    <n v="365.17679999999967"/>
    <m/>
    <m/>
    <m/>
    <n v="0"/>
    <m/>
    <m/>
    <m/>
    <m/>
    <m/>
    <m/>
    <m/>
    <m/>
    <m/>
    <m/>
    <m/>
    <m/>
    <n v="8764.2432000000008"/>
    <n v="-5599.7291999999998"/>
    <m/>
    <m/>
    <m/>
    <m/>
    <n v="-5833.0199999999995"/>
    <n v="0"/>
    <n v="30"/>
    <n v="-14.060015243213456"/>
    <n v="0"/>
    <n v="0"/>
    <n v="0"/>
    <n v="0"/>
    <m/>
    <m/>
    <m/>
    <n v="-14.0600152432134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91.5291247698187"/>
    <m/>
    <n v="0"/>
    <n v="0"/>
    <n v="-5833.0199999999986"/>
    <m/>
    <n v="0"/>
    <m/>
    <n v="-5819.684781415835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23"/>
    <s v="Sistema de Compensação"/>
    <s v="Verde"/>
    <s v="A4"/>
    <s v="Rural"/>
    <s v="Não se aplica"/>
    <s v="Não se aplica"/>
    <s v="Não se aplica"/>
    <s v="Não se aplica"/>
    <s v="CATIVO"/>
    <x v="4"/>
    <n v="527"/>
    <n v="505.91999999999996"/>
    <n v="0"/>
    <n v="0"/>
    <n v="0"/>
    <n v="0"/>
    <n v="74.44"/>
    <m/>
    <m/>
    <n v="39229.879999999997"/>
    <m/>
    <n v="39229.879999999997"/>
    <n v="23936.34"/>
    <n v="0"/>
    <n v="0"/>
    <n v="0"/>
    <n v="0"/>
    <n v="0"/>
    <n v="14343.407763548099"/>
    <n v="24885.7504913119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.46"/>
    <n v="4"/>
    <m/>
    <m/>
    <m/>
    <m/>
    <m/>
    <n v="957.45360000000187"/>
    <m/>
    <m/>
    <m/>
    <n v="0"/>
    <m/>
    <m/>
    <m/>
    <m/>
    <m/>
    <m/>
    <m/>
    <m/>
    <m/>
    <m/>
    <m/>
    <m/>
    <n v="22978.886400000003"/>
    <n v="-14681.828399999999"/>
    <m/>
    <m/>
    <m/>
    <m/>
    <n v="-15293.539999999997"/>
    <n v="0"/>
    <n v="30"/>
    <n v="-36.863821060564078"/>
    <n v="0"/>
    <n v="0"/>
    <n v="0"/>
    <n v="0"/>
    <m/>
    <m/>
    <m/>
    <n v="-36.8638210605640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885.750491311912"/>
    <m/>
    <n v="0"/>
    <n v="0"/>
    <n v="-15293.539999999997"/>
    <m/>
    <n v="0"/>
    <m/>
    <n v="-15258.57651644848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24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82.09200000000001"/>
    <n v="182.09200000000001"/>
    <n v="182.09200000000001"/>
    <n v="182.09200000000001"/>
    <m/>
    <n v="739.04"/>
    <n v="252.22"/>
    <m/>
    <n v="180500.51592000001"/>
    <n v="180500.51592000001"/>
    <n v="123452.91324000001"/>
    <n v="0"/>
    <n v="11262.964995869264"/>
    <n v="0"/>
    <n v="0"/>
    <n v="0"/>
    <n v="22487.921500557222"/>
    <n v="92318.417024587208"/>
    <n v="45927.748175414425"/>
    <n v="0"/>
    <n v="0"/>
    <n v="0"/>
    <n v="0"/>
    <n v="0"/>
    <n v="1740.9869261727954"/>
    <m/>
    <n v="426.69591759693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5.7541998178776"/>
    <n v="0"/>
    <n v="0"/>
    <n v="0"/>
    <n v="58756.05"/>
    <n v="368"/>
    <m/>
    <m/>
    <m/>
    <m/>
    <m/>
    <m/>
    <m/>
    <m/>
    <m/>
    <n v="52263.502375232303"/>
    <m/>
    <m/>
    <m/>
    <m/>
    <m/>
    <m/>
    <m/>
    <m/>
    <m/>
    <m/>
    <m/>
    <m/>
    <n v="123451.55730000001"/>
    <n v="-57048.988620000018"/>
    <m/>
    <m/>
    <m/>
    <m/>
    <n v="-57047.602679999996"/>
    <n v="0"/>
    <n v="30"/>
    <n v="-442.88360337931954"/>
    <n v="0"/>
    <n v="0"/>
    <n v="0"/>
    <n v="0"/>
    <n v="0"/>
    <n v="0"/>
    <n v="0"/>
    <n v="-57.795938586263219"/>
    <n v="0"/>
    <n v="0"/>
    <n v="-6.4387786551378667E-6"/>
    <n v="0"/>
    <n v="0"/>
    <n v="0"/>
    <n v="-8.8822707766667008E-7"/>
    <n v="0"/>
    <n v="-327.49423600678165"/>
    <m/>
    <n v="0"/>
    <n v="0"/>
    <n v="0"/>
    <n v="0"/>
    <n v="-43.73727220110527"/>
    <n v="-13.856149258166965"/>
    <n v="0"/>
    <n v="0"/>
    <m/>
    <m/>
    <m/>
    <n v="92318.417024587208"/>
    <n v="0"/>
    <n v="0"/>
    <n v="-57047.602679999996"/>
    <n v="0"/>
    <n v="0"/>
    <n v="0"/>
    <n v="-56604.58705229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5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0.45200000000000001"/>
    <n v="0.45200000000000001"/>
    <n v="0.45200000000000001"/>
    <n v="0.45200000000000001"/>
    <m/>
    <n v="739.04"/>
    <n v="252.22"/>
    <m/>
    <n v="448.04952000000003"/>
    <n v="448.04952000000003"/>
    <n v="306.44243999999998"/>
    <n v="0"/>
    <n v="27.957626793779557"/>
    <n v="0"/>
    <n v="0"/>
    <n v="0"/>
    <n v="55.82090656509822"/>
    <n v="229.15847206419511"/>
    <n v="114.00469089958547"/>
    <n v="0"/>
    <n v="0"/>
    <n v="0"/>
    <n v="0"/>
    <n v="0"/>
    <n v="4.3215851911676708"/>
    <m/>
    <n v="1.0591709397107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727000078628828"/>
    <n v="0"/>
    <n v="0"/>
    <n v="0"/>
    <n v="255.51"/>
    <n v="2"/>
    <m/>
    <m/>
    <m/>
    <m/>
    <m/>
    <m/>
    <m/>
    <m/>
    <m/>
    <n v="129.73169097821429"/>
    <m/>
    <m/>
    <m/>
    <m/>
    <m/>
    <m/>
    <m/>
    <m/>
    <m/>
    <m/>
    <m/>
    <m/>
    <n v="305.0865"/>
    <n v="-142.99302"/>
    <m/>
    <m/>
    <m/>
    <m/>
    <n v="-141.60708"/>
    <n v="0"/>
    <n v="30"/>
    <n v="-1.0993530123644177"/>
    <n v="0"/>
    <n v="0"/>
    <n v="0"/>
    <n v="0"/>
    <n v="0"/>
    <n v="0"/>
    <n v="0"/>
    <n v="-0.14346464556923166"/>
    <n v="0"/>
    <n v="0"/>
    <n v="-1.598272092451225E-8"/>
    <n v="0"/>
    <n v="0"/>
    <n v="0"/>
    <n v="-2.2048123327067515E-9"/>
    <n v="0"/>
    <n v="-0.81292640354911327"/>
    <m/>
    <n v="0"/>
    <n v="0"/>
    <n v="0"/>
    <n v="0"/>
    <n v="-0.10856735625343017"/>
    <n v="-3.439458880506252E-2"/>
    <n v="0"/>
    <n v="0"/>
    <m/>
    <m/>
    <m/>
    <n v="229.15847206419511"/>
    <n v="0"/>
    <n v="0"/>
    <n v="-141.60708000000002"/>
    <n v="0"/>
    <n v="0"/>
    <n v="0"/>
    <n v="-140.50739926869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6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377.95699999999999"/>
    <n v="377.95699999999999"/>
    <n v="377.95699999999999"/>
    <n v="377.95699999999999"/>
    <m/>
    <n v="406.47"/>
    <n v="138.72"/>
    <m/>
    <n v="206058.37682999999"/>
    <n v="206058.37682999999"/>
    <n v="140932.60616"/>
    <n v="0"/>
    <n v="12857.808434851962"/>
    <n v="0"/>
    <n v="0"/>
    <n v="0"/>
    <n v="25672.226350539157"/>
    <n v="105390.76713336693"/>
    <n v="52431.148290008772"/>
    <n v="0"/>
    <n v="0"/>
    <n v="0"/>
    <n v="0"/>
    <n v="0"/>
    <n v="1987.5118490132472"/>
    <m/>
    <n v="487.11634728572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32.9012672457338"/>
    <n v="0"/>
    <n v="0"/>
    <n v="0"/>
    <n v="48650.04"/>
    <n v="66"/>
    <m/>
    <m/>
    <m/>
    <m/>
    <m/>
    <m/>
    <m/>
    <m/>
    <m/>
    <n v="59664.049557254504"/>
    <m/>
    <m/>
    <m/>
    <m/>
    <m/>
    <m/>
    <m/>
    <m/>
    <m/>
    <m/>
    <m/>
    <m/>
    <n v="140933.7248"/>
    <n v="-65124.682030000025"/>
    <m/>
    <m/>
    <m/>
    <m/>
    <n v="-65125.770670000013"/>
    <n v="0"/>
    <n v="30"/>
    <n v="-505.59622029126331"/>
    <n v="0"/>
    <n v="0"/>
    <n v="0"/>
    <n v="0"/>
    <n v="0"/>
    <n v="0"/>
    <n v="0"/>
    <n v="-65.979882466814161"/>
    <n v="0"/>
    <n v="0"/>
    <n v="-7.3501214501447976E-6"/>
    <n v="0"/>
    <n v="0"/>
    <n v="0"/>
    <n v="-1.0139829100808129E-6"/>
    <n v="0"/>
    <n v="-373.86764068233242"/>
    <m/>
    <n v="0"/>
    <n v="0"/>
    <n v="0"/>
    <n v="0"/>
    <n v="-49.930499440516314"/>
    <n v="-15.818189337494914"/>
    <n v="0"/>
    <n v="0"/>
    <m/>
    <m/>
    <m/>
    <n v="105390.76713336693"/>
    <n v="0"/>
    <n v="0"/>
    <n v="-65125.770669999998"/>
    <n v="0"/>
    <n v="0"/>
    <n v="0"/>
    <n v="-64619.83475214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7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81.462000000000003"/>
    <n v="76.574280000000002"/>
    <n v="81.462000000000003"/>
    <n v="76.574280000000002"/>
    <m/>
    <n v="739.04"/>
    <n v="252.22"/>
    <m/>
    <n v="80750.022120000009"/>
    <n v="80750.022120000009"/>
    <n v="55228.792139999998"/>
    <n v="0"/>
    <n v="5038.6818448559079"/>
    <n v="0"/>
    <n v="0"/>
    <n v="0"/>
    <n v="10060.359934969096"/>
    <n v="41300.237724100582"/>
    <n v="20546.571084208037"/>
    <n v="0"/>
    <n v="0"/>
    <n v="0"/>
    <n v="0"/>
    <n v="0"/>
    <n v="778.86055938694858"/>
    <m/>
    <n v="190.88978559893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4.4090274452692"/>
    <n v="0"/>
    <n v="0"/>
    <n v="0"/>
    <n v="28619.94"/>
    <n v="28"/>
    <m/>
    <m/>
    <m/>
    <m/>
    <n v="3313.7275284000016"/>
    <m/>
    <m/>
    <m/>
    <m/>
    <n v="23380.980111653305"/>
    <m/>
    <m/>
    <m/>
    <m/>
    <m/>
    <m/>
    <m/>
    <m/>
    <m/>
    <m/>
    <m/>
    <m/>
    <n v="51912.162899999996"/>
    <n v="-23992.887892800005"/>
    <m/>
    <m/>
    <m/>
    <m/>
    <n v="-25521.229979999996"/>
    <n v="0"/>
    <n v="30"/>
    <n v="-198.13162631244631"/>
    <n v="0"/>
    <n v="0"/>
    <n v="0"/>
    <n v="0"/>
    <n v="0"/>
    <n v="0"/>
    <n v="0"/>
    <n v="-25.856010967612747"/>
    <n v="0"/>
    <n v="0"/>
    <n v="-2.880500687751919E-6"/>
    <n v="0"/>
    <n v="0"/>
    <n v="0"/>
    <n v="-3.9736414692015387E-7"/>
    <n v="0"/>
    <n v="-146.51020063256146"/>
    <m/>
    <n v="0"/>
    <n v="0"/>
    <n v="0"/>
    <n v="0"/>
    <n v="-19.566623838754253"/>
    <n v="-6.1987875956593257"/>
    <n v="0"/>
    <n v="0"/>
    <m/>
    <m/>
    <m/>
    <n v="41300.237724100582"/>
    <n v="0"/>
    <n v="0"/>
    <n v="-25521.229980000004"/>
    <n v="0"/>
    <n v="0"/>
    <n v="0"/>
    <n v="-25323.039290324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8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7.1449999999999996"/>
    <n v="7.1449999999999996"/>
    <n v="7.1449999999999996"/>
    <n v="7.1449999999999996"/>
    <m/>
    <n v="739.04"/>
    <n v="252.22"/>
    <m/>
    <n v="7082.5526999999993"/>
    <n v="7082.5526999999993"/>
    <n v="4844.0956499999993"/>
    <n v="0"/>
    <n v="441.94080407423655"/>
    <n v="0"/>
    <n v="0"/>
    <n v="0"/>
    <n v="882.39021550359894"/>
    <n v="3622.4276170324647"/>
    <n v="1802.1316736228721"/>
    <n v="0"/>
    <n v="0"/>
    <n v="0"/>
    <n v="0"/>
    <n v="0"/>
    <n v="68.313553519674784"/>
    <m/>
    <n v="16.742868062463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6049016854048"/>
    <n v="0"/>
    <n v="0"/>
    <n v="0"/>
    <n v="2510.71"/>
    <n v="11"/>
    <m/>
    <m/>
    <m/>
    <m/>
    <m/>
    <m/>
    <m/>
    <m/>
    <m/>
    <n v="2050.7365753082768"/>
    <m/>
    <m/>
    <m/>
    <m/>
    <m/>
    <m/>
    <m/>
    <m/>
    <m/>
    <m/>
    <m/>
    <m/>
    <n v="4847.4855000000007"/>
    <n v="-2235.0971999999992"/>
    <m/>
    <m/>
    <m/>
    <m/>
    <n v="-2238.4570499999995"/>
    <n v="0"/>
    <n v="30"/>
    <n v="-17.378047064919429"/>
    <n v="0"/>
    <n v="0"/>
    <n v="0"/>
    <n v="0"/>
    <n v="0"/>
    <n v="0"/>
    <n v="0"/>
    <n v="-2.2678205588321134"/>
    <n v="0"/>
    <n v="0"/>
    <n v="-2.5264739633712452E-7"/>
    <n v="0"/>
    <n v="0"/>
    <n v="0"/>
    <n v="-3.4852632779802661E-8"/>
    <n v="0"/>
    <n v="-12.85035210920006"/>
    <m/>
    <n v="0"/>
    <n v="0"/>
    <n v="0"/>
    <n v="0"/>
    <n v="-1.7161808859087557"/>
    <n v="-0.54369322347825744"/>
    <n v="0"/>
    <n v="0"/>
    <m/>
    <m/>
    <m/>
    <n v="3622.4276170324647"/>
    <n v="0"/>
    <n v="0"/>
    <n v="-2238.4570499999995"/>
    <n v="0"/>
    <n v="0"/>
    <n v="0"/>
    <n v="-2221.0738225107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29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7.44"/>
    <n v="3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30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3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31"/>
    <s v="Regular"/>
    <s v="Convencional"/>
    <s v="B2"/>
    <s v="Rural"/>
    <s v="Agropecuária rural"/>
    <s v="IRRIG./AQUIC."/>
    <s v="Não se aplica"/>
    <s v="Não se aplica"/>
    <s v="CATIVO"/>
    <x v="4"/>
    <n v="0"/>
    <n v="0"/>
    <n v="83.301000000000002"/>
    <n v="83.301000000000002"/>
    <n v="83.301000000000002"/>
    <n v="83.301000000000002"/>
    <m/>
    <n v="739.04"/>
    <n v="252.22"/>
    <m/>
    <n v="82572.949259999994"/>
    <n v="82572.949259999994"/>
    <n v="56475.578970000002"/>
    <n v="0"/>
    <n v="5152.4297998863512"/>
    <n v="0"/>
    <n v="0"/>
    <n v="0"/>
    <n v="10287.471986237271"/>
    <n v="42232.58823322902"/>
    <n v="21010.408753598163"/>
    <n v="0"/>
    <n v="0"/>
    <n v="0"/>
    <n v="0"/>
    <n v="0"/>
    <n v="796.44329205632323"/>
    <m/>
    <n v="195.19911161249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8.3956494465929"/>
    <n v="0"/>
    <n v="0"/>
    <n v="0"/>
    <n v="0"/>
    <n v="0"/>
    <m/>
    <m/>
    <m/>
    <m/>
    <m/>
    <n v="8195.1523799999995"/>
    <m/>
    <m/>
    <m/>
    <n v="23908.804403044756"/>
    <m/>
    <m/>
    <m/>
    <m/>
    <m/>
    <m/>
    <m/>
    <m/>
    <m/>
    <m/>
    <m/>
    <m/>
    <n v="48279.846999999994"/>
    <n v="-21922.100750000012"/>
    <m/>
    <m/>
    <m/>
    <m/>
    <n v="-26097.370289999999"/>
    <n v="0"/>
    <n v="30"/>
    <n v="-202.60443646673957"/>
    <n v="0"/>
    <n v="0"/>
    <n v="0"/>
    <n v="0"/>
    <n v="0"/>
    <n v="0"/>
    <n v="0"/>
    <n v="-26.439708939296906"/>
    <n v="0"/>
    <n v="0"/>
    <n v="-2.9455259209498763E-6"/>
    <n v="0"/>
    <n v="0"/>
    <n v="0"/>
    <n v="-4.0633403841638938E-7"/>
    <n v="0"/>
    <n v="-149.81766004877136"/>
    <m/>
    <n v="0"/>
    <n v="0"/>
    <n v="0"/>
    <n v="0"/>
    <n v="-20.008339255015358"/>
    <n v="-6.3387248717931755"/>
    <n v="0"/>
    <n v="0"/>
    <m/>
    <m/>
    <m/>
    <n v="42232.58823322902"/>
    <n v="0"/>
    <n v="0"/>
    <n v="-26097.370289999999"/>
    <n v="0"/>
    <n v="0"/>
    <n v="0"/>
    <n v="-25894.7054568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2"/>
    <s v="Refaturamento - Regular"/>
    <s v="Convencional"/>
    <s v="B2"/>
    <s v="Rural"/>
    <s v="Agropecuária rural"/>
    <s v="IRRIG./AQUIC."/>
    <s v="Não se aplica"/>
    <s v="Não se aplica"/>
    <s v="CATIVO"/>
    <x v="4"/>
    <n v="0"/>
    <n v="0"/>
    <n v="0.2"/>
    <n v="0.2"/>
    <n v="0.2"/>
    <n v="0.2"/>
    <m/>
    <n v="739.04"/>
    <n v="252.22"/>
    <m/>
    <n v="198.25200000000001"/>
    <n v="198.25200000000001"/>
    <n v="135.59399999999999"/>
    <n v="0"/>
    <n v="12.37063132468122"/>
    <n v="0"/>
    <n v="0"/>
    <n v="0"/>
    <n v="24.699516179246999"/>
    <n v="101.3975540107058"/>
    <n v="50.444553495391801"/>
    <n v="0"/>
    <n v="0"/>
    <n v="0"/>
    <n v="0"/>
    <n v="0"/>
    <n v="1.9122058367998542"/>
    <m/>
    <n v="0.46865970783662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588495923136406"/>
    <n v="0"/>
    <n v="0"/>
    <n v="0"/>
    <n v="0"/>
    <n v="0"/>
    <m/>
    <m/>
    <m/>
    <m/>
    <m/>
    <n v="19.676000000000002"/>
    <m/>
    <m/>
    <m/>
    <n v="57.403403087705442"/>
    <m/>
    <m/>
    <m/>
    <m/>
    <m/>
    <m/>
    <m/>
    <m/>
    <m/>
    <m/>
    <m/>
    <m/>
    <n v="115.91800000000001"/>
    <n v="-52.662000000000006"/>
    <m/>
    <m/>
    <m/>
    <m/>
    <n v="-62.657999999999994"/>
    <n v="0"/>
    <n v="30"/>
    <n v="-0.48643938600194758"/>
    <n v="0"/>
    <n v="0"/>
    <n v="0"/>
    <n v="0"/>
    <n v="0"/>
    <n v="0"/>
    <n v="0"/>
    <n v="-6.347993166779986E-2"/>
    <n v="0"/>
    <n v="0"/>
    <n v="-7.0720034273108467E-9"/>
    <n v="0"/>
    <n v="0"/>
    <n v="0"/>
    <n v="-9.7558050526913576E-10"/>
    <n v="0"/>
    <n v="-0.35970194847305947"/>
    <m/>
    <n v="0"/>
    <n v="0"/>
    <n v="0"/>
    <n v="0"/>
    <n v="-4.8038653209482307E-2"/>
    <n v="-1.5218844604009962E-2"/>
    <n v="0"/>
    <n v="0"/>
    <m/>
    <m/>
    <m/>
    <n v="101.3975540107058"/>
    <n v="0"/>
    <n v="0"/>
    <n v="-62.657999999999987"/>
    <n v="0"/>
    <n v="0"/>
    <n v="0"/>
    <n v="-62.17141560561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3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1.4670000000000001"/>
    <n v="1.4670000000000001"/>
    <n v="1.4670000000000001"/>
    <n v="1.4670000000000001"/>
    <m/>
    <n v="739.04"/>
    <n v="252.22"/>
    <m/>
    <n v="1454.17842"/>
    <n v="1454.17842"/>
    <n v="994.58199000000002"/>
    <n v="0"/>
    <n v="90.738580766536757"/>
    <n v="0"/>
    <n v="0"/>
    <n v="0"/>
    <n v="181.17095117477675"/>
    <n v="743.75105866852709"/>
    <n v="370.0107998886989"/>
    <n v="0"/>
    <n v="0"/>
    <n v="0"/>
    <n v="0"/>
    <n v="0"/>
    <n v="14.026029812926931"/>
    <m/>
    <n v="3.4376189569816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04316175962056"/>
    <n v="0"/>
    <n v="0"/>
    <n v="0"/>
    <n v="0"/>
    <n v="0"/>
    <m/>
    <m/>
    <m/>
    <m/>
    <m/>
    <n v="144.32346000000001"/>
    <m/>
    <m/>
    <m/>
    <n v="421.05396164831944"/>
    <m/>
    <m/>
    <m/>
    <m/>
    <m/>
    <m/>
    <m/>
    <m/>
    <m/>
    <m/>
    <m/>
    <m/>
    <n v="851.9973"/>
    <n v="-384.34695000000011"/>
    <m/>
    <m/>
    <m/>
    <m/>
    <n v="-459.59643"/>
    <n v="0"/>
    <n v="30"/>
    <n v="-3.5680328963242118"/>
    <n v="0"/>
    <n v="0"/>
    <n v="0"/>
    <n v="0"/>
    <n v="0"/>
    <n v="0"/>
    <n v="0"/>
    <n v="-0.46562529878332271"/>
    <n v="0"/>
    <n v="0"/>
    <n v="-5.1873144002456684E-8"/>
    <n v="0"/>
    <n v="0"/>
    <n v="0"/>
    <n v="-7.1558901026946842E-9"/>
    <n v="0"/>
    <n v="-2.6384137920498887"/>
    <m/>
    <n v="0"/>
    <n v="0"/>
    <n v="0"/>
    <n v="0"/>
    <n v="-0.35236352129155257"/>
    <n v="-0.11163022517041332"/>
    <n v="0"/>
    <n v="0"/>
    <m/>
    <m/>
    <m/>
    <n v="743.75105866852709"/>
    <n v="0"/>
    <n v="0"/>
    <n v="-459.59642999999994"/>
    <n v="0"/>
    <n v="0"/>
    <n v="0"/>
    <n v="-456.0273334672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03.77800000000001"/>
    <n v="41.511200000000002"/>
    <n v="103.77800000000001"/>
    <n v="41.511200000000002"/>
    <m/>
    <n v="739.04"/>
    <n v="252.22"/>
    <m/>
    <n v="102870.98028"/>
    <n v="102870.98028"/>
    <n v="70358.37066"/>
    <n v="0"/>
    <n v="6418.9968880638389"/>
    <n v="0"/>
    <n v="0"/>
    <n v="0"/>
    <n v="12816.331950249476"/>
    <n v="52614.176800615132"/>
    <n v="26175.174363223854"/>
    <n v="0"/>
    <n v="0"/>
    <n v="0"/>
    <n v="0"/>
    <n v="0"/>
    <n v="992.22448665707634"/>
    <m/>
    <n v="243.18283579934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0.8774649556253"/>
    <n v="0"/>
    <n v="0"/>
    <n v="0"/>
    <n v="0"/>
    <n v="0"/>
    <m/>
    <m/>
    <m/>
    <m/>
    <m/>
    <m/>
    <n v="46298.894252000006"/>
    <m/>
    <m/>
    <n v="29786.051828179479"/>
    <m/>
    <m/>
    <m/>
    <m/>
    <m/>
    <m/>
    <m/>
    <m/>
    <m/>
    <m/>
    <m/>
    <m/>
    <n v="24058.780899999998"/>
    <n v="-10924.812900000004"/>
    <m/>
    <m/>
    <m/>
    <m/>
    <n v="-32512.609619999999"/>
    <n v="0"/>
    <n v="30"/>
    <n v="-252.40853300254093"/>
    <n v="0"/>
    <n v="0"/>
    <n v="0"/>
    <n v="0"/>
    <n v="0"/>
    <n v="0"/>
    <n v="0"/>
    <n v="-32.939101743104402"/>
    <n v="0"/>
    <n v="0"/>
    <n v="-3.6695928429253399E-6"/>
    <n v="0"/>
    <n v="0"/>
    <n v="0"/>
    <n v="-5.0621929403860122E-7"/>
    <n v="0"/>
    <n v="-186.64574404318591"/>
    <m/>
    <n v="0"/>
    <n v="0"/>
    <n v="0"/>
    <n v="0"/>
    <n v="-24.926776763868247"/>
    <n v="-7.8969062765747253"/>
    <n v="0"/>
    <n v="0"/>
    <m/>
    <m/>
    <m/>
    <n v="52614.176800615132"/>
    <n v="0"/>
    <n v="0"/>
    <n v="-32512.609620000003"/>
    <n v="0"/>
    <n v="0"/>
    <n v="0"/>
    <n v="-32260.125843599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5"/>
    <s v="Refaturamento - Regular"/>
    <s v="Convencional"/>
    <s v="B2"/>
    <s v="Rural"/>
    <s v="Agropecuária rural"/>
    <s v="IRRIG./AQUIC. PR"/>
    <s v="Não se aplica"/>
    <s v="Não se aplica"/>
    <s v="CATIVO"/>
    <x v="4"/>
    <n v="0"/>
    <n v="0"/>
    <n v="-12.36"/>
    <n v="-4.944"/>
    <n v="-12.36"/>
    <n v="-4.944"/>
    <m/>
    <n v="739.04"/>
    <n v="252.22"/>
    <m/>
    <n v="-12251.973599999998"/>
    <n v="-12251.973599999998"/>
    <n v="-8379.7091999999993"/>
    <n v="0"/>
    <n v="-764.50501586529936"/>
    <n v="0"/>
    <n v="0"/>
    <n v="0"/>
    <n v="-1526.4300998774645"/>
    <n v="-6266.368837861618"/>
    <n v="-3117.4734060152132"/>
    <n v="0"/>
    <n v="0"/>
    <n v="0"/>
    <n v="0"/>
    <n v="0"/>
    <n v="-118.17432071423097"/>
    <m/>
    <n v="-28.963169944303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0.05690480498299"/>
    <n v="0"/>
    <n v="0"/>
    <n v="0"/>
    <n v="0"/>
    <n v="0"/>
    <m/>
    <m/>
    <m/>
    <m/>
    <m/>
    <m/>
    <n v="-5514.2162399999997"/>
    <m/>
    <m/>
    <n v="-3547.5303108201961"/>
    <m/>
    <m/>
    <m/>
    <m/>
    <m/>
    <m/>
    <m/>
    <m/>
    <m/>
    <m/>
    <m/>
    <m/>
    <n v="-2863.1746000000003"/>
    <n v="1303.3513999999986"/>
    <m/>
    <m/>
    <m/>
    <m/>
    <n v="3872.2643999999996"/>
    <n v="0"/>
    <n v="30"/>
    <n v="30.061954054918715"/>
    <n v="0"/>
    <n v="0"/>
    <n v="0"/>
    <n v="0"/>
    <n v="0"/>
    <n v="0"/>
    <n v="0"/>
    <n v="3.9230597770701934"/>
    <n v="0"/>
    <n v="0"/>
    <n v="4.3704994823201559E-7"/>
    <n v="0"/>
    <n v="0"/>
    <n v="0"/>
    <n v="6.029091537129716E-8"/>
    <n v="0"/>
    <n v="22.229580415635041"/>
    <m/>
    <n v="0"/>
    <n v="0"/>
    <n v="0"/>
    <n v="0"/>
    <n v="2.9687887683460019"/>
    <n v="0.9405245965278155"/>
    <n v="0"/>
    <n v="0"/>
    <m/>
    <m/>
    <m/>
    <n v="-6266.368837861618"/>
    <n v="0"/>
    <n v="0"/>
    <n v="3872.2643999999991"/>
    <n v="0"/>
    <n v="0"/>
    <n v="0"/>
    <n v="3842.193484427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6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8.2799999999999994"/>
    <n v="8.2799999999999994"/>
    <n v="8.2799999999999994"/>
    <n v="8.2799999999999994"/>
    <m/>
    <n v="739.04"/>
    <n v="252.22"/>
    <m/>
    <n v="8207.6327999999994"/>
    <n v="8207.6327999999994"/>
    <n v="5613.5915999999997"/>
    <n v="0"/>
    <n v="512.14413684180249"/>
    <n v="0"/>
    <n v="0"/>
    <n v="0"/>
    <n v="1022.5599698208257"/>
    <n v="4197.8587360432202"/>
    <n v="2088.4045147092206"/>
    <n v="0"/>
    <n v="0"/>
    <n v="0"/>
    <n v="0"/>
    <n v="0"/>
    <n v="79.165321643513948"/>
    <m/>
    <n v="19.402511904436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09637312178472"/>
    <n v="0"/>
    <n v="0"/>
    <n v="0"/>
    <n v="0"/>
    <n v="0"/>
    <m/>
    <m/>
    <m/>
    <m/>
    <m/>
    <n v="814.58639999999991"/>
    <m/>
    <m/>
    <m/>
    <n v="2376.5008878310055"/>
    <m/>
    <m/>
    <m/>
    <m/>
    <m/>
    <m/>
    <m/>
    <m/>
    <m/>
    <m/>
    <m/>
    <m/>
    <n v="4799.0051999999996"/>
    <n v="-2178.9948000000004"/>
    <m/>
    <m/>
    <m/>
    <m/>
    <n v="-2594.0411999999997"/>
    <n v="0"/>
    <n v="30"/>
    <n v="-20.138590580480468"/>
    <n v="0"/>
    <n v="0"/>
    <n v="0"/>
    <n v="0"/>
    <n v="0"/>
    <n v="0"/>
    <n v="0"/>
    <n v="-2.6280691710469455"/>
    <n v="0"/>
    <n v="0"/>
    <n v="-2.9278135116328485E-7"/>
    <n v="0"/>
    <n v="0"/>
    <n v="0"/>
    <n v="-4.038906809000764E-8"/>
    <n v="0"/>
    <n v="-14.891660666784674"/>
    <m/>
    <n v="0"/>
    <n v="0"/>
    <n v="0"/>
    <n v="0"/>
    <n v="-1.9888002428725571"/>
    <n v="-0.63006016660601105"/>
    <n v="0"/>
    <n v="0"/>
    <m/>
    <m/>
    <m/>
    <n v="4197.8587360432202"/>
    <n v="0"/>
    <n v="0"/>
    <n v="-2594.0411999999992"/>
    <n v="0"/>
    <n v="0"/>
    <n v="0"/>
    <n v="-2573.896606072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7"/>
    <s v="Regular"/>
    <s v="Verde"/>
    <s v="A4"/>
    <s v="Rural"/>
    <s v="Agropecuária rural"/>
    <s v="Não se aplica"/>
    <s v="Não se aplica"/>
    <s v="Ponta"/>
    <s v="CATIVO"/>
    <x v="4"/>
    <n v="0"/>
    <n v="0"/>
    <n v="34.173000000000002"/>
    <n v="32.806080000000001"/>
    <n v="34.173000000000002"/>
    <n v="32.806080000000001"/>
    <m/>
    <n v="2641.06"/>
    <n v="252.22"/>
    <m/>
    <n v="98872.057440000004"/>
    <n v="98872.057440000004"/>
    <n v="58686.659820000001"/>
    <n v="0"/>
    <n v="1838.9258915237413"/>
    <n v="0"/>
    <n v="0"/>
    <n v="0"/>
    <n v="22136.141367697346"/>
    <n v="65341.863212749304"/>
    <n v="8619.2086329901213"/>
    <n v="0"/>
    <n v="0"/>
    <n v="0"/>
    <n v="0"/>
    <n v="0"/>
    <n v="326.72905030480706"/>
    <m/>
    <n v="82.21703044153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.04475480299641"/>
    <n v="0"/>
    <n v="0"/>
    <n v="0"/>
    <n v="0"/>
    <n v="0"/>
    <m/>
    <m/>
    <m/>
    <m/>
    <m/>
    <n v="2347.4663928000004"/>
    <m/>
    <m/>
    <m/>
    <n v="9146.2533877931182"/>
    <m/>
    <m/>
    <m/>
    <m/>
    <m/>
    <m/>
    <m/>
    <m/>
    <m/>
    <m/>
    <m/>
    <m/>
    <n v="56345.9254"/>
    <n v="-38571.27974239998"/>
    <m/>
    <m/>
    <m/>
    <m/>
    <n v="-40185.397620000003"/>
    <n v="0"/>
    <n v="30"/>
    <n v="-121.24041409874917"/>
    <n v="0"/>
    <n v="0"/>
    <n v="0"/>
    <n v="0"/>
    <n v="0"/>
    <n v="0"/>
    <n v="0"/>
    <n v="-56.891832666442497"/>
    <n v="0"/>
    <n v="0"/>
    <n v="-1.2083582987543195E-6"/>
    <n v="0"/>
    <n v="0"/>
    <n v="0"/>
    <n v="-7.3888827500923071E-8"/>
    <n v="0"/>
    <n v="-53.470611880488832"/>
    <m/>
    <n v="0"/>
    <n v="0"/>
    <n v="0"/>
    <n v="0"/>
    <n v="-8.2081244806381619"/>
    <n v="-2.6698437889377544"/>
    <n v="0"/>
    <n v="0"/>
    <m/>
    <m/>
    <m/>
    <n v="65341.863212749304"/>
    <n v="0"/>
    <n v="0"/>
    <n v="-40185.397619999996"/>
    <n v="0"/>
    <n v="0"/>
    <n v="0"/>
    <n v="-40064.044679187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8"/>
    <s v="Regular"/>
    <s v="Verde"/>
    <s v="A4"/>
    <s v="Rural"/>
    <s v="Agropecuária rural"/>
    <s v="Não se aplica"/>
    <s v="Não se aplica"/>
    <s v="Fora ponta"/>
    <s v="CATIVO"/>
    <x v="4"/>
    <n v="0"/>
    <n v="0"/>
    <n v="410.56700000000001"/>
    <n v="394.14431999999999"/>
    <n v="410.56700000000001"/>
    <n v="394.14431999999999"/>
    <m/>
    <n v="81.2"/>
    <n v="252.22"/>
    <m/>
    <n v="136891.24914"/>
    <n v="136891.24914"/>
    <n v="136119.38318"/>
    <n v="0"/>
    <n v="22093.532511199715"/>
    <n v="0"/>
    <n v="0"/>
    <n v="0"/>
    <n v="0"/>
    <n v="0"/>
    <n v="103554.34497471263"/>
    <n v="0"/>
    <n v="0"/>
    <n v="0"/>
    <n v="0"/>
    <n v="0"/>
    <n v="3925.4430689870287"/>
    <m/>
    <n v="987.78566521201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2.1096727007243"/>
    <n v="0"/>
    <n v="0"/>
    <n v="0"/>
    <n v="0"/>
    <n v="0"/>
    <m/>
    <m/>
    <m/>
    <m/>
    <m/>
    <n v="5444.7753272000045"/>
    <m/>
    <m/>
    <m/>
    <n v="109886.45464741335"/>
    <m/>
    <m/>
    <m/>
    <m/>
    <m/>
    <m/>
    <m/>
    <m/>
    <m/>
    <m/>
    <m/>
    <m/>
    <n v="130673.17559999999"/>
    <n v="-742.45357440001681"/>
    <m/>
    <m/>
    <m/>
    <m/>
    <n v="-771.86596000000395"/>
    <n v="0"/>
    <n v="30"/>
    <n v="-773.10754200455267"/>
    <n v="0"/>
    <n v="0"/>
    <n v="0"/>
    <n v="0"/>
    <n v="0"/>
    <n v="0"/>
    <n v="0"/>
    <n v="0"/>
    <n v="0"/>
    <n v="0"/>
    <n v="-1.4517660019919276E-5"/>
    <n v="0"/>
    <n v="0"/>
    <n v="0"/>
    <n v="-8.8772776507539675E-7"/>
    <n v="0"/>
    <n v="-642.41561197251212"/>
    <m/>
    <n v="0"/>
    <n v="0"/>
    <n v="0"/>
    <n v="0"/>
    <n v="-98.615428661287751"/>
    <n v="-32.076485965317715"/>
    <n v="0"/>
    <n v="0"/>
    <m/>
    <m/>
    <m/>
    <n v="0"/>
    <n v="0"/>
    <n v="0"/>
    <n v="-771.86596000000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39"/>
    <s v="Sistema de Compensação"/>
    <s v="Verde"/>
    <s v="A4"/>
    <s v="Rural"/>
    <s v="Agropecuária rural"/>
    <s v="Não se aplica"/>
    <s v="Não se aplica"/>
    <s v="Fora ponta"/>
    <s v="CATIVO"/>
    <x v="4"/>
    <n v="0"/>
    <n v="0"/>
    <n v="23.623000000000001"/>
    <n v="22.678080000000001"/>
    <n v="23.623000000000001"/>
    <n v="22.678080000000001"/>
    <m/>
    <n v="81.2"/>
    <n v="252.22"/>
    <m/>
    <n v="7876.3806600000007"/>
    <n v="7876.3806600000007"/>
    <n v="7831.9694200000004"/>
    <n v="0"/>
    <n v="1271.2066934558084"/>
    <n v="0"/>
    <n v="0"/>
    <n v="0"/>
    <n v="0"/>
    <n v="0"/>
    <n v="5958.2584361082027"/>
    <n v="0"/>
    <n v="0"/>
    <n v="0"/>
    <n v="0"/>
    <n v="0"/>
    <n v="225.86019241361478"/>
    <m/>
    <n v="56.834720689444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33377937878402"/>
    <n v="0"/>
    <n v="0"/>
    <n v="0"/>
    <n v="0"/>
    <n v="0"/>
    <m/>
    <m/>
    <m/>
    <m/>
    <m/>
    <n v="313.27877679999995"/>
    <m/>
    <m/>
    <m/>
    <n v="6322.5922154869868"/>
    <m/>
    <m/>
    <m/>
    <m/>
    <m/>
    <m/>
    <m/>
    <m/>
    <m/>
    <m/>
    <m/>
    <m/>
    <n v="7519.3271999999997"/>
    <n v="-42.028233600000931"/>
    <m/>
    <m/>
    <m/>
    <m/>
    <n v="-44.411240000000234"/>
    <n v="0"/>
    <n v="30"/>
    <n v="-44.482677528325439"/>
    <n v="0"/>
    <n v="0"/>
    <n v="0"/>
    <n v="0"/>
    <n v="0"/>
    <n v="0"/>
    <n v="0"/>
    <n v="0"/>
    <n v="0"/>
    <n v="0"/>
    <n v="-8.3530903793871403E-7"/>
    <n v="0"/>
    <n v="0"/>
    <n v="0"/>
    <n v="-5.1077677198918536E-8"/>
    <n v="0"/>
    <n v="-36.962990210188991"/>
    <m/>
    <n v="0"/>
    <n v="0"/>
    <n v="0"/>
    <n v="0"/>
    <n v="-5.6740855238380163"/>
    <n v="-1.8456009079119866"/>
    <n v="0"/>
    <n v="0"/>
    <m/>
    <m/>
    <m/>
    <n v="0"/>
    <n v="0"/>
    <n v="0"/>
    <n v="-44.411240000000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0"/>
    <s v="Regular"/>
    <s v="Verde"/>
    <s v="A4"/>
    <s v="Rural"/>
    <s v="Agropecuária rural"/>
    <s v="Não se aplica"/>
    <s v="Não se aplica"/>
    <s v="Não se aplica"/>
    <s v="CATIVO"/>
    <x v="4"/>
    <n v="3630"/>
    <n v="3484.8"/>
    <n v="0"/>
    <n v="0"/>
    <n v="0"/>
    <n v="0"/>
    <n v="74.44"/>
    <m/>
    <m/>
    <n v="270217.2"/>
    <m/>
    <n v="270217.2"/>
    <n v="164874.6"/>
    <n v="0"/>
    <n v="0"/>
    <n v="0"/>
    <n v="0"/>
    <n v="0"/>
    <n v="98798.045885540036"/>
    <n v="171414.182701066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4.61000000000001"/>
    <n v="24"/>
    <m/>
    <m/>
    <m/>
    <m/>
    <m/>
    <n v="6594.9839999999922"/>
    <m/>
    <m/>
    <m/>
    <n v="0"/>
    <m/>
    <m/>
    <m/>
    <m/>
    <m/>
    <m/>
    <m/>
    <m/>
    <m/>
    <m/>
    <m/>
    <m/>
    <n v="158279.61600000001"/>
    <n v="-101128.92600000004"/>
    <m/>
    <m/>
    <m/>
    <m/>
    <n v="-105342.59999999999"/>
    <n v="0"/>
    <n v="30"/>
    <n v="-253.91967827295593"/>
    <n v="0"/>
    <n v="0"/>
    <n v="0"/>
    <n v="0"/>
    <m/>
    <m/>
    <m/>
    <n v="-253.919678272955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414.18270106686"/>
    <m/>
    <n v="0"/>
    <n v="0"/>
    <n v="-105342.6"/>
    <m/>
    <n v="0"/>
    <m/>
    <n v="-105101.7699330322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41"/>
    <s v="Sistema de Compensação"/>
    <s v="Verde"/>
    <s v="A4"/>
    <s v="Rural"/>
    <s v="Agropecuária rural"/>
    <s v="Não se aplica"/>
    <s v="Não se aplica"/>
    <s v="Não se aplica"/>
    <s v="CATIVO"/>
    <x v="4"/>
    <n v="257"/>
    <n v="246.72"/>
    <n v="0"/>
    <n v="0"/>
    <n v="0"/>
    <n v="0"/>
    <n v="74.44"/>
    <m/>
    <m/>
    <n v="19131.079999999998"/>
    <m/>
    <n v="19131.079999999998"/>
    <n v="11672.94"/>
    <n v="0"/>
    <n v="0"/>
    <n v="0"/>
    <n v="0"/>
    <n v="0"/>
    <n v="6994.7927803261127"/>
    <n v="12135.9352490837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3.27"/>
    <n v="1"/>
    <m/>
    <m/>
    <m/>
    <m/>
    <m/>
    <n v="466.91760000000005"/>
    <m/>
    <m/>
    <m/>
    <n v="0"/>
    <m/>
    <m/>
    <m/>
    <m/>
    <m/>
    <m/>
    <m/>
    <m/>
    <m/>
    <m/>
    <m/>
    <m/>
    <n v="11206.0224"/>
    <n v="-7159.8443999999963"/>
    <m/>
    <m/>
    <m/>
    <m/>
    <n v="-7458.1399999999994"/>
    <n v="0"/>
    <n v="30"/>
    <n v="-17.977233420427183"/>
    <n v="0"/>
    <n v="0"/>
    <n v="0"/>
    <n v="0"/>
    <m/>
    <m/>
    <m/>
    <n v="-17.9772334204271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135.935249083797"/>
    <m/>
    <n v="0"/>
    <n v="0"/>
    <n v="-7458.1399999999976"/>
    <m/>
    <n v="0"/>
    <m/>
    <n v="-7441.089496636166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42"/>
    <s v="Regular"/>
    <s v="Verde"/>
    <s v="A4"/>
    <s v="Rural"/>
    <s v="Agropecuária rural"/>
    <s v="IRRIG./AQUIC. PR"/>
    <s v="Não se aplica"/>
    <s v="Fora ponta"/>
    <s v="CATIVO"/>
    <x v="4"/>
    <n v="0"/>
    <n v="0"/>
    <n v="313.84899999999999"/>
    <n v="94.154700000000005"/>
    <n v="313.84899999999999"/>
    <n v="94.154700000000005"/>
    <m/>
    <n v="81.2"/>
    <n v="252.22"/>
    <m/>
    <n v="104643.53357999999"/>
    <n v="104643.53357999999"/>
    <n v="104053.49745999998"/>
    <n v="0"/>
    <n v="16888.91967719646"/>
    <n v="0"/>
    <n v="0"/>
    <n v="0"/>
    <n v="0"/>
    <n v="0"/>
    <n v="79159.863349876105"/>
    <n v="0"/>
    <n v="0"/>
    <n v="0"/>
    <n v="0"/>
    <n v="0"/>
    <n v="3000.7194483689868"/>
    <m/>
    <n v="755.09123539184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0.4433105131429"/>
    <n v="0"/>
    <n v="0"/>
    <n v="0"/>
    <n v="0"/>
    <n v="0"/>
    <m/>
    <m/>
    <m/>
    <m/>
    <m/>
    <m/>
    <n v="72837.448222000006"/>
    <m/>
    <m/>
    <n v="84000.306660389251"/>
    <m/>
    <m/>
    <m/>
    <m/>
    <m/>
    <m/>
    <m/>
    <m/>
    <m/>
    <m/>
    <m/>
    <m/>
    <n v="31214.491000000002"/>
    <n v="-178.59907400000156"/>
    <m/>
    <m/>
    <m/>
    <m/>
    <n v="-590.03612000000305"/>
    <n v="0"/>
    <n v="30"/>
    <n v="-590.98522031867469"/>
    <n v="0"/>
    <n v="0"/>
    <n v="0"/>
    <n v="0"/>
    <n v="0"/>
    <n v="0"/>
    <n v="0"/>
    <n v="0"/>
    <n v="0"/>
    <n v="0"/>
    <n v="-1.1097712558694184E-5"/>
    <n v="0"/>
    <n v="0"/>
    <n v="0"/>
    <n v="-6.7860401031794026E-7"/>
    <n v="0"/>
    <n v="-491.0806211944946"/>
    <m/>
    <n v="0"/>
    <n v="0"/>
    <n v="0"/>
    <n v="0"/>
    <n v="-75.384416355713711"/>
    <n v="-24.520170992137764"/>
    <n v="0"/>
    <n v="0"/>
    <m/>
    <m/>
    <m/>
    <n v="0"/>
    <n v="0"/>
    <n v="0"/>
    <n v="-590.0361200000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3"/>
    <s v="Regular"/>
    <s v="Convencional"/>
    <s v="B1"/>
    <s v="Residencial"/>
    <s v="Residencial"/>
    <s v="Não se aplica"/>
    <s v="Não se aplica"/>
    <s v="Não se aplica"/>
    <s v="CATIVO"/>
    <x v="5"/>
    <n v="0"/>
    <n v="0"/>
    <n v="1113.55"/>
    <n v="1113.55"/>
    <n v="1113.55"/>
    <n v="1113.55"/>
    <m/>
    <n v="739.04"/>
    <n v="252.22"/>
    <m/>
    <n v="1103817.5729999999"/>
    <n v="1103817.5729999999"/>
    <n v="754953.49349999998"/>
    <n v="0"/>
    <n v="68876.582557993854"/>
    <n v="0"/>
    <n v="0"/>
    <n v="0"/>
    <n v="137520.73120700248"/>
    <n v="564556.23134310718"/>
    <n v="280862.66272396769"/>
    <n v="0"/>
    <n v="0"/>
    <n v="0"/>
    <n v="0"/>
    <n v="0"/>
    <n v="10646.684047842387"/>
    <m/>
    <n v="2609.380088307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45.134817604274"/>
    <n v="0"/>
    <n v="0"/>
    <n v="0"/>
    <n v="375949.78"/>
    <n v="8224"/>
    <m/>
    <m/>
    <m/>
    <m/>
    <m/>
    <m/>
    <m/>
    <m/>
    <m/>
    <n v="319607.79754157196"/>
    <m/>
    <m/>
    <m/>
    <m/>
    <m/>
    <m/>
    <m/>
    <m/>
    <m/>
    <m/>
    <m/>
    <m/>
    <n v="754953.49349999998"/>
    <n v="-348864.1094999999"/>
    <m/>
    <m/>
    <m/>
    <m/>
    <n v="-348864.07949999993"/>
    <n v="0"/>
    <m/>
    <n v="-2708.372891412233"/>
    <n v="0"/>
    <n v="0"/>
    <n v="0"/>
    <n v="0"/>
    <n v="0"/>
    <n v="0"/>
    <n v="0"/>
    <n v="-353.44038954339339"/>
    <n v="0"/>
    <n v="0"/>
    <n v="-3.9375154301524162E-5"/>
    <n v="0"/>
    <n v="0"/>
    <n v="0"/>
    <n v="-5.4317933972924948E-6"/>
    <n v="0"/>
    <n v="-2002.7305236108659"/>
    <m/>
    <n v="0"/>
    <n v="0"/>
    <n v="0"/>
    <n v="0"/>
    <n v="-267.46721140709451"/>
    <n v="-84.73472204397649"/>
    <n v="0"/>
    <n v="0"/>
    <m/>
    <m/>
    <m/>
    <n v="564556.23134310718"/>
    <n v="0"/>
    <n v="0"/>
    <n v="-348864.07949999999"/>
    <n v="0"/>
    <n v="0"/>
    <n v="0"/>
    <n v="-346154.89923818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4.1000000000000002E-2"/>
    <n v="-4.1000000000000002E-2"/>
    <n v="-4.1000000000000002E-2"/>
    <n v="-4.1000000000000002E-2"/>
    <m/>
    <n v="739.04"/>
    <n v="252.22"/>
    <m/>
    <n v="-40.641660000000002"/>
    <n v="-40.641660000000002"/>
    <n v="-27.796770000000002"/>
    <n v="0"/>
    <n v="-2.5359794215596501"/>
    <n v="0"/>
    <n v="0"/>
    <n v="0"/>
    <n v="-5.0634008167456352"/>
    <n v="-20.786498572194692"/>
    <n v="-10.34113346655532"/>
    <n v="0"/>
    <n v="0"/>
    <n v="0"/>
    <n v="0"/>
    <n v="0"/>
    <n v="-0.39200219654397012"/>
    <m/>
    <n v="-9.607524010650873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265641664242963"/>
    <n v="0"/>
    <n v="0"/>
    <n v="0"/>
    <n v="-21.59"/>
    <n v="0"/>
    <m/>
    <m/>
    <m/>
    <m/>
    <m/>
    <m/>
    <m/>
    <m/>
    <m/>
    <n v="-11.767697632979615"/>
    <m/>
    <m/>
    <m/>
    <m/>
    <m/>
    <m/>
    <m/>
    <m/>
    <m/>
    <m/>
    <m/>
    <m/>
    <n v="-27.1188"/>
    <n v="13.49286"/>
    <m/>
    <m/>
    <m/>
    <m/>
    <n v="12.844889999999999"/>
    <n v="0"/>
    <m/>
    <n v="9.9720074130399183E-2"/>
    <n v="0"/>
    <n v="0"/>
    <n v="0"/>
    <n v="0"/>
    <n v="0"/>
    <n v="0"/>
    <n v="0"/>
    <n v="1.3013385991899717E-2"/>
    <n v="0"/>
    <n v="0"/>
    <n v="1.4497611999786386E-9"/>
    <n v="0"/>
    <n v="0"/>
    <n v="0"/>
    <n v="1.9999402134374122E-10"/>
    <n v="0"/>
    <n v="7.3738899436976979E-2"/>
    <m/>
    <n v="0"/>
    <n v="0"/>
    <n v="0"/>
    <n v="0"/>
    <n v="9.8479239079438674E-3"/>
    <n v="3.119863143822052E-3"/>
    <n v="0"/>
    <n v="0"/>
    <m/>
    <m/>
    <m/>
    <n v="-20.786498572194692"/>
    <n v="0"/>
    <n v="0"/>
    <n v="12.844889999999999"/>
    <n v="0"/>
    <n v="0"/>
    <n v="0"/>
    <n v="12.745140199151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8.027000000000001"/>
    <n v="28.027000000000001"/>
    <n v="28.027000000000001"/>
    <n v="28.027000000000001"/>
    <m/>
    <n v="739.04"/>
    <n v="252.22"/>
    <m/>
    <n v="27782.044019999998"/>
    <n v="27782.044019999998"/>
    <n v="19001.465189999999"/>
    <n v="0"/>
    <n v="1733.5584206842029"/>
    <n v="0"/>
    <n v="0"/>
    <n v="0"/>
    <n v="3461.2666997787783"/>
    <n v="14209.346231290257"/>
    <n v="7069.0475040767305"/>
    <n v="0"/>
    <n v="0"/>
    <n v="0"/>
    <n v="0"/>
    <n v="0"/>
    <n v="267.96696493994756"/>
    <m/>
    <n v="65.675628157685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5.17838761887208"/>
    <n v="0"/>
    <n v="0"/>
    <n v="0"/>
    <n v="32115.41"/>
    <n v="505"/>
    <m/>
    <m/>
    <m/>
    <m/>
    <m/>
    <m/>
    <m/>
    <m/>
    <m/>
    <n v="8044.2258916956025"/>
    <m/>
    <m/>
    <m/>
    <m/>
    <m/>
    <m/>
    <m/>
    <m/>
    <m/>
    <m/>
    <m/>
    <m/>
    <n v="19003.499100000001"/>
    <n v="-8778.5749199999918"/>
    <m/>
    <m/>
    <m/>
    <m/>
    <n v="-8780.5788299999986"/>
    <n v="0"/>
    <m/>
    <n v="-68.167183357381873"/>
    <n v="0"/>
    <n v="0"/>
    <n v="0"/>
    <n v="0"/>
    <n v="0"/>
    <n v="0"/>
    <n v="0"/>
    <n v="-8.8957602242671783"/>
    <n v="0"/>
    <n v="0"/>
    <n v="-9.9103544926038012E-7"/>
    <n v="0"/>
    <n v="0"/>
    <n v="0"/>
    <n v="-1.3671308352058986E-7"/>
    <n v="0"/>
    <n v="-50.406832549272394"/>
    <m/>
    <n v="0"/>
    <n v="0"/>
    <n v="0"/>
    <n v="0"/>
    <n v="-6.7318966675107959"/>
    <n v="-2.1326927885829434"/>
    <n v="0"/>
    <n v="0"/>
    <m/>
    <m/>
    <m/>
    <n v="14209.346231290257"/>
    <n v="0"/>
    <n v="0"/>
    <n v="-8780.5788299999986"/>
    <n v="0"/>
    <n v="0"/>
    <n v="0"/>
    <n v="-8712.391325893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9.06"/>
    <n v="9.06"/>
    <n v="9.06"/>
    <n v="9.06"/>
    <m/>
    <n v="667.62"/>
    <n v="252.22"/>
    <m/>
    <n v="8333.7504000000008"/>
    <n v="8333.7504000000008"/>
    <n v="5513.8254000000006"/>
    <n v="0"/>
    <n v="0"/>
    <n v="0"/>
    <n v="0"/>
    <n v="0"/>
    <n v="1118.888082919889"/>
    <n v="4593.3091966849734"/>
    <n v="2285.1382733412488"/>
    <n v="0"/>
    <n v="0"/>
    <n v="0"/>
    <n v="0"/>
    <n v="0"/>
    <n v="0"/>
    <m/>
    <n v="21.230284764999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23588653180792"/>
    <n v="0"/>
    <n v="0"/>
    <n v="0"/>
    <n v="752.3"/>
    <n v="13"/>
    <m/>
    <m/>
    <m/>
    <m/>
    <m/>
    <m/>
    <m/>
    <n v="3583.9547999999995"/>
    <m/>
    <n v="2600.3741598730567"/>
    <m/>
    <m/>
    <m/>
    <m/>
    <m/>
    <m/>
    <m/>
    <m/>
    <m/>
    <m/>
    <m/>
    <m/>
    <n v="1929.8706000000002"/>
    <n v="-987.02640000000065"/>
    <m/>
    <m/>
    <m/>
    <m/>
    <n v="-2819.9250000000002"/>
    <n v="0"/>
    <m/>
    <n v="-3.5650549296683494"/>
    <n v="0"/>
    <n v="0"/>
    <n v="0"/>
    <n v="0"/>
    <n v="0"/>
    <n v="0"/>
    <n v="0"/>
    <n v="-2.8756409045513465"/>
    <n v="0"/>
    <n v="0"/>
    <n v="-3.203617779945489E-7"/>
    <n v="0"/>
    <n v="0"/>
    <n v="0"/>
    <n v="-4.4193768644618103E-8"/>
    <n v="0"/>
    <n v="0"/>
    <m/>
    <n v="0"/>
    <n v="0"/>
    <n v="0"/>
    <n v="0"/>
    <n v="0"/>
    <n v="-0.68941366056165165"/>
    <n v="0"/>
    <n v="0"/>
    <m/>
    <m/>
    <m/>
    <n v="4593.3091966849734"/>
    <n v="0"/>
    <n v="0"/>
    <n v="-2819.9249999999997"/>
    <n v="0"/>
    <n v="0"/>
    <n v="0"/>
    <n v="-2816.365126934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7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6"/>
    <n v="-5.7000000000000002E-2"/>
    <n v="0.06"/>
    <n v="-5.7000000000000002E-2"/>
    <m/>
    <n v="667.62"/>
    <n v="252.22"/>
    <m/>
    <n v="55.190399999999997"/>
    <n v="55.190399999999997"/>
    <n v="36.5154"/>
    <n v="0"/>
    <n v="0"/>
    <n v="0"/>
    <n v="0"/>
    <n v="0"/>
    <n v="7.4098548537740996"/>
    <n v="30.419266203211738"/>
    <n v="15.133366048617539"/>
    <n v="0"/>
    <n v="0"/>
    <n v="0"/>
    <n v="0"/>
    <n v="0"/>
    <n v="0"/>
    <m/>
    <n v="0.14059791235098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76548776940922"/>
    <n v="0"/>
    <n v="0"/>
    <n v="0"/>
    <n v="7.06"/>
    <n v="0"/>
    <m/>
    <m/>
    <m/>
    <m/>
    <m/>
    <m/>
    <m/>
    <n v="48.656970000000001"/>
    <m/>
    <n v="17.221020926311631"/>
    <m/>
    <m/>
    <m/>
    <m/>
    <m/>
    <m/>
    <m/>
    <m/>
    <m/>
    <m/>
    <m/>
    <m/>
    <n v="-12.7806"/>
    <n v="5.5405499999999996"/>
    <m/>
    <m/>
    <m/>
    <m/>
    <n v="-18.675000000000001"/>
    <n v="0"/>
    <m/>
    <n v="-2.3609635295816389E-2"/>
    <n v="0"/>
    <n v="0"/>
    <n v="0"/>
    <n v="0"/>
    <n v="0"/>
    <n v="0"/>
    <n v="0"/>
    <n v="-1.9043979500340313E-2"/>
    <n v="0"/>
    <n v="0"/>
    <n v="-2.1216006729218861E-9"/>
    <n v="0"/>
    <n v="0"/>
    <n v="0"/>
    <n v="-2.9267432921642467E-10"/>
    <n v="0"/>
    <n v="0"/>
    <m/>
    <n v="0"/>
    <n v="0"/>
    <n v="0"/>
    <n v="0"/>
    <n v="0"/>
    <n v="-4.5656533812029887E-3"/>
    <n v="0"/>
    <n v="0"/>
    <m/>
    <m/>
    <m/>
    <n v="30.419266203211738"/>
    <n v="0"/>
    <n v="0"/>
    <n v="-18.675000000000001"/>
    <n v="0"/>
    <n v="0"/>
    <n v="0"/>
    <n v="-18.65142468168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8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7.369"/>
    <n v="17.369"/>
    <n v="17.369"/>
    <n v="17.369"/>
    <m/>
    <n v="667.62"/>
    <n v="252.22"/>
    <m/>
    <n v="15976.70096"/>
    <n v="15976.70096"/>
    <n v="10570.59971"/>
    <n v="0"/>
    <n v="0"/>
    <n v="0"/>
    <n v="0"/>
    <n v="0"/>
    <n v="2145.0294825867054"/>
    <n v="8805.8705780597447"/>
    <n v="4380.8572483073012"/>
    <n v="0"/>
    <n v="0"/>
    <n v="0"/>
    <n v="0"/>
    <n v="0"/>
    <n v="0"/>
    <m/>
    <n v="40.700752327071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4.34129284447806"/>
    <n v="0"/>
    <n v="0"/>
    <n v="0"/>
    <n v="2702.04"/>
    <n v="100"/>
    <m/>
    <m/>
    <m/>
    <m/>
    <m/>
    <m/>
    <m/>
    <n v="4228.3093600000002"/>
    <m/>
    <n v="4985.198541151779"/>
    <m/>
    <m/>
    <m/>
    <m/>
    <m/>
    <m/>
    <m/>
    <m/>
    <m/>
    <m/>
    <m/>
    <m/>
    <n v="6342.6555000000008"/>
    <n v="-3243.3256000000001"/>
    <m/>
    <m/>
    <m/>
    <m/>
    <n v="-5406.1012499999997"/>
    <n v="0"/>
    <m/>
    <n v="-6.8345959242169556"/>
    <n v="0"/>
    <n v="0"/>
    <n v="0"/>
    <n v="0"/>
    <n v="0"/>
    <n v="0"/>
    <n v="0"/>
    <n v="-5.5129146656900048"/>
    <n v="0"/>
    <n v="0"/>
    <n v="-6.1416812968673185E-7"/>
    <n v="0"/>
    <n v="0"/>
    <n v="0"/>
    <n v="-8.4724320004170295E-8"/>
    <n v="0"/>
    <n v="0"/>
    <m/>
    <n v="0"/>
    <n v="0"/>
    <n v="0"/>
    <n v="0"/>
    <n v="0"/>
    <n v="-1.3216805596352472"/>
    <n v="0"/>
    <n v="0"/>
    <m/>
    <m/>
    <m/>
    <n v="8805.8705780597447"/>
    <n v="0"/>
    <n v="0"/>
    <n v="-5406.1012499999997"/>
    <n v="0"/>
    <n v="0"/>
    <n v="0"/>
    <n v="-5399.2765882699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49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14000000000000001"/>
    <n v="-2.8000000000000001E-2"/>
    <n v="0.14000000000000001"/>
    <n v="-2.8000000000000001E-2"/>
    <m/>
    <n v="667.62"/>
    <n v="252.22"/>
    <m/>
    <n v="128.77760000000001"/>
    <n v="128.77760000000001"/>
    <n v="85.202600000000004"/>
    <n v="0"/>
    <n v="0"/>
    <n v="0"/>
    <n v="0"/>
    <n v="0"/>
    <n v="17.289661325472899"/>
    <n v="70.97828780749407"/>
    <n v="35.311187446774262"/>
    <n v="0"/>
    <n v="0"/>
    <n v="0"/>
    <n v="0"/>
    <n v="0"/>
    <n v="0"/>
    <m/>
    <n v="0.32806179548563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711947146195493"/>
    <n v="0"/>
    <n v="0"/>
    <n v="0"/>
    <n v="28.31"/>
    <n v="0"/>
    <m/>
    <m/>
    <m/>
    <m/>
    <m/>
    <m/>
    <m/>
    <n v="95.426800000000014"/>
    <m/>
    <n v="40.182382161393811"/>
    <m/>
    <m/>
    <m/>
    <m/>
    <m/>
    <m/>
    <m/>
    <m/>
    <m/>
    <m/>
    <m/>
    <m/>
    <n v="-10.954499999999999"/>
    <n v="4.4687000000000037"/>
    <m/>
    <m/>
    <m/>
    <m/>
    <n v="-43.575000000000003"/>
    <n v="0"/>
    <m/>
    <n v="-5.5089149023565653E-2"/>
    <n v="0"/>
    <n v="0"/>
    <n v="0"/>
    <n v="0"/>
    <n v="0"/>
    <n v="0"/>
    <n v="0"/>
    <n v="-4.4435952167457771E-2"/>
    <n v="0"/>
    <n v="0"/>
    <n v="-4.9504009780321212E-9"/>
    <n v="0"/>
    <n v="0"/>
    <n v="0"/>
    <n v="-6.8290706423113079E-10"/>
    <n v="0"/>
    <n v="0"/>
    <m/>
    <n v="0"/>
    <n v="0"/>
    <n v="0"/>
    <n v="0"/>
    <n v="0"/>
    <n v="-1.0653191222807001E-2"/>
    <n v="0"/>
    <n v="0"/>
    <m/>
    <m/>
    <m/>
    <n v="70.97828780749407"/>
    <n v="0"/>
    <n v="0"/>
    <n v="-43.575000000000003"/>
    <n v="0"/>
    <n v="0"/>
    <n v="0"/>
    <n v="-43.51999092393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0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3.093"/>
    <n v="13.093"/>
    <n v="13.093"/>
    <n v="13.093"/>
    <m/>
    <n v="667.62"/>
    <n v="252.22"/>
    <m/>
    <n v="12043.465120000001"/>
    <n v="12043.465120000001"/>
    <n v="7968.2688699999999"/>
    <n v="0"/>
    <n v="0"/>
    <n v="0"/>
    <n v="0"/>
    <n v="0"/>
    <n v="1616.9538266744048"/>
    <n v="6637.990873310855"/>
    <n v="3302.3526945758244"/>
    <n v="0"/>
    <n v="0"/>
    <n v="0"/>
    <n v="0"/>
    <n v="0"/>
    <n v="0"/>
    <m/>
    <n v="30.680807773524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56108856081249"/>
    <n v="0"/>
    <n v="0"/>
    <n v="0"/>
    <n v="3186.76"/>
    <n v="143"/>
    <m/>
    <m/>
    <m/>
    <m/>
    <m/>
    <m/>
    <m/>
    <n v="796.70904999999993"/>
    <m/>
    <n v="3757.913783136637"/>
    <m/>
    <m/>
    <m/>
    <m/>
    <m/>
    <m/>
    <m/>
    <m/>
    <m/>
    <m/>
    <m/>
    <m/>
    <n v="7169.9166000000005"/>
    <n v="-3669.2843799999991"/>
    <m/>
    <m/>
    <m/>
    <m/>
    <n v="-4075.19625"/>
    <n v="0"/>
    <m/>
    <n v="-5.1520159154688372"/>
    <n v="0"/>
    <n v="0"/>
    <n v="0"/>
    <n v="0"/>
    <n v="0"/>
    <n v="0"/>
    <n v="0"/>
    <n v="-4.1557137266324844"/>
    <n v="0"/>
    <n v="0"/>
    <n v="-4.629687282431405E-7"/>
    <n v="0"/>
    <n v="0"/>
    <n v="0"/>
    <n v="-6.3866423261060845E-8"/>
    <n v="0"/>
    <n v="0"/>
    <m/>
    <n v="0"/>
    <n v="0"/>
    <n v="0"/>
    <n v="0"/>
    <n v="0"/>
    <n v="-0.99630166200151393"/>
    <n v="0"/>
    <n v="0"/>
    <m/>
    <m/>
    <m/>
    <n v="6637.990873310855"/>
    <n v="0"/>
    <n v="0"/>
    <n v="-4075.1962500000009"/>
    <n v="0"/>
    <n v="0"/>
    <n v="0"/>
    <n v="-4070.0517226217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1"/>
    <s v="Sistema de Compensação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.13"/>
    <n v="9.0999999999999998E-2"/>
    <n v="0.13"/>
    <n v="9.0999999999999998E-2"/>
    <m/>
    <n v="667.62"/>
    <n v="252.22"/>
    <m/>
    <n v="119.5792"/>
    <n v="119.5792"/>
    <n v="79.116700000000009"/>
    <n v="0"/>
    <n v="0"/>
    <n v="0"/>
    <n v="0"/>
    <n v="0"/>
    <n v="16.054685516510549"/>
    <n v="65.908410106958769"/>
    <n v="32.788959772004674"/>
    <n v="0"/>
    <n v="0"/>
    <n v="0"/>
    <n v="0"/>
    <n v="0"/>
    <n v="0"/>
    <m/>
    <n v="0.30462881009380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232522350038664"/>
    <n v="0"/>
    <n v="0"/>
    <n v="0"/>
    <n v="53.68"/>
    <n v="1"/>
    <m/>
    <m/>
    <m/>
    <m/>
    <m/>
    <m/>
    <m/>
    <n v="29.272360000000003"/>
    <m/>
    <n v="37.31221200700854"/>
    <m/>
    <m/>
    <m/>
    <m/>
    <m/>
    <m/>
    <m/>
    <m/>
    <m/>
    <m/>
    <m/>
    <m/>
    <n v="49.296599999999998"/>
    <n v="-26.068660000000008"/>
    <m/>
    <m/>
    <m/>
    <m/>
    <n v="-40.462499999999999"/>
    <n v="0"/>
    <m/>
    <n v="-5.1154209807599216E-2"/>
    <n v="0"/>
    <n v="0"/>
    <n v="0"/>
    <n v="0"/>
    <n v="0"/>
    <n v="0"/>
    <n v="0"/>
    <n v="-4.1261955584069199E-2"/>
    <n v="0"/>
    <n v="0"/>
    <n v="-4.5968064910084649E-9"/>
    <n v="0"/>
    <n v="0"/>
    <n v="0"/>
    <n v="-6.3412741724278021E-10"/>
    <n v="0"/>
    <n v="0"/>
    <m/>
    <n v="0"/>
    <n v="0"/>
    <n v="0"/>
    <n v="0"/>
    <n v="0"/>
    <n v="-9.8922489926064894E-3"/>
    <n v="0"/>
    <n v="0"/>
    <m/>
    <m/>
    <m/>
    <n v="65.908410106958769"/>
    <n v="0"/>
    <n v="0"/>
    <n v="-40.462499999999999"/>
    <n v="0"/>
    <n v="0"/>
    <n v="0"/>
    <n v="-40.41142014365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2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4.069"/>
    <n v="4.069"/>
    <n v="4.069"/>
    <n v="4.069"/>
    <m/>
    <n v="667.62"/>
    <n v="252.22"/>
    <m/>
    <n v="3742.8289599999998"/>
    <n v="3742.8289599999998"/>
    <n v="2476.3527100000001"/>
    <n v="0"/>
    <n v="0"/>
    <n v="0"/>
    <n v="0"/>
    <n v="0"/>
    <n v="502.5116566667802"/>
    <n v="2062.9332363478093"/>
    <n v="1026.2944408637461"/>
    <n v="0"/>
    <n v="0"/>
    <n v="0"/>
    <n v="0"/>
    <n v="0"/>
    <n v="0"/>
    <m/>
    <n v="9.534881755936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57779495562102"/>
    <n v="0"/>
    <n v="0"/>
    <n v="0"/>
    <n v="1152.23"/>
    <n v="46"/>
    <m/>
    <m/>
    <m/>
    <m/>
    <m/>
    <m/>
    <m/>
    <m/>
    <m/>
    <n v="1167.8722358193672"/>
    <m/>
    <m/>
    <m/>
    <m/>
    <m/>
    <m/>
    <m/>
    <m/>
    <m/>
    <m/>
    <m/>
    <m/>
    <n v="2476.9612999999999"/>
    <n v="-1265.8976600000005"/>
    <m/>
    <m/>
    <m/>
    <m/>
    <n v="-1266.4762499999999"/>
    <n v="0"/>
    <m/>
    <n v="-1.6011267669780409"/>
    <n v="0"/>
    <n v="0"/>
    <n v="0"/>
    <n v="0"/>
    <n v="0"/>
    <n v="0"/>
    <n v="0"/>
    <n v="-1.2914992097814206"/>
    <n v="0"/>
    <n v="0"/>
    <n v="-1.4387978808372281E-7"/>
    <n v="0"/>
    <n v="0"/>
    <n v="0"/>
    <n v="-1.9848187093884917E-8"/>
    <n v="0"/>
    <n v="0"/>
    <m/>
    <n v="0"/>
    <n v="0"/>
    <n v="0"/>
    <n v="0"/>
    <n v="0"/>
    <n v="-0.30962739346858292"/>
    <n v="0"/>
    <n v="0"/>
    <m/>
    <m/>
    <m/>
    <n v="2062.9332363478093"/>
    <n v="0"/>
    <n v="0"/>
    <n v="-1266.4762499999999"/>
    <n v="0"/>
    <n v="0"/>
    <n v="0"/>
    <n v="-1264.877450496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3"/>
    <s v="Sistema de Compensação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7.73999999999999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54"/>
    <s v="Regular"/>
    <s v="Convencional"/>
    <s v="B3"/>
    <s v="Industrial"/>
    <s v="Não se aplica"/>
    <s v="Não se aplica"/>
    <s v="Não se aplica"/>
    <s v="Não se aplica"/>
    <s v="CATIVO"/>
    <x v="5"/>
    <n v="0"/>
    <n v="0"/>
    <n v="54.026000000000003"/>
    <n v="54.026000000000003"/>
    <n v="54.026000000000003"/>
    <n v="54.026000000000003"/>
    <m/>
    <n v="739.04"/>
    <n v="252.22"/>
    <m/>
    <n v="53553.812760000001"/>
    <n v="53553.812760000001"/>
    <n v="36628.00722"/>
    <n v="0"/>
    <n v="3341.6786397361384"/>
    <n v="0"/>
    <n v="0"/>
    <n v="0"/>
    <n v="6672.0803054999924"/>
    <n v="27390.52126491196"/>
    <n v="13626.587235710189"/>
    <n v="0"/>
    <n v="0"/>
    <n v="0"/>
    <n v="0"/>
    <n v="0"/>
    <n v="516.54416269474461"/>
    <m/>
    <n v="126.59904687790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9.7940403716839"/>
    <n v="0"/>
    <n v="0"/>
    <n v="0"/>
    <n v="9396.74"/>
    <n v="18"/>
    <m/>
    <m/>
    <m/>
    <m/>
    <m/>
    <m/>
    <m/>
    <m/>
    <m/>
    <n v="15506.381276081873"/>
    <m/>
    <m/>
    <m/>
    <m/>
    <m/>
    <m/>
    <m/>
    <m/>
    <m/>
    <m/>
    <m/>
    <m/>
    <n v="36630.719100000002"/>
    <n v="-16923.123660000005"/>
    <m/>
    <m/>
    <m/>
    <m/>
    <n v="-16925.805539999998"/>
    <n v="0"/>
    <m/>
    <n v="-131.40187134070584"/>
    <n v="0"/>
    <n v="0"/>
    <n v="0"/>
    <n v="0"/>
    <n v="0"/>
    <n v="0"/>
    <n v="0"/>
    <n v="-17.147833941423414"/>
    <n v="0"/>
    <n v="0"/>
    <n v="-1.9103608792647719E-6"/>
    <n v="0"/>
    <n v="0"/>
    <n v="0"/>
    <n v="-2.6353359316999558E-7"/>
    <n v="0"/>
    <n v="-97.166287341027783"/>
    <m/>
    <n v="0"/>
    <n v="0"/>
    <n v="0"/>
    <n v="0"/>
    <n v="-12.976681391477427"/>
    <n v="-4.1110664928812213"/>
    <n v="0"/>
    <n v="0"/>
    <m/>
    <m/>
    <m/>
    <n v="27390.52126491196"/>
    <n v="0"/>
    <n v="0"/>
    <n v="-16925.805539999998"/>
    <n v="0"/>
    <n v="0"/>
    <n v="0"/>
    <n v="-16794.36449754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5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11.590999999999999"/>
    <n v="11.590999999999999"/>
    <n v="11.590999999999999"/>
    <n v="11.590999999999999"/>
    <m/>
    <n v="739.04"/>
    <n v="252.22"/>
    <m/>
    <n v="11489.694659999999"/>
    <n v="11489.694659999999"/>
    <n v="7858.350269999999"/>
    <n v="0"/>
    <n v="716.93993842190002"/>
    <n v="0"/>
    <n v="0"/>
    <n v="0"/>
    <n v="1431.4604601682597"/>
    <n v="5876.4952426904547"/>
    <n v="2923.5140978254317"/>
    <n v="0"/>
    <n v="0"/>
    <n v="0"/>
    <n v="0"/>
    <n v="0"/>
    <n v="110.82188927173554"/>
    <m/>
    <n v="27.1611733676717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.30012812253705"/>
    <n v="0"/>
    <n v="0"/>
    <n v="0"/>
    <n v="3513.49"/>
    <n v="12"/>
    <m/>
    <m/>
    <m/>
    <m/>
    <m/>
    <m/>
    <m/>
    <m/>
    <m/>
    <n v="3326.8142259479687"/>
    <m/>
    <m/>
    <m/>
    <m/>
    <m/>
    <m/>
    <m/>
    <m/>
    <m/>
    <m/>
    <m/>
    <m/>
    <n v="7857.6723000000002"/>
    <n v="-3632.0523599999997"/>
    <m/>
    <m/>
    <m/>
    <m/>
    <n v="-3631.3443899999993"/>
    <n v="0"/>
    <m/>
    <n v="-28.19159461574236"/>
    <n v="0"/>
    <n v="0"/>
    <n v="0"/>
    <n v="0"/>
    <n v="0"/>
    <n v="0"/>
    <n v="0"/>
    <n v="-3.6789794398073354"/>
    <n v="0"/>
    <n v="0"/>
    <n v="-4.0985787563840859E-7"/>
    <n v="0"/>
    <n v="0"/>
    <n v="0"/>
    <n v="-5.6539818160672439E-8"/>
    <n v="0"/>
    <n v="-20.846526423756131"/>
    <m/>
    <n v="0"/>
    <n v="0"/>
    <n v="0"/>
    <n v="0"/>
    <n v="-2.7840801467555565"/>
    <n v="-0.88200813902539821"/>
    <n v="0"/>
    <n v="0"/>
    <m/>
    <m/>
    <m/>
    <n v="5876.4952426904547"/>
    <n v="0"/>
    <n v="0"/>
    <n v="-3631.3443900000002"/>
    <n v="0"/>
    <n v="0"/>
    <n v="0"/>
    <n v="-3603.144391423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6"/>
    <s v="Regular"/>
    <s v="Verde"/>
    <s v="A4"/>
    <s v="Industrial"/>
    <s v="Não se aplica"/>
    <s v="Não se aplica"/>
    <s v="Não se aplica"/>
    <s v="Ponta"/>
    <s v="CATIVO"/>
    <x v="5"/>
    <n v="0"/>
    <n v="0"/>
    <n v="22.405000000000001"/>
    <n v="22.405000000000001"/>
    <n v="22.405000000000001"/>
    <n v="22.405000000000001"/>
    <m/>
    <n v="2641.06"/>
    <n v="252.22"/>
    <m/>
    <n v="64823.938399999999"/>
    <n v="64823.938399999999"/>
    <n v="38477.002699999997"/>
    <n v="0"/>
    <n v="1205.6633775082498"/>
    <n v="0"/>
    <n v="0"/>
    <n v="0"/>
    <n v="14513.219423031605"/>
    <n v="42840.384083388875"/>
    <n v="5651.0511053212667"/>
    <n v="0"/>
    <n v="0"/>
    <n v="0"/>
    <n v="0"/>
    <n v="0"/>
    <n v="214.21485886750366"/>
    <m/>
    <n v="53.904327013800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.54875870895546"/>
    <n v="0"/>
    <n v="0"/>
    <n v="0"/>
    <n v="0"/>
    <n v="0"/>
    <m/>
    <m/>
    <m/>
    <m/>
    <m/>
    <m/>
    <m/>
    <m/>
    <m/>
    <n v="5996.5998640302223"/>
    <m/>
    <m/>
    <m/>
    <m/>
    <m/>
    <m/>
    <m/>
    <m/>
    <m/>
    <m/>
    <m/>
    <m/>
    <n v="38485.589399999997"/>
    <n v="-26338.379000000008"/>
    <m/>
    <m/>
    <m/>
    <m/>
    <n v="-26346.935700000002"/>
    <n v="0"/>
    <m/>
    <n v="-79.489406194436015"/>
    <n v="0"/>
    <n v="0"/>
    <n v="0"/>
    <n v="0"/>
    <n v="0"/>
    <n v="0"/>
    <n v="0"/>
    <n v="-37.300251979388122"/>
    <n v="0"/>
    <n v="0"/>
    <n v="-7.9224082583095878E-7"/>
    <n v="0"/>
    <n v="0"/>
    <n v="0"/>
    <n v="-4.844406475967844E-8"/>
    <n v="0"/>
    <n v="-35.057181376594144"/>
    <m/>
    <n v="0"/>
    <n v="0"/>
    <n v="0"/>
    <n v="0"/>
    <n v="-5.3815301257922386"/>
    <n v="-1.7504418719793478"/>
    <n v="0"/>
    <n v="0"/>
    <m/>
    <m/>
    <m/>
    <n v="42840.384083388875"/>
    <n v="0"/>
    <n v="0"/>
    <n v="-26346.935700000002"/>
    <n v="0"/>
    <n v="0"/>
    <n v="0"/>
    <n v="-26267.3725174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7"/>
    <s v="Regular"/>
    <s v="Verde"/>
    <s v="A4"/>
    <s v="Industrial"/>
    <s v="Não se aplica"/>
    <s v="Não se aplica"/>
    <s v="Não se aplica"/>
    <s v="Fora ponta"/>
    <s v="CATIVO"/>
    <x v="5"/>
    <n v="0"/>
    <n v="0"/>
    <n v="386.30700000000002"/>
    <n v="386.30700000000002"/>
    <n v="386.30700000000002"/>
    <n v="386.30700000000002"/>
    <m/>
    <n v="81.2"/>
    <n v="252.22"/>
    <m/>
    <n v="128802.47994"/>
    <n v="128802.47994"/>
    <n v="128076.22278000001"/>
    <n v="0"/>
    <n v="20788.047416874782"/>
    <n v="0"/>
    <n v="0"/>
    <n v="0"/>
    <n v="0"/>
    <n v="0"/>
    <n v="97435.420635721603"/>
    <n v="0"/>
    <n v="0"/>
    <n v="0"/>
    <n v="0"/>
    <n v="0"/>
    <n v="3693.4925009832064"/>
    <m/>
    <n v="929.41838231288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57.951543431398"/>
    <n v="0"/>
    <n v="0"/>
    <n v="0"/>
    <n v="0"/>
    <n v="0"/>
    <m/>
    <m/>
    <m/>
    <m/>
    <m/>
    <m/>
    <m/>
    <m/>
    <m/>
    <n v="103393.372179153"/>
    <m/>
    <m/>
    <m/>
    <m/>
    <m/>
    <m/>
    <m/>
    <m/>
    <m/>
    <m/>
    <m/>
    <m/>
    <n v="128077.21739999999"/>
    <n v="-725.29254000000947"/>
    <m/>
    <m/>
    <m/>
    <m/>
    <n v="-726.25716000000375"/>
    <n v="0"/>
    <m/>
    <n v="-727.42537814565003"/>
    <n v="0"/>
    <n v="0"/>
    <n v="0"/>
    <n v="0"/>
    <n v="0"/>
    <n v="0"/>
    <n v="0"/>
    <n v="0"/>
    <n v="0"/>
    <n v="0"/>
    <n v="-1.365982461720705E-5"/>
    <n v="0"/>
    <n v="0"/>
    <n v="0"/>
    <n v="-8.3527265815064311E-7"/>
    <n v="0"/>
    <n v="-604.45590564820304"/>
    <m/>
    <n v="0"/>
    <n v="0"/>
    <n v="0"/>
    <n v="0"/>
    <n v="-92.788340026977494"/>
    <n v="-30.181117975395068"/>
    <n v="0"/>
    <n v="0"/>
    <m/>
    <m/>
    <m/>
    <n v="0"/>
    <n v="0"/>
    <n v="0"/>
    <n v="-726.25716000000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58"/>
    <s v="Regular"/>
    <s v="Verde"/>
    <s v="A4"/>
    <s v="Industrial"/>
    <s v="Não se aplica"/>
    <s v="Não se aplica"/>
    <s v="Não se aplica"/>
    <s v="Não se aplica"/>
    <s v="CATIVO"/>
    <x v="5"/>
    <n v="2082"/>
    <n v="2082"/>
    <n v="0"/>
    <n v="0"/>
    <n v="0"/>
    <n v="0"/>
    <n v="74.44"/>
    <m/>
    <m/>
    <n v="154984.07999999999"/>
    <m/>
    <n v="154984.07999999999"/>
    <n v="94564.44"/>
    <n v="0"/>
    <n v="0"/>
    <n v="0"/>
    <n v="0"/>
    <n v="0"/>
    <n v="56665.986648400649"/>
    <n v="98315.241978959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410.39"/>
    <n v="10"/>
    <m/>
    <m/>
    <m/>
    <m/>
    <m/>
    <m/>
    <m/>
    <m/>
    <m/>
    <n v="0"/>
    <m/>
    <m/>
    <m/>
    <m/>
    <m/>
    <m/>
    <m/>
    <m/>
    <m/>
    <m/>
    <m/>
    <m/>
    <n v="94564.44"/>
    <n v="-60419.670000000013"/>
    <m/>
    <m/>
    <m/>
    <m/>
    <n v="-60419.639999999992"/>
    <n v="0"/>
    <m/>
    <n v="-145.63657580283325"/>
    <n v="0"/>
    <n v="0"/>
    <n v="0"/>
    <n v="0"/>
    <m/>
    <m/>
    <m/>
    <n v="-145.636575802833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315.24197895902"/>
    <m/>
    <n v="0"/>
    <n v="0"/>
    <n v="-60419.639999999985"/>
    <m/>
    <n v="0"/>
    <m/>
    <n v="-60281.51101944164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59"/>
    <s v="Regular"/>
    <s v="Convencional"/>
    <s v="B3"/>
    <s v="Comercial"/>
    <s v="Não se aplica"/>
    <s v="Não se aplica"/>
    <s v="Não se aplica"/>
    <s v="Não se aplica"/>
    <s v="CATIVO"/>
    <x v="5"/>
    <n v="0"/>
    <n v="0"/>
    <n v="395.46699999999998"/>
    <n v="395.46699999999998"/>
    <n v="395.46699999999998"/>
    <n v="395.46699999999998"/>
    <m/>
    <n v="739.04"/>
    <n v="252.22"/>
    <m/>
    <n v="392010.61841999996"/>
    <n v="392010.61841999996"/>
    <n v="268114.76198999997"/>
    <n v="0"/>
    <n v="24460.882290388538"/>
    <n v="0"/>
    <n v="0"/>
    <n v="0"/>
    <n v="48839.217824291365"/>
    <n v="200496.93245975894"/>
    <n v="99745.781185810542"/>
    <n v="0"/>
    <n v="0"/>
    <n v="0"/>
    <n v="0"/>
    <n v="0"/>
    <n v="3781.0715283086392"/>
    <m/>
    <n v="926.69724339513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59.976858617492"/>
    <n v="0"/>
    <n v="0"/>
    <n v="0"/>
    <n v="138963.74"/>
    <n v="839"/>
    <m/>
    <m/>
    <m/>
    <m/>
    <m/>
    <m/>
    <m/>
    <m/>
    <m/>
    <n v="113505.75804442803"/>
    <m/>
    <m/>
    <m/>
    <m/>
    <m/>
    <m/>
    <m/>
    <m/>
    <m/>
    <m/>
    <m/>
    <m/>
    <n v="268116.79590000003"/>
    <n v="-123893.85251999996"/>
    <m/>
    <m/>
    <m/>
    <m/>
    <n v="-123895.85642999999"/>
    <n v="0"/>
    <m/>
    <n v="-961.85362332017394"/>
    <n v="0"/>
    <n v="0"/>
    <n v="0"/>
    <n v="0"/>
    <n v="0"/>
    <n v="0"/>
    <n v="0"/>
    <n v="-125.52109068434947"/>
    <n v="0"/>
    <n v="0"/>
    <n v="-1.398372114636004E-5"/>
    <n v="0"/>
    <n v="0"/>
    <n v="0"/>
    <n v="-1.9290509953862056E-6"/>
    <n v="0"/>
    <n v="-711.25125228397519"/>
    <m/>
    <n v="0"/>
    <n v="0"/>
    <n v="0"/>
    <n v="0"/>
    <n v="-94.988510343971484"/>
    <n v="-30.092754095070063"/>
    <n v="0"/>
    <n v="0"/>
    <m/>
    <m/>
    <m/>
    <n v="200496.93245975894"/>
    <n v="0"/>
    <n v="0"/>
    <n v="-123895.85642999999"/>
    <n v="0"/>
    <n v="0"/>
    <n v="0"/>
    <n v="-122933.71607653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0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0.24299999999999999"/>
    <n v="-0.24299999999999999"/>
    <n v="-0.24299999999999999"/>
    <n v="-0.24299999999999999"/>
    <m/>
    <n v="739.04"/>
    <n v="252.22"/>
    <m/>
    <n v="-240.87617999999998"/>
    <n v="-240.87617999999998"/>
    <n v="-164.74671000000001"/>
    <n v="0"/>
    <n v="-15.030317059487682"/>
    <n v="0"/>
    <n v="0"/>
    <n v="0"/>
    <n v="-30.009912157785102"/>
    <n v="-123.19802812300755"/>
    <n v="-61.290132496901037"/>
    <n v="0"/>
    <n v="0"/>
    <n v="0"/>
    <n v="0"/>
    <n v="0"/>
    <n v="-2.3233300917118225"/>
    <m/>
    <n v="-0.569421545021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455002254661073"/>
    <n v="0"/>
    <n v="0"/>
    <n v="0"/>
    <n v="-85.39"/>
    <n v="0"/>
    <m/>
    <m/>
    <m/>
    <m/>
    <m/>
    <m/>
    <m/>
    <m/>
    <m/>
    <n v="-69.745134751562105"/>
    <m/>
    <m/>
    <m/>
    <m/>
    <m/>
    <m/>
    <m/>
    <m/>
    <m/>
    <m/>
    <m/>
    <m/>
    <n v="-162.71279999999999"/>
    <n v="78.133380000000017"/>
    <m/>
    <m/>
    <m/>
    <m/>
    <n v="76.129469999999984"/>
    <n v="0"/>
    <m/>
    <n v="0.59102385399235402"/>
    <n v="0"/>
    <n v="0"/>
    <n v="0"/>
    <n v="0"/>
    <n v="0"/>
    <n v="0"/>
    <n v="0"/>
    <n v="7.7128116976375338E-2"/>
    <n v="0"/>
    <n v="0"/>
    <n v="8.5924867221365275E-9"/>
    <n v="0"/>
    <n v="0"/>
    <n v="0"/>
    <n v="1.1853309445086779E-9"/>
    <n v="0"/>
    <n v="0.43703786739476769"/>
    <m/>
    <n v="0"/>
    <n v="0"/>
    <n v="0"/>
    <n v="0"/>
    <n v="5.8366963649520542E-2"/>
    <n v="1.8490896193872119E-2"/>
    <n v="0"/>
    <n v="0"/>
    <m/>
    <m/>
    <m/>
    <n v="-123.19802812300755"/>
    <n v="0"/>
    <n v="0"/>
    <n v="76.129469999999984"/>
    <n v="0"/>
    <n v="0"/>
    <n v="0"/>
    <n v="75.538269960826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1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47.655000000000001"/>
    <n v="47.655000000000001"/>
    <n v="47.655000000000001"/>
    <n v="47.655000000000001"/>
    <m/>
    <n v="739.04"/>
    <n v="252.22"/>
    <m/>
    <n v="47238.495299999995"/>
    <n v="47238.495299999995"/>
    <n v="32308.660349999998"/>
    <n v="0"/>
    <n v="2947.6121788884179"/>
    <n v="0"/>
    <n v="0"/>
    <n v="0"/>
    <n v="5885.2772176100789"/>
    <n v="24160.502181900927"/>
    <n v="12019.675984114481"/>
    <n v="0"/>
    <n v="0"/>
    <n v="0"/>
    <n v="0"/>
    <n v="0"/>
    <n v="455.63084576348524"/>
    <m/>
    <n v="111.66989188477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8.1198866085329"/>
    <n v="0"/>
    <n v="0"/>
    <n v="0"/>
    <n v="32230.06"/>
    <n v="119"/>
    <m/>
    <m/>
    <m/>
    <m/>
    <m/>
    <m/>
    <m/>
    <m/>
    <m/>
    <n v="13677.795870723014"/>
    <m/>
    <m/>
    <m/>
    <m/>
    <m/>
    <m/>
    <m/>
    <m/>
    <m/>
    <m/>
    <m/>
    <m/>
    <n v="32312.050199999998"/>
    <n v="-14926.475100000003"/>
    <m/>
    <m/>
    <m/>
    <m/>
    <n v="-14929.834949999999"/>
    <n v="0"/>
    <m/>
    <n v="-115.90634469960787"/>
    <n v="0"/>
    <n v="0"/>
    <n v="0"/>
    <n v="0"/>
    <n v="0"/>
    <n v="0"/>
    <n v="0"/>
    <n v="-15.125680718145304"/>
    <n v="0"/>
    <n v="0"/>
    <n v="-1.6850808606250212E-6"/>
    <n v="0"/>
    <n v="0"/>
    <n v="0"/>
    <n v="-2.3245661395776551E-7"/>
    <n v="0"/>
    <n v="-85.707981772418407"/>
    <m/>
    <n v="0"/>
    <n v="0"/>
    <n v="0"/>
    <n v="0"/>
    <n v="-11.446410093489362"/>
    <n v="-3.6262701980204781"/>
    <n v="0"/>
    <n v="0"/>
    <m/>
    <m/>
    <m/>
    <n v="24160.502181900927"/>
    <n v="0"/>
    <n v="0"/>
    <n v="-14929.834949999997"/>
    <n v="0"/>
    <n v="0"/>
    <n v="0"/>
    <n v="-14813.89405342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2"/>
    <s v="Regular"/>
    <s v="Verde"/>
    <s v="A4"/>
    <s v="Comercial"/>
    <s v="Não se aplica"/>
    <s v="Não se aplica"/>
    <s v="Não se aplica"/>
    <s v="Ponta"/>
    <s v="CATIVO"/>
    <x v="5"/>
    <n v="0"/>
    <n v="0"/>
    <n v="16.204000000000001"/>
    <n v="16.204000000000001"/>
    <n v="16.204000000000001"/>
    <n v="16.204000000000001"/>
    <m/>
    <n v="2641.06"/>
    <n v="252.22"/>
    <m/>
    <n v="46882.70912"/>
    <n v="46882.70912"/>
    <n v="27827.77736"/>
    <n v="0"/>
    <n v="871.97363843533503"/>
    <n v="0"/>
    <n v="0"/>
    <n v="0"/>
    <n v="10496.416314697797"/>
    <n v="30983.51188070669"/>
    <n v="4087.0177241966439"/>
    <n v="0"/>
    <n v="0"/>
    <n v="0"/>
    <n v="0"/>
    <n v="0"/>
    <n v="154.92691689752419"/>
    <m/>
    <n v="38.985303054301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91171997857239"/>
    <n v="0"/>
    <n v="0"/>
    <n v="0"/>
    <n v="0"/>
    <n v="0"/>
    <m/>
    <m/>
    <m/>
    <m/>
    <m/>
    <m/>
    <m/>
    <m/>
    <m/>
    <n v="4336.9294441752163"/>
    <m/>
    <m/>
    <m/>
    <m/>
    <m/>
    <m/>
    <m/>
    <m/>
    <m/>
    <m/>
    <m/>
    <m/>
    <n v="27820.907999999996"/>
    <n v="-19061.83112000001"/>
    <m/>
    <m/>
    <m/>
    <m/>
    <n v="-19054.931760000003"/>
    <n v="0"/>
    <m/>
    <n v="-57.489236240782702"/>
    <n v="0"/>
    <n v="0"/>
    <n v="0"/>
    <n v="0"/>
    <n v="0"/>
    <n v="0"/>
    <n v="0"/>
    <n v="-26.976714263513713"/>
    <n v="0"/>
    <n v="0"/>
    <n v="-5.7297393141197972E-7"/>
    <n v="0"/>
    <n v="0"/>
    <n v="0"/>
    <n v="-3.5036265444432502E-8"/>
    <n v="0"/>
    <n v="-25.354455122799891"/>
    <m/>
    <n v="0"/>
    <n v="0"/>
    <n v="0"/>
    <n v="0"/>
    <n v="-3.8920916830322483"/>
    <n v="-1.265974563425722"/>
    <n v="0"/>
    <n v="0"/>
    <m/>
    <m/>
    <m/>
    <n v="30983.51188070669"/>
    <n v="0"/>
    <n v="0"/>
    <n v="-19054.931759999999"/>
    <n v="0"/>
    <n v="0"/>
    <n v="0"/>
    <n v="-18997.38916634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3"/>
    <s v="Regular"/>
    <s v="Verde"/>
    <s v="A4"/>
    <s v="Comercial"/>
    <s v="Não se aplica"/>
    <s v="Não se aplica"/>
    <s v="Não se aplica"/>
    <s v="Fora ponta"/>
    <s v="CATIVO"/>
    <x v="5"/>
    <n v="0"/>
    <n v="0"/>
    <n v="232.51499999999999"/>
    <n v="232.51499999999999"/>
    <n v="232.51499999999999"/>
    <n v="232.51499999999999"/>
    <m/>
    <n v="81.2"/>
    <n v="252.22"/>
    <m/>
    <n v="77525.151299999998"/>
    <n v="77525.151299999998"/>
    <n v="77088.023099999991"/>
    <n v="0"/>
    <n v="12512.154439693402"/>
    <n v="0"/>
    <n v="0"/>
    <n v="0"/>
    <n v="0"/>
    <n v="0"/>
    <n v="58645.576779905117"/>
    <n v="0"/>
    <n v="0"/>
    <n v="0"/>
    <n v="0"/>
    <n v="0"/>
    <n v="2223.0827007175903"/>
    <m/>
    <n v="559.40926559312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6.0419384607353"/>
    <n v="0"/>
    <n v="0"/>
    <n v="0"/>
    <n v="0"/>
    <n v="0"/>
    <m/>
    <m/>
    <m/>
    <m/>
    <m/>
    <m/>
    <m/>
    <m/>
    <m/>
    <n v="62231.618718365855"/>
    <m/>
    <m/>
    <m/>
    <m/>
    <m/>
    <m/>
    <m/>
    <m/>
    <m/>
    <m/>
    <m/>
    <m/>
    <n v="77089.680800000002"/>
    <n v="-435.50049999998009"/>
    <m/>
    <m/>
    <m/>
    <m/>
    <n v="-437.12820000000221"/>
    <n v="0"/>
    <m/>
    <n v="-437.83134087533108"/>
    <n v="0"/>
    <n v="0"/>
    <n v="0"/>
    <n v="0"/>
    <n v="0"/>
    <n v="0"/>
    <n v="0"/>
    <n v="0"/>
    <n v="0"/>
    <n v="0"/>
    <n v="-8.2217302406206727E-6"/>
    <n v="0"/>
    <n v="0"/>
    <n v="0"/>
    <n v="-5.0274366003577597E-7"/>
    <n v="0"/>
    <n v="-363.81702868907632"/>
    <m/>
    <n v="0"/>
    <n v="0"/>
    <n v="0"/>
    <n v="0"/>
    <n v="-55.84853725501398"/>
    <n v="-18.165766206796548"/>
    <n v="0"/>
    <n v="0"/>
    <m/>
    <m/>
    <m/>
    <n v="0"/>
    <n v="0"/>
    <n v="0"/>
    <n v="-437.12820000000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4"/>
    <s v="Regular"/>
    <s v="Verde"/>
    <s v="A4"/>
    <s v="Comercial"/>
    <s v="Não se aplica"/>
    <s v="Não se aplica"/>
    <s v="Não se aplica"/>
    <s v="Não se aplica"/>
    <s v="CATIVO"/>
    <x v="5"/>
    <n v="2017"/>
    <n v="2017"/>
    <n v="0"/>
    <n v="0"/>
    <n v="0"/>
    <n v="0"/>
    <n v="74.44"/>
    <m/>
    <m/>
    <n v="150145.47999999998"/>
    <m/>
    <n v="150145.47999999998"/>
    <n v="91612.14"/>
    <n v="0"/>
    <n v="0"/>
    <n v="0"/>
    <n v="0"/>
    <n v="0"/>
    <n v="54896.875633921285"/>
    <n v="95245.842013237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9362.35"/>
    <n v="15"/>
    <m/>
    <m/>
    <m/>
    <m/>
    <m/>
    <m/>
    <m/>
    <m/>
    <m/>
    <n v="0"/>
    <m/>
    <m/>
    <m/>
    <m/>
    <m/>
    <m/>
    <m/>
    <m/>
    <m/>
    <m/>
    <m/>
    <m/>
    <n v="91612.14"/>
    <n v="-58533.37000000001"/>
    <m/>
    <m/>
    <m/>
    <m/>
    <n v="-58533.339999999989"/>
    <n v="0"/>
    <m/>
    <n v="-141.08980470428651"/>
    <n v="0"/>
    <n v="0"/>
    <n v="0"/>
    <n v="0"/>
    <m/>
    <m/>
    <m/>
    <n v="-141.089804704286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245.84201323743"/>
    <m/>
    <n v="0"/>
    <n v="0"/>
    <n v="-58533.339999999982"/>
    <m/>
    <n v="0"/>
    <m/>
    <n v="-58399.52340356088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65"/>
    <s v="Sistema de Compensação"/>
    <s v="Verde"/>
    <s v="A4"/>
    <s v="Comercial"/>
    <s v="Não se aplica"/>
    <s v="Não se aplica"/>
    <s v="Não se aplica"/>
    <s v="Não se aplica"/>
    <s v="CATIVO"/>
    <x v="5"/>
    <n v="121"/>
    <n v="121"/>
    <n v="0"/>
    <n v="0"/>
    <n v="0"/>
    <n v="0"/>
    <n v="74.44"/>
    <m/>
    <m/>
    <n v="9007.24"/>
    <m/>
    <n v="9007.24"/>
    <n v="5495.8200000000006"/>
    <n v="0"/>
    <n v="0"/>
    <n v="0"/>
    <n v="0"/>
    <n v="0"/>
    <n v="3293.2681961846679"/>
    <n v="5713.80609003556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26.38"/>
    <n v="1"/>
    <m/>
    <m/>
    <m/>
    <m/>
    <m/>
    <m/>
    <m/>
    <m/>
    <m/>
    <n v="0"/>
    <m/>
    <m/>
    <m/>
    <m/>
    <m/>
    <m/>
    <m/>
    <m/>
    <m/>
    <m/>
    <m/>
    <m/>
    <n v="5495.8200000000006"/>
    <n v="-3511.45"/>
    <m/>
    <m/>
    <m/>
    <m/>
    <n v="-3511.4199999999996"/>
    <n v="0"/>
    <m/>
    <n v="-8.4639892757654707"/>
    <n v="0"/>
    <n v="0"/>
    <n v="0"/>
    <n v="0"/>
    <m/>
    <m/>
    <m/>
    <n v="-8.46398927576547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13.8060900355622"/>
    <m/>
    <n v="0"/>
    <n v="0"/>
    <n v="-3511.4199999999992"/>
    <m/>
    <n v="0"/>
    <m/>
    <n v="-3503.392331101074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66"/>
    <s v="Regular"/>
    <s v="Convencional"/>
    <s v="B2"/>
    <s v="Rural"/>
    <s v="Não se aplica"/>
    <s v="Não se aplica"/>
    <s v="Não se aplica"/>
    <s v="Não se aplica"/>
    <s v="CATIVO"/>
    <x v="5"/>
    <n v="0"/>
    <n v="0"/>
    <n v="4691.0370000000003"/>
    <n v="4691.0370000000003"/>
    <n v="4691.0370000000003"/>
    <n v="4691.0370000000003"/>
    <m/>
    <n v="739.04"/>
    <n v="252.22"/>
    <m/>
    <n v="4650037.3366200002"/>
    <n v="4650037.3366200002"/>
    <n v="3180382.3548900001"/>
    <n v="0"/>
    <n v="290155.4462871931"/>
    <n v="0"/>
    <n v="0"/>
    <n v="0"/>
    <n v="579331.72139473155"/>
    <n v="2378298.3878685967"/>
    <n v="1183186.3344768113"/>
    <n v="0"/>
    <n v="0"/>
    <n v="0"/>
    <n v="0"/>
    <n v="0"/>
    <n v="44851.14166022039"/>
    <m/>
    <n v="10992.500149354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221.10457489104"/>
    <n v="0"/>
    <n v="0"/>
    <n v="0"/>
    <n v="123351.28"/>
    <n v="12147"/>
    <m/>
    <m/>
    <m/>
    <m/>
    <m/>
    <n v="381615.85994999984"/>
    <m/>
    <m/>
    <m/>
    <n v="1346407.4390517024"/>
    <m/>
    <m/>
    <m/>
    <m/>
    <m/>
    <m/>
    <m/>
    <m/>
    <m/>
    <m/>
    <m/>
    <m/>
    <n v="2798768.2848"/>
    <n v="-1293270.2306699995"/>
    <m/>
    <m/>
    <m/>
    <m/>
    <n v="-1469654.9817299999"/>
    <n v="0"/>
    <m/>
    <n v="-11409.525789961684"/>
    <n v="0"/>
    <n v="0"/>
    <n v="0"/>
    <n v="0"/>
    <n v="0"/>
    <n v="0"/>
    <n v="0"/>
    <n v="-1488.9335410556523"/>
    <n v="0"/>
    <n v="0"/>
    <n v="-1.6587506979703903E-4"/>
    <n v="0"/>
    <n v="0"/>
    <n v="0"/>
    <n v="-2.2882450139150023E-5"/>
    <n v="0"/>
    <n v="-8436.8757462960784"/>
    <m/>
    <n v="0"/>
    <n v="0"/>
    <n v="0"/>
    <n v="0"/>
    <n v="-1126.7554981792491"/>
    <n v="-356.96081567330475"/>
    <n v="0"/>
    <n v="0"/>
    <m/>
    <m/>
    <m/>
    <n v="2378298.3878685967"/>
    <n v="0"/>
    <n v="0"/>
    <n v="-1469654.9817299999"/>
    <n v="0"/>
    <n v="0"/>
    <n v="0"/>
    <n v="-1458242.054741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7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028"/>
    <n v="-2.028"/>
    <n v="-2.028"/>
    <n v="-2.028"/>
    <m/>
    <n v="739.04"/>
    <n v="252.22"/>
    <m/>
    <n v="-2010.2752799999998"/>
    <n v="-2010.2752799999998"/>
    <n v="-1374.9231600000001"/>
    <n v="0"/>
    <n v="-125.43820163226758"/>
    <n v="0"/>
    <n v="0"/>
    <n v="0"/>
    <n v="-250.45309405756456"/>
    <n v="-1028.1711976685569"/>
    <n v="-511.50777244327287"/>
    <n v="0"/>
    <n v="0"/>
    <n v="0"/>
    <n v="0"/>
    <n v="0"/>
    <n v="-19.389767185150522"/>
    <m/>
    <n v="-4.7522094374634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0.56273486606031"/>
    <n v="0"/>
    <n v="0"/>
    <n v="0"/>
    <n v="-15.31"/>
    <n v="0"/>
    <m/>
    <m/>
    <m/>
    <m/>
    <m/>
    <n v="-164.97779999999995"/>
    <m/>
    <m/>
    <m/>
    <n v="-582.07050730933315"/>
    <m/>
    <m/>
    <m/>
    <m/>
    <m/>
    <m/>
    <m/>
    <m/>
    <m/>
    <m/>
    <m/>
    <m/>
    <n v="-1211.1386"/>
    <n v="557.87608000000023"/>
    <m/>
    <m/>
    <m/>
    <m/>
    <n v="635.3521199999999"/>
    <n v="0"/>
    <m/>
    <n v="4.9324953740594992"/>
    <n v="0"/>
    <n v="0"/>
    <n v="0"/>
    <n v="0"/>
    <n v="0"/>
    <n v="0"/>
    <n v="0"/>
    <n v="0.64368650711148234"/>
    <n v="0"/>
    <n v="0"/>
    <n v="7.1710132942826021E-8"/>
    <n v="0"/>
    <n v="0"/>
    <n v="0"/>
    <n v="9.8923891300728428E-9"/>
    <n v="0"/>
    <n v="3.6473777575168214"/>
    <m/>
    <n v="0"/>
    <n v="0"/>
    <n v="0"/>
    <n v="0"/>
    <n v="0.48711194354414999"/>
    <n v="0.15431908428466112"/>
    <n v="0"/>
    <n v="0"/>
    <m/>
    <m/>
    <m/>
    <n v="-1028.1711976685569"/>
    <n v="0"/>
    <n v="0"/>
    <n v="635.35211999999979"/>
    <n v="0"/>
    <n v="0"/>
    <n v="0"/>
    <n v="630.41815424096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8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62.435"/>
    <n v="162.435"/>
    <n v="162.435"/>
    <n v="162.435"/>
    <m/>
    <n v="739.04"/>
    <n v="252.22"/>
    <m/>
    <n v="161015.31809999997"/>
    <n v="161015.31809999997"/>
    <n v="110126.05695"/>
    <n v="0"/>
    <n v="10047.11749612297"/>
    <n v="0"/>
    <n v="0"/>
    <n v="0"/>
    <n v="20060.329552879932"/>
    <n v="82352.558428644988"/>
    <n v="40969.805235119835"/>
    <n v="0"/>
    <n v="0"/>
    <n v="0"/>
    <n v="0"/>
    <n v="0"/>
    <n v="1553.0457755029215"/>
    <m/>
    <n v="380.63369821221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1.8036676373313"/>
    <n v="0"/>
    <n v="0"/>
    <n v="0"/>
    <n v="8236.4699999999993"/>
    <n v="895"/>
    <m/>
    <m/>
    <m/>
    <m/>
    <m/>
    <n v="13214.087249999995"/>
    <m/>
    <m/>
    <m/>
    <n v="46621.608902757165"/>
    <m/>
    <m/>
    <m/>
    <m/>
    <m/>
    <m/>
    <m/>
    <m/>
    <m/>
    <m/>
    <m/>
    <m/>
    <n v="96914.952799999999"/>
    <n v="-44778.75205000001"/>
    <m/>
    <m/>
    <m/>
    <m/>
    <n v="-50889.261149999991"/>
    <n v="0"/>
    <m/>
    <n v="-395.07390832612873"/>
    <n v="0"/>
    <n v="0"/>
    <n v="0"/>
    <n v="0"/>
    <n v="0"/>
    <n v="0"/>
    <n v="0"/>
    <n v="-51.556813502294972"/>
    <n v="0"/>
    <n v="0"/>
    <n v="-5.7436991482973099E-6"/>
    <n v="0"/>
    <n v="0"/>
    <n v="0"/>
    <n v="-7.9234268923755735E-7"/>
    <n v="0"/>
    <n v="-292.14093000110734"/>
    <m/>
    <n v="0"/>
    <n v="0"/>
    <n v="0"/>
    <n v="0"/>
    <n v="-39.015793170411143"/>
    <n v="-12.360365116261789"/>
    <n v="0"/>
    <n v="0"/>
    <m/>
    <m/>
    <m/>
    <n v="82352.558428644988"/>
    <n v="0"/>
    <n v="0"/>
    <n v="-50889.261149999991"/>
    <n v="0"/>
    <n v="0"/>
    <n v="0"/>
    <n v="-50494.06946949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69"/>
    <s v="Regular"/>
    <s v="Verde"/>
    <s v="A4"/>
    <s v="Rural"/>
    <s v="Não se aplica"/>
    <s v="Não se aplica"/>
    <s v="Não se aplica"/>
    <s v="Ponta"/>
    <s v="CATIVO"/>
    <x v="5"/>
    <n v="0"/>
    <n v="0"/>
    <n v="3.4940000000000002"/>
    <n v="3.3542399999999999"/>
    <n v="3.4940000000000002"/>
    <n v="3.3542399999999999"/>
    <m/>
    <n v="2641.06"/>
    <n v="252.22"/>
    <m/>
    <n v="10109.12032"/>
    <n v="10109.12032"/>
    <n v="6000.3859600000005"/>
    <n v="0"/>
    <n v="188.0199884406974"/>
    <n v="0"/>
    <n v="0"/>
    <n v="0"/>
    <n v="2263.2978649440943"/>
    <n v="6680.8436504066385"/>
    <n v="881.26634956449482"/>
    <n v="0"/>
    <n v="0"/>
    <n v="0"/>
    <n v="0"/>
    <n v="0"/>
    <n v="33.406235968893455"/>
    <m/>
    <n v="8.4062360449104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88740740589558"/>
    <n v="0"/>
    <n v="0"/>
    <n v="0"/>
    <n v="0"/>
    <n v="0"/>
    <m/>
    <m/>
    <m/>
    <m/>
    <m/>
    <n v="240.01543840000053"/>
    <m/>
    <m/>
    <m/>
    <n v="935.15375697039042"/>
    <m/>
    <m/>
    <m/>
    <m/>
    <m/>
    <m/>
    <m/>
    <m/>
    <m/>
    <m/>
    <m/>
    <m/>
    <n v="5753.0889999999999"/>
    <n v="-3951.6965072000003"/>
    <m/>
    <m/>
    <m/>
    <m/>
    <n v="-4108.7343600000004"/>
    <n v="0"/>
    <m/>
    <n v="-12.396160912446248"/>
    <n v="0"/>
    <n v="0"/>
    <n v="0"/>
    <n v="0"/>
    <n v="0"/>
    <n v="0"/>
    <n v="0"/>
    <n v="-5.8168748232974394"/>
    <n v="0"/>
    <n v="0"/>
    <n v="-1.2354792033875128E-7"/>
    <n v="0"/>
    <n v="0"/>
    <n v="0"/>
    <n v="-7.554724845704186E-9"/>
    <n v="0"/>
    <n v="-5.4670739446471828"/>
    <m/>
    <n v="0"/>
    <n v="0"/>
    <n v="0"/>
    <n v="0"/>
    <n v="-0.83923527156965605"/>
    <n v="-0.27297674182976195"/>
    <n v="0"/>
    <n v="0"/>
    <m/>
    <m/>
    <m/>
    <n v="6680.8436504066385"/>
    <n v="0"/>
    <n v="0"/>
    <n v="-4108.7343599999995"/>
    <n v="0"/>
    <n v="0"/>
    <n v="0"/>
    <n v="-4096.326693854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0"/>
    <s v="Regular"/>
    <s v="Verde"/>
    <s v="A4"/>
    <s v="Rural"/>
    <s v="Não se aplica"/>
    <s v="Não se aplica"/>
    <s v="Não se aplica"/>
    <s v="Fora ponta"/>
    <s v="CATIVO"/>
    <x v="5"/>
    <n v="0"/>
    <n v="0"/>
    <n v="31.939"/>
    <n v="30.661439999999999"/>
    <n v="31.939"/>
    <n v="30.661439999999999"/>
    <m/>
    <n v="81.2"/>
    <n v="252.22"/>
    <m/>
    <n v="10649.10138"/>
    <n v="10649.10138"/>
    <n v="10589.056060000001"/>
    <n v="0"/>
    <n v="1718.7093333736216"/>
    <n v="0"/>
    <n v="0"/>
    <n v="0"/>
    <n v="0"/>
    <n v="0"/>
    <n v="8055.742970446594"/>
    <n v="0"/>
    <n v="0"/>
    <n v="0"/>
    <n v="0"/>
    <n v="0"/>
    <n v="305.36971110775272"/>
    <m/>
    <n v="76.842236130050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2.59012740037173"/>
    <n v="0"/>
    <n v="0"/>
    <n v="0"/>
    <n v="0"/>
    <n v="0"/>
    <m/>
    <m/>
    <m/>
    <m/>
    <m/>
    <n v="423.56224240000034"/>
    <m/>
    <m/>
    <m/>
    <n v="8548.3330978469658"/>
    <m/>
    <m/>
    <m/>
    <m/>
    <m/>
    <m/>
    <m/>
    <m/>
    <m/>
    <m/>
    <m/>
    <m/>
    <n v="10165.0164"/>
    <n v="-58.150924800000212"/>
    <m/>
    <m/>
    <m/>
    <m/>
    <n v="-60.045320000000309"/>
    <n v="0"/>
    <m/>
    <n v="-60.141905667242099"/>
    <n v="0"/>
    <n v="0"/>
    <n v="0"/>
    <n v="0"/>
    <n v="0"/>
    <n v="0"/>
    <n v="0"/>
    <n v="0"/>
    <n v="0"/>
    <n v="0"/>
    <n v="-1.1293641364318319E-6"/>
    <n v="0"/>
    <n v="0"/>
    <n v="0"/>
    <n v="-6.9058501139807049E-8"/>
    <n v="0"/>
    <n v="-49.975064315422514"/>
    <m/>
    <n v="0"/>
    <n v="0"/>
    <n v="0"/>
    <n v="0"/>
    <n v="-7.6715327242882836"/>
    <n v="-2.495307429107271"/>
    <n v="0"/>
    <n v="0"/>
    <m/>
    <m/>
    <m/>
    <n v="0"/>
    <n v="0"/>
    <n v="0"/>
    <n v="-60.045320000000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1"/>
    <s v="Regular"/>
    <s v="Verde"/>
    <s v="A4"/>
    <s v="Rural"/>
    <s v="Não se aplica"/>
    <s v="Não se aplica"/>
    <s v="Não se aplica"/>
    <s v="Não se aplica"/>
    <s v="CATIVO"/>
    <x v="5"/>
    <n v="138"/>
    <n v="132.47999999999999"/>
    <n v="0"/>
    <n v="0"/>
    <n v="0"/>
    <n v="0"/>
    <n v="74.44"/>
    <m/>
    <m/>
    <n v="10272.719999999999"/>
    <m/>
    <n v="10272.719999999999"/>
    <n v="6267.96"/>
    <n v="0"/>
    <n v="0"/>
    <n v="0"/>
    <n v="0"/>
    <n v="0"/>
    <n v="3755.9587692023483"/>
    <n v="6516.57223491659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86"/>
    <n v="2"/>
    <m/>
    <m/>
    <m/>
    <m/>
    <m/>
    <n v="250.71840000000049"/>
    <m/>
    <m/>
    <m/>
    <n v="0"/>
    <m/>
    <m/>
    <m/>
    <m/>
    <m/>
    <m/>
    <m/>
    <m/>
    <m/>
    <m/>
    <m/>
    <m/>
    <n v="6017.2415999999994"/>
    <n v="-3844.5995999999996"/>
    <m/>
    <m/>
    <m/>
    <m/>
    <n v="-4004.7599999999993"/>
    <n v="0"/>
    <m/>
    <n v="-9.6531447938477868"/>
    <n v="0"/>
    <n v="0"/>
    <n v="0"/>
    <n v="0"/>
    <m/>
    <m/>
    <m/>
    <n v="-9.65314479384778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16.5722349165917"/>
    <m/>
    <n v="0"/>
    <n v="0"/>
    <n v="-4004.7599999999993"/>
    <m/>
    <n v="0"/>
    <m/>
    <n v="-3995.604476792961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72"/>
    <s v="Sistema de Compensação"/>
    <s v="Verde"/>
    <s v="A4"/>
    <s v="Rural"/>
    <s v="Não se aplica"/>
    <s v="Não se aplica"/>
    <s v="Não se aplica"/>
    <s v="Não se aplica"/>
    <s v="CATIVO"/>
    <x v="5"/>
    <n v="331"/>
    <n v="317.76"/>
    <n v="0"/>
    <n v="0"/>
    <n v="0"/>
    <n v="0"/>
    <n v="74.44"/>
    <m/>
    <m/>
    <n v="24639.64"/>
    <m/>
    <n v="24639.64"/>
    <n v="15034.02"/>
    <n v="0"/>
    <n v="0"/>
    <n v="0"/>
    <n v="0"/>
    <n v="0"/>
    <n v="9008.8576275795458"/>
    <n v="15630.3290562129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.36"/>
    <n v="4"/>
    <m/>
    <m/>
    <m/>
    <m/>
    <m/>
    <n v="601.36080000000038"/>
    <m/>
    <m/>
    <m/>
    <n v="0"/>
    <m/>
    <m/>
    <m/>
    <m/>
    <m/>
    <m/>
    <m/>
    <m/>
    <m/>
    <m/>
    <m/>
    <m/>
    <n v="14432.6592"/>
    <n v="-9221.4251999999924"/>
    <m/>
    <m/>
    <m/>
    <m/>
    <n v="-9605.619999999999"/>
    <n v="0"/>
    <m/>
    <n v="-23.153557440316945"/>
    <n v="0"/>
    <n v="0"/>
    <n v="0"/>
    <n v="0"/>
    <m/>
    <m/>
    <m/>
    <n v="-23.153557440316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630.329056212984"/>
    <m/>
    <n v="0"/>
    <n v="0"/>
    <n v="-9605.619999999999"/>
    <m/>
    <n v="0"/>
    <m/>
    <n v="-9583.660013177319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73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96.46600000000001"/>
    <n v="196.46600000000001"/>
    <n v="196.46600000000001"/>
    <n v="196.46600000000001"/>
    <m/>
    <n v="739.04"/>
    <n v="252.22"/>
    <m/>
    <n v="194748.88716000001"/>
    <n v="194748.88716000001"/>
    <n v="133198.05402000001"/>
    <n v="0"/>
    <n v="12152.042269174104"/>
    <n v="0"/>
    <n v="0"/>
    <n v="0"/>
    <n v="24263.075728359705"/>
    <n v="99605.859231336639"/>
    <n v="49553.198235128228"/>
    <n v="0"/>
    <n v="0"/>
    <n v="0"/>
    <n v="0"/>
    <n v="0"/>
    <n v="1878.4171596636008"/>
    <m/>
    <n v="460.37849079915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35.8867200174591"/>
    <n v="0"/>
    <n v="0"/>
    <n v="0"/>
    <n v="64118.89"/>
    <n v="366"/>
    <m/>
    <m/>
    <m/>
    <m/>
    <m/>
    <m/>
    <m/>
    <m/>
    <m/>
    <n v="56389.084955145685"/>
    <m/>
    <m/>
    <m/>
    <m/>
    <m/>
    <m/>
    <m/>
    <m/>
    <m/>
    <m/>
    <m/>
    <m/>
    <n v="133200.7659"/>
    <n v="-61548.151260000042"/>
    <m/>
    <m/>
    <m/>
    <m/>
    <n v="-61550.833139999995"/>
    <n v="0"/>
    <m/>
    <n v="-477.84400205127895"/>
    <n v="0"/>
    <n v="0"/>
    <n v="0"/>
    <n v="0"/>
    <n v="0"/>
    <n v="0"/>
    <n v="0"/>
    <n v="-62.358241275229375"/>
    <n v="0"/>
    <n v="0"/>
    <n v="-6.94704067427665E-6"/>
    <n v="0"/>
    <n v="0"/>
    <n v="0"/>
    <n v="-9.5834275271045044E-7"/>
    <n v="0"/>
    <n v="-353.34601504354214"/>
    <m/>
    <n v="0"/>
    <n v="0"/>
    <n v="0"/>
    <n v="0"/>
    <n v="-47.189810207270739"/>
    <n v="-14.949927619857078"/>
    <n v="0"/>
    <n v="0"/>
    <m/>
    <m/>
    <m/>
    <n v="99605.859231336639"/>
    <n v="0"/>
    <n v="0"/>
    <n v="-61550.833140000002"/>
    <n v="0"/>
    <n v="0"/>
    <n v="0"/>
    <n v="-61072.84669186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4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0.56000000000000005"/>
    <n v="0.56000000000000005"/>
    <n v="0.56000000000000005"/>
    <n v="0.56000000000000005"/>
    <m/>
    <n v="739.04"/>
    <n v="252.22"/>
    <m/>
    <n v="555.10560000000009"/>
    <n v="555.10560000000009"/>
    <n v="379.66320000000002"/>
    <n v="0"/>
    <n v="34.637767709107422"/>
    <n v="0"/>
    <n v="0"/>
    <n v="0"/>
    <n v="69.158645301891596"/>
    <n v="283.91315122997628"/>
    <n v="141.24474978709705"/>
    <n v="0"/>
    <n v="0"/>
    <n v="0"/>
    <n v="0"/>
    <n v="0"/>
    <n v="5.3541763430395921"/>
    <m/>
    <n v="1.3122471819425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484778858478197"/>
    <n v="0"/>
    <n v="0"/>
    <n v="0"/>
    <n v="317.18"/>
    <n v="2"/>
    <m/>
    <m/>
    <m/>
    <m/>
    <m/>
    <m/>
    <m/>
    <m/>
    <m/>
    <n v="160.72952864557524"/>
    <m/>
    <m/>
    <m/>
    <m/>
    <m/>
    <m/>
    <m/>
    <m/>
    <m/>
    <m/>
    <m/>
    <m/>
    <n v="379.66320000000002"/>
    <n v="-175.47240000000005"/>
    <m/>
    <m/>
    <m/>
    <m/>
    <n v="-175.44239999999999"/>
    <n v="0"/>
    <m/>
    <n v="-1.3620302808052998"/>
    <n v="0"/>
    <n v="0"/>
    <n v="0"/>
    <n v="0"/>
    <n v="0"/>
    <n v="0"/>
    <n v="0"/>
    <n v="-0.17774380866983108"/>
    <n v="0"/>
    <n v="0"/>
    <n v="-1.9801603912128485E-8"/>
    <n v="0"/>
    <n v="0"/>
    <n v="0"/>
    <n v="-2.7316282569245232E-9"/>
    <n v="0"/>
    <n v="-1.0071654557245679"/>
    <m/>
    <n v="0"/>
    <n v="0"/>
    <n v="0"/>
    <n v="0"/>
    <n v="-0.1345082289865509"/>
    <n v="-4.2612764891228005E-2"/>
    <n v="0"/>
    <n v="0"/>
    <m/>
    <m/>
    <m/>
    <n v="283.91315122997628"/>
    <n v="0"/>
    <n v="0"/>
    <n v="-175.44240000000002"/>
    <n v="0"/>
    <n v="0"/>
    <n v="0"/>
    <n v="-174.0799636957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5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87.53300000000002"/>
    <n v="387.53300000000002"/>
    <n v="387.53300000000002"/>
    <n v="387.53300000000002"/>
    <m/>
    <n v="406.47"/>
    <n v="138.72"/>
    <m/>
    <n v="211279.11627"/>
    <n v="211279.11627"/>
    <n v="144503.30504000001"/>
    <n v="0"/>
    <n v="13183.576640156118"/>
    <n v="0"/>
    <n v="0"/>
    <n v="0"/>
    <n v="26322.66340960345"/>
    <n v="108060.97032068485"/>
    <n v="53759.55516175642"/>
    <n v="0"/>
    <n v="0"/>
    <n v="0"/>
    <n v="0"/>
    <n v="0"/>
    <n v="2037.8678775195347"/>
    <m/>
    <n v="499.45803203189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16.1556124097224"/>
    <n v="0"/>
    <n v="0"/>
    <n v="0"/>
    <n v="49882.7"/>
    <n v="66"/>
    <m/>
    <m/>
    <m/>
    <m/>
    <m/>
    <m/>
    <m/>
    <m/>
    <m/>
    <n v="61175.710774166146"/>
    <m/>
    <m/>
    <m/>
    <m/>
    <m/>
    <m/>
    <m/>
    <m/>
    <m/>
    <m/>
    <m/>
    <m/>
    <n v="144502.18640000001"/>
    <n v="-66776.959870000021"/>
    <m/>
    <m/>
    <m/>
    <m/>
    <n v="-66775.811230000021"/>
    <n v="0"/>
    <m/>
    <n v="-518.40611508222355"/>
    <n v="0"/>
    <n v="0"/>
    <n v="0"/>
    <n v="0"/>
    <n v="0"/>
    <n v="0"/>
    <n v="0"/>
    <n v="-67.651562987357465"/>
    <n v="0"/>
    <n v="0"/>
    <n v="-7.5363495852798223E-6"/>
    <n v="0"/>
    <n v="0"/>
    <n v="0"/>
    <n v="-1.0396743164164945E-6"/>
    <n v="0"/>
    <n v="-383.3400317934229"/>
    <m/>
    <n v="0"/>
    <n v="0"/>
    <n v="0"/>
    <n v="0"/>
    <n v="-51.195549334134739"/>
    <n v="-16.218962391296998"/>
    <n v="0"/>
    <n v="0"/>
    <m/>
    <m/>
    <m/>
    <n v="108060.97032068485"/>
    <n v="0"/>
    <n v="0"/>
    <n v="-66775.811230000007"/>
    <n v="0"/>
    <n v="0"/>
    <n v="0"/>
    <n v="-66257.0568107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6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85.683000000000007"/>
    <n v="80.542019999999994"/>
    <n v="85.683000000000007"/>
    <n v="80.542019999999994"/>
    <m/>
    <n v="739.04"/>
    <n v="252.22"/>
    <m/>
    <n v="84934.130579999997"/>
    <n v="84934.130579999997"/>
    <n v="58090.503510000002"/>
    <n v="0"/>
    <n v="5299.7640189633057"/>
    <n v="0"/>
    <n v="0"/>
    <n v="0"/>
    <n v="10581.643223932104"/>
    <n v="43440.233101496531"/>
    <n v="21611.20338572828"/>
    <n v="0"/>
    <n v="0"/>
    <n v="0"/>
    <n v="0"/>
    <n v="0"/>
    <n v="819.21766357260958"/>
    <m/>
    <n v="200.78084873282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1.2755480910487"/>
    <n v="0"/>
    <n v="0"/>
    <n v="0"/>
    <n v="30102.7"/>
    <n v="28"/>
    <m/>
    <m/>
    <m/>
    <m/>
    <n v="3485.4302106000091"/>
    <m/>
    <m/>
    <m/>
    <m/>
    <n v="24592.47893381933"/>
    <m/>
    <m/>
    <m/>
    <m/>
    <m/>
    <m/>
    <m/>
    <m/>
    <m/>
    <m/>
    <m/>
    <m/>
    <n v="54603.703800000003"/>
    <n v="-25234.40894519999"/>
    <m/>
    <m/>
    <m/>
    <m/>
    <n v="-26843.627069999999"/>
    <n v="0"/>
    <m/>
    <n v="-208.39792955401936"/>
    <n v="0"/>
    <n v="0"/>
    <n v="0"/>
    <n v="0"/>
    <n v="0"/>
    <n v="0"/>
    <n v="0"/>
    <n v="-27.195754925460278"/>
    <n v="0"/>
    <n v="0"/>
    <n v="-3.0297524062916636E-6"/>
    <n v="0"/>
    <n v="0"/>
    <n v="0"/>
    <n v="-4.1795374272624031E-7"/>
    <n v="0"/>
    <n v="-154.10171025508589"/>
    <m/>
    <n v="0"/>
    <n v="0"/>
    <n v="0"/>
    <n v="0"/>
    <n v="-20.580479614740398"/>
    <n v="-6.5199813110269247"/>
    <n v="0"/>
    <n v="0"/>
    <m/>
    <m/>
    <m/>
    <n v="43440.233101496531"/>
    <n v="0"/>
    <n v="0"/>
    <n v="-26843.627070000002"/>
    <n v="0"/>
    <n v="0"/>
    <n v="0"/>
    <n v="-26635.16701668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7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7.46"/>
    <n v="7.46"/>
    <n v="7.46"/>
    <n v="7.46"/>
    <m/>
    <n v="739.04"/>
    <n v="252.22"/>
    <m/>
    <n v="7394.7995999999994"/>
    <n v="7394.7995999999994"/>
    <n v="5057.6561999999994"/>
    <n v="0"/>
    <n v="461.42454841060953"/>
    <n v="0"/>
    <n v="0"/>
    <n v="0"/>
    <n v="921.29195348591304"/>
    <n v="3782.1287645993261"/>
    <n v="1881.5818453781142"/>
    <n v="0"/>
    <n v="0"/>
    <n v="0"/>
    <n v="0"/>
    <n v="0"/>
    <n v="71.325277712634559"/>
    <m/>
    <n v="17.481007102306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.5650897932988"/>
    <n v="0"/>
    <n v="0"/>
    <n v="0"/>
    <n v="2621.4299999999998"/>
    <n v="11"/>
    <m/>
    <m/>
    <m/>
    <m/>
    <m/>
    <m/>
    <m/>
    <m/>
    <m/>
    <n v="2141.1469351714131"/>
    <m/>
    <m/>
    <m/>
    <m/>
    <m/>
    <m/>
    <m/>
    <m/>
    <m/>
    <m/>
    <m/>
    <m/>
    <n v="5057.6561999999994"/>
    <n v="-2337.1734000000006"/>
    <m/>
    <m/>
    <m/>
    <m/>
    <n v="-2337.1433999999999"/>
    <n v="0"/>
    <m/>
    <n v="-18.144189097871731"/>
    <n v="0"/>
    <n v="0"/>
    <n v="0"/>
    <n v="0"/>
    <n v="0"/>
    <n v="0"/>
    <n v="0"/>
    <n v="-2.3678014512089476"/>
    <n v="0"/>
    <n v="0"/>
    <n v="-2.6378575057606213E-7"/>
    <n v="0"/>
    <n v="0"/>
    <n v="0"/>
    <n v="-3.6389167235029163E-8"/>
    <n v="0"/>
    <n v="-13.41688267804517"/>
    <m/>
    <n v="0"/>
    <n v="0"/>
    <n v="0"/>
    <n v="0"/>
    <n v="-1.7918417647136948"/>
    <n v="-0.56766290372956973"/>
    <n v="0"/>
    <n v="0"/>
    <m/>
    <m/>
    <m/>
    <n v="3782.1287645993261"/>
    <n v="0"/>
    <n v="0"/>
    <n v="-2337.1433999999995"/>
    <n v="0"/>
    <n v="0"/>
    <n v="0"/>
    <n v="-2318.9938020895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78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9.78"/>
    <n v="3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7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3.5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280"/>
    <s v="Regular"/>
    <s v="Convencional"/>
    <s v="B2"/>
    <s v="Rural"/>
    <s v="Agropecuária rural"/>
    <s v="IRRIG./AQUIC."/>
    <s v="Não se aplica"/>
    <s v="Não se aplica"/>
    <s v="CATIVO"/>
    <x v="5"/>
    <n v="0"/>
    <n v="0"/>
    <n v="209.755"/>
    <n v="209.755"/>
    <n v="209.755"/>
    <n v="209.755"/>
    <m/>
    <n v="739.04"/>
    <n v="252.22"/>
    <m/>
    <n v="207921.74129999999"/>
    <n v="207921.74129999999"/>
    <n v="142207.59735"/>
    <n v="0"/>
    <n v="12974.008867542547"/>
    <n v="0"/>
    <n v="0"/>
    <n v="0"/>
    <n v="25904.235080889772"/>
    <n v="106343.21970757797"/>
    <n v="52904.986592129535"/>
    <n v="0"/>
    <n v="0"/>
    <n v="0"/>
    <n v="0"/>
    <n v="0"/>
    <n v="2005.4736764897668"/>
    <m/>
    <n v="491.51858508635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98.2674811787383"/>
    <n v="0"/>
    <n v="0"/>
    <n v="0"/>
    <n v="0"/>
    <n v="0"/>
    <m/>
    <m/>
    <m/>
    <m/>
    <m/>
    <n v="20635.696899999999"/>
    <m/>
    <m/>
    <m/>
    <n v="60203.254073308271"/>
    <m/>
    <m/>
    <m/>
    <m/>
    <m/>
    <m/>
    <m/>
    <m/>
    <m/>
    <m/>
    <m/>
    <m/>
    <n v="121574.7984"/>
    <n v="-55196.257849999995"/>
    <m/>
    <m/>
    <m/>
    <m/>
    <n v="-65714.143949999998"/>
    <n v="0"/>
    <m/>
    <n v="-510.16546705419023"/>
    <n v="0"/>
    <n v="0"/>
    <n v="0"/>
    <n v="0"/>
    <n v="0"/>
    <n v="0"/>
    <n v="0"/>
    <n v="-66.576165334896359"/>
    <n v="0"/>
    <n v="0"/>
    <n v="-7.416936568915844E-6"/>
    <n v="0"/>
    <n v="0"/>
    <n v="0"/>
    <n v="-1.0231651685899124E-6"/>
    <n v="0"/>
    <n v="-377.24641100983354"/>
    <m/>
    <n v="0"/>
    <n v="0"/>
    <n v="0"/>
    <n v="0"/>
    <n v="-50.381738519774672"/>
    <n v="-15.96114374957051"/>
    <n v="0"/>
    <n v="0"/>
    <m/>
    <m/>
    <m/>
    <n v="106343.21970757797"/>
    <n v="0"/>
    <n v="0"/>
    <n v="-65714.143949999998"/>
    <n v="0"/>
    <n v="0"/>
    <n v="0"/>
    <n v="-65203.82640178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1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89200000000000002"/>
    <n v="0.89200000000000002"/>
    <n v="0.89200000000000002"/>
    <n v="0.89200000000000002"/>
    <m/>
    <n v="739.04"/>
    <n v="252.22"/>
    <m/>
    <n v="884.20391999999993"/>
    <n v="884.20391999999993"/>
    <n v="604.74923999999999"/>
    <n v="0"/>
    <n v="55.173015708078239"/>
    <n v="0"/>
    <n v="0"/>
    <n v="0"/>
    <n v="110.15984215944161"/>
    <n v="452.23309088774789"/>
    <n v="224.98270858944744"/>
    <n v="0"/>
    <n v="0"/>
    <n v="0"/>
    <n v="0"/>
    <n v="0"/>
    <n v="8.5284380321273492"/>
    <m/>
    <n v="2.0902222969513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036469181718839"/>
    <n v="0"/>
    <n v="0"/>
    <n v="0"/>
    <n v="0"/>
    <n v="0"/>
    <m/>
    <m/>
    <m/>
    <m/>
    <m/>
    <n v="87.754959999999997"/>
    <m/>
    <m/>
    <m/>
    <n v="256.01917777116626"/>
    <m/>
    <m/>
    <m/>
    <m/>
    <m/>
    <m/>
    <m/>
    <m/>
    <m/>
    <m/>
    <m/>
    <m/>
    <n v="515.83510000000001"/>
    <n v="-235.92790000000002"/>
    <m/>
    <m/>
    <m/>
    <m/>
    <n v="-279.45468"/>
    <n v="0"/>
    <m/>
    <n v="-2.1695196615686427"/>
    <n v="0"/>
    <n v="0"/>
    <n v="0"/>
    <n v="0"/>
    <n v="0"/>
    <n v="0"/>
    <n v="0"/>
    <n v="-0.28312049523837857"/>
    <n v="0"/>
    <n v="0"/>
    <n v="-3.1541134148937999E-8"/>
    <n v="0"/>
    <n v="0"/>
    <n v="0"/>
    <n v="-4.3510937075552647E-9"/>
    <n v="0"/>
    <n v="-1.6042706901898427"/>
    <m/>
    <n v="0"/>
    <n v="0"/>
    <n v="0"/>
    <n v="0"/>
    <n v="-0.21425239331429147"/>
    <n v="-6.7876046933884382E-2"/>
    <n v="0"/>
    <n v="0"/>
    <m/>
    <m/>
    <m/>
    <n v="452.23309088774789"/>
    <n v="0"/>
    <n v="0"/>
    <n v="-279.45467999999994"/>
    <n v="0"/>
    <n v="0"/>
    <n v="0"/>
    <n v="-277.284513601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2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62.84800000000001"/>
    <n v="105.1392"/>
    <n v="262.84800000000001"/>
    <n v="105.1392"/>
    <m/>
    <n v="739.04"/>
    <n v="252.22"/>
    <m/>
    <n v="260550.70847999997"/>
    <n v="260550.70847999997"/>
    <n v="178203.05856"/>
    <n v="0"/>
    <n v="16257.978512149048"/>
    <n v="0"/>
    <n v="0"/>
    <n v="0"/>
    <n v="32461.092143413578"/>
    <n v="133260.72138303"/>
    <n v="66296.249985783725"/>
    <n v="0"/>
    <n v="0"/>
    <n v="0"/>
    <n v="0"/>
    <n v="0"/>
    <n v="2513.0973989558402"/>
    <m/>
    <n v="615.93133442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45.5984882022804"/>
    <n v="0"/>
    <n v="0"/>
    <n v="0"/>
    <n v="0"/>
    <n v="0"/>
    <m/>
    <m/>
    <m/>
    <m/>
    <m/>
    <m/>
    <n v="117265.429632"/>
    <m/>
    <m/>
    <n v="75441.848473986"/>
    <m/>
    <m/>
    <m/>
    <m/>
    <m/>
    <m/>
    <m/>
    <m/>
    <m/>
    <m/>
    <m/>
    <m/>
    <n v="60938.092600000004"/>
    <n v="-27667.998199999987"/>
    <m/>
    <m/>
    <m/>
    <m/>
    <n v="-82347.649919999996"/>
    <n v="0"/>
    <m/>
    <n v="-639.2980986591574"/>
    <n v="0"/>
    <n v="0"/>
    <n v="0"/>
    <n v="0"/>
    <n v="0"/>
    <n v="0"/>
    <n v="0"/>
    <n v="-83.427865395089611"/>
    <n v="0"/>
    <n v="0"/>
    <n v="-9.2943082563579082E-6"/>
    <n v="0"/>
    <n v="0"/>
    <n v="0"/>
    <n v="-1.2821474228985608E-6"/>
    <n v="0"/>
    <n v="-472.73468876123479"/>
    <m/>
    <n v="0"/>
    <n v="0"/>
    <n v="0"/>
    <n v="0"/>
    <n v="-63.134319594029876"/>
    <n v="-20.001214332374161"/>
    <n v="0"/>
    <n v="0"/>
    <m/>
    <m/>
    <m/>
    <n v="133260.72138303"/>
    <n v="0"/>
    <n v="0"/>
    <n v="-82347.649919999982"/>
    <n v="0"/>
    <n v="0"/>
    <n v="0"/>
    <n v="-81708.161245527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3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17.352"/>
    <n v="17.352"/>
    <n v="17.352"/>
    <n v="17.352"/>
    <m/>
    <n v="739.04"/>
    <n v="252.22"/>
    <m/>
    <n v="17200.343520000002"/>
    <n v="17200.343520000002"/>
    <n v="11764.135440000002"/>
    <n v="0"/>
    <n v="1073.2759737293427"/>
    <n v="0"/>
    <n v="0"/>
    <n v="0"/>
    <n v="2142.9300237114699"/>
    <n v="8797.251785968836"/>
    <n v="4376.5694612601928"/>
    <n v="0"/>
    <n v="0"/>
    <n v="0"/>
    <n v="0"/>
    <n v="0"/>
    <n v="165.90297840075533"/>
    <m/>
    <n v="40.660916251905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.74979062913144"/>
    <n v="0"/>
    <n v="0"/>
    <n v="0"/>
    <n v="0"/>
    <n v="0"/>
    <m/>
    <m/>
    <m/>
    <m/>
    <m/>
    <n v="1707.0897599999998"/>
    <m/>
    <m/>
    <m/>
    <n v="4980.3192518893247"/>
    <m/>
    <m/>
    <m/>
    <m/>
    <m/>
    <m/>
    <m/>
    <m/>
    <m/>
    <m/>
    <m/>
    <m/>
    <n v="10055.886500000001"/>
    <n v="-4567.5415000000012"/>
    <m/>
    <m/>
    <m/>
    <m/>
    <n v="-5436.2080799999994"/>
    <n v="0"/>
    <m/>
    <n v="-42.203481129527063"/>
    <n v="0"/>
    <n v="0"/>
    <n v="0"/>
    <n v="0"/>
    <n v="0"/>
    <n v="0"/>
    <n v="0"/>
    <n v="-5.5075188714986325"/>
    <n v="0"/>
    <n v="0"/>
    <n v="-6.1356695368885994E-7"/>
    <n v="0"/>
    <n v="0"/>
    <n v="0"/>
    <n v="-8.4641328612633515E-8"/>
    <n v="0"/>
    <n v="-31.20774104952261"/>
    <m/>
    <n v="0"/>
    <n v="0"/>
    <n v="0"/>
    <n v="0"/>
    <n v="-4.167833552454681"/>
    <n v="-1.3203869578439082"/>
    <n v="0"/>
    <n v="0"/>
    <m/>
    <m/>
    <m/>
    <n v="8797.251785968836"/>
    <n v="0"/>
    <n v="0"/>
    <n v="-5436.2080799999994"/>
    <n v="0"/>
    <n v="0"/>
    <n v="0"/>
    <n v="-5393.9920179434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4"/>
    <s v="Regular"/>
    <s v="Verde"/>
    <s v="A4"/>
    <s v="Rural"/>
    <s v="Agropecuária rural"/>
    <s v="Não se aplica"/>
    <s v="Não se aplica"/>
    <s v="Ponta"/>
    <s v="CATIVO"/>
    <x v="5"/>
    <n v="0"/>
    <n v="0"/>
    <n v="58.46"/>
    <n v="56.121600000000001"/>
    <n v="58.46"/>
    <n v="56.121600000000001"/>
    <m/>
    <n v="2641.06"/>
    <n v="252.22"/>
    <m/>
    <n v="169141.1488"/>
    <n v="169141.1488"/>
    <n v="100395.69639999999"/>
    <n v="0"/>
    <n v="3145.8639164977585"/>
    <n v="0"/>
    <n v="0"/>
    <n v="0"/>
    <n v="37868.458266923793"/>
    <n v="111780.80131733602"/>
    <n v="14744.942986703023"/>
    <n v="0"/>
    <n v="0"/>
    <n v="0"/>
    <n v="0"/>
    <n v="0"/>
    <n v="558.93776609659733"/>
    <m/>
    <n v="140.64927280637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1.61930078667876"/>
    <n v="0"/>
    <n v="0"/>
    <n v="0"/>
    <n v="0"/>
    <n v="0"/>
    <m/>
    <m/>
    <m/>
    <m/>
    <m/>
    <n v="4015.8278559999999"/>
    <m/>
    <m/>
    <m/>
    <n v="15646.562287489702"/>
    <m/>
    <m/>
    <m/>
    <m/>
    <m/>
    <m/>
    <m/>
    <m/>
    <m/>
    <m/>
    <m/>
    <m/>
    <n v="96377.12079999999"/>
    <n v="-65998.412048000042"/>
    <m/>
    <m/>
    <m/>
    <m/>
    <n v="-68745.452400000009"/>
    <n v="0"/>
    <m/>
    <n v="-207.40685945667792"/>
    <n v="0"/>
    <n v="0"/>
    <n v="0"/>
    <n v="0"/>
    <n v="0"/>
    <n v="0"/>
    <n v="0"/>
    <n v="-97.325272515736287"/>
    <n v="0"/>
    <n v="0"/>
    <n v="-2.0671450329245999E-6"/>
    <n v="0"/>
    <n v="0"/>
    <n v="0"/>
    <n v="-1.264022557734279E-7"/>
    <n v="0"/>
    <n v="-91.472565198646862"/>
    <m/>
    <n v="0"/>
    <n v="0"/>
    <n v="0"/>
    <n v="0"/>
    <n v="-14.041698333131649"/>
    <n v="-4.5673212156175964"/>
    <n v="0"/>
    <n v="0"/>
    <m/>
    <m/>
    <m/>
    <n v="111780.80131733602"/>
    <n v="0"/>
    <n v="0"/>
    <n v="-68745.452400000009"/>
    <n v="0"/>
    <n v="0"/>
    <n v="0"/>
    <n v="-68537.85304027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5"/>
    <s v="Regular"/>
    <s v="Verde"/>
    <s v="A4"/>
    <s v="Rural"/>
    <s v="Agropecuária rural"/>
    <s v="Não se aplica"/>
    <s v="Não se aplica"/>
    <s v="Fora ponta"/>
    <s v="CATIVO"/>
    <x v="5"/>
    <n v="0"/>
    <n v="0"/>
    <n v="512.14300000000003"/>
    <n v="491.65728000000001"/>
    <n v="512.14300000000003"/>
    <n v="491.65728000000001"/>
    <m/>
    <n v="81.2"/>
    <n v="252.22"/>
    <m/>
    <n v="170758.71906"/>
    <n v="170758.71906"/>
    <n v="169795.89022"/>
    <n v="0"/>
    <n v="27559.565237545532"/>
    <n v="0"/>
    <n v="0"/>
    <n v="0"/>
    <n v="0"/>
    <n v="0"/>
    <n v="129174.12480395222"/>
    <n v="0"/>
    <n v="0"/>
    <n v="0"/>
    <n v="0"/>
    <n v="0"/>
    <n v="4896.6141693809386"/>
    <m/>
    <n v="1232.1679870488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98.7001977898053"/>
    <n v="0"/>
    <n v="0"/>
    <n v="0"/>
    <n v="0"/>
    <n v="0"/>
    <m/>
    <m/>
    <m/>
    <m/>
    <m/>
    <n v="6791.8356088000046"/>
    <m/>
    <m/>
    <m/>
    <n v="137072.82500174202"/>
    <m/>
    <m/>
    <m/>
    <m/>
    <m/>
    <m/>
    <m/>
    <m/>
    <m/>
    <m/>
    <m/>
    <m/>
    <n v="163004.95640000002"/>
    <n v="-923.44389759999467"/>
    <m/>
    <m/>
    <m/>
    <m/>
    <n v="-962.82884000000502"/>
    <n v="0"/>
    <m/>
    <n v="-964.37759460654343"/>
    <n v="0"/>
    <n v="0"/>
    <n v="0"/>
    <n v="0"/>
    <n v="0"/>
    <n v="0"/>
    <n v="0"/>
    <n v="0"/>
    <n v="0"/>
    <n v="0"/>
    <n v="-1.8109378288500011E-5"/>
    <n v="0"/>
    <n v="0"/>
    <n v="0"/>
    <n v="-1.1073552741436288E-6"/>
    <n v="0"/>
    <n v="-801.35193223624447"/>
    <m/>
    <n v="0"/>
    <n v="0"/>
    <n v="0"/>
    <n v="0"/>
    <n v="-123.01329985331904"/>
    <n v="-40.012343300206339"/>
    <n v="0"/>
    <n v="0"/>
    <m/>
    <m/>
    <m/>
    <n v="0"/>
    <n v="0"/>
    <n v="0"/>
    <n v="-962.82884000000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6"/>
    <s v="Sistema de Compensação"/>
    <s v="Verde"/>
    <s v="A4"/>
    <s v="Rural"/>
    <s v="Agropecuária rural"/>
    <s v="Não se aplica"/>
    <s v="Não se aplica"/>
    <s v="Fora ponta"/>
    <s v="CATIVO"/>
    <x v="5"/>
    <n v="0"/>
    <n v="0"/>
    <n v="16.667000000000002"/>
    <n v="16.000320000000002"/>
    <n v="16.667000000000002"/>
    <n v="16.000320000000002"/>
    <m/>
    <n v="81.2"/>
    <n v="252.22"/>
    <m/>
    <n v="5557.1111400000009"/>
    <n v="5557.1111400000009"/>
    <n v="5525.777180000001"/>
    <n v="0"/>
    <n v="896.88870845480926"/>
    <n v="0"/>
    <n v="0"/>
    <n v="0"/>
    <n v="0"/>
    <n v="0"/>
    <n v="4203.7968655384766"/>
    <n v="0"/>
    <n v="0"/>
    <n v="0"/>
    <n v="0"/>
    <n v="0"/>
    <n v="159.35367340971587"/>
    <m/>
    <n v="40.099237596028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.05249548771081"/>
    <n v="0"/>
    <n v="0"/>
    <n v="0"/>
    <n v="0"/>
    <n v="0"/>
    <m/>
    <m/>
    <m/>
    <m/>
    <m/>
    <n v="221.03108719999983"/>
    <m/>
    <m/>
    <m/>
    <n v="4460.8493610261876"/>
    <m/>
    <m/>
    <m/>
    <m/>
    <m/>
    <m/>
    <m/>
    <m/>
    <m/>
    <m/>
    <m/>
    <m/>
    <n v="5304.6399999999994"/>
    <n v="-30.21669440000187"/>
    <m/>
    <m/>
    <m/>
    <m/>
    <n v="-31.333960000000165"/>
    <n v="0"/>
    <m/>
    <n v="-31.384362120164951"/>
    <n v="0"/>
    <n v="0"/>
    <n v="0"/>
    <n v="0"/>
    <n v="0"/>
    <n v="0"/>
    <n v="0"/>
    <n v="0"/>
    <n v="0"/>
    <n v="0"/>
    <n v="-5.8934620028594509E-7"/>
    <n v="0"/>
    <n v="0"/>
    <n v="0"/>
    <n v="-3.6037363315699622E-8"/>
    <n v="0"/>
    <n v="-26.078912832122001"/>
    <m/>
    <n v="0"/>
    <n v="0"/>
    <n v="0"/>
    <n v="0"/>
    <n v="-4.003301165212207"/>
    <n v="-1.3021474974460929"/>
    <n v="0"/>
    <n v="0"/>
    <m/>
    <m/>
    <m/>
    <n v="0"/>
    <n v="0"/>
    <n v="0"/>
    <n v="-31.333960000000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87"/>
    <s v="Regular"/>
    <s v="Verde"/>
    <s v="A4"/>
    <s v="Rural"/>
    <s v="Agropecuária rural"/>
    <s v="Não se aplica"/>
    <s v="Não se aplica"/>
    <s v="Não se aplica"/>
    <s v="CATIVO"/>
    <x v="5"/>
    <n v="4370"/>
    <n v="4195.2"/>
    <n v="0"/>
    <n v="0"/>
    <n v="0"/>
    <n v="0"/>
    <n v="74.44"/>
    <m/>
    <m/>
    <n v="325302.8"/>
    <m/>
    <n v="325302.8"/>
    <n v="198485.4"/>
    <n v="0"/>
    <n v="0"/>
    <n v="0"/>
    <n v="0"/>
    <n v="0"/>
    <n v="118938.69435807437"/>
    <n v="206358.120772358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9.62"/>
    <n v="23"/>
    <m/>
    <m/>
    <m/>
    <m/>
    <m/>
    <n v="7939.4160000000084"/>
    <m/>
    <m/>
    <m/>
    <n v="0"/>
    <m/>
    <m/>
    <m/>
    <m/>
    <m/>
    <m/>
    <m/>
    <m/>
    <m/>
    <m/>
    <m/>
    <m/>
    <n v="190545.984"/>
    <n v="-121744.734"/>
    <m/>
    <m/>
    <m/>
    <m/>
    <n v="-126817.39999999998"/>
    <n v="0"/>
    <m/>
    <n v="-305.68291847185174"/>
    <n v="0"/>
    <n v="0"/>
    <n v="0"/>
    <n v="0"/>
    <m/>
    <m/>
    <m/>
    <n v="-305.682918471851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358.12077235873"/>
    <m/>
    <n v="0"/>
    <n v="0"/>
    <n v="-126817.4"/>
    <m/>
    <n v="0"/>
    <m/>
    <n v="-126527.4750984437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88"/>
    <s v="Sistema de Compensação"/>
    <s v="Verde"/>
    <s v="A4"/>
    <s v="Rural"/>
    <s v="Agropecuária rural"/>
    <s v="Não se aplica"/>
    <s v="Não se aplica"/>
    <s v="Não se aplica"/>
    <s v="CATIVO"/>
    <x v="5"/>
    <n v="130"/>
    <n v="124.8"/>
    <n v="0"/>
    <n v="0"/>
    <n v="0"/>
    <n v="0"/>
    <n v="74.44"/>
    <m/>
    <m/>
    <n v="9677.1999999999989"/>
    <m/>
    <n v="9677.1999999999989"/>
    <n v="5904.6"/>
    <n v="0"/>
    <n v="0"/>
    <n v="0"/>
    <n v="0"/>
    <n v="0"/>
    <n v="3538.222028958734"/>
    <n v="6138.79993144316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0.77000000000001"/>
    <n v="1"/>
    <m/>
    <m/>
    <m/>
    <m/>
    <m/>
    <n v="236.18400000000014"/>
    <m/>
    <m/>
    <m/>
    <n v="0"/>
    <m/>
    <m/>
    <m/>
    <m/>
    <m/>
    <m/>
    <m/>
    <m/>
    <m/>
    <m/>
    <m/>
    <m/>
    <n v="5668.4160000000002"/>
    <n v="-3621.7259999999997"/>
    <m/>
    <m/>
    <m/>
    <m/>
    <n v="-3772.5999999999995"/>
    <n v="0"/>
    <m/>
    <n v="-9.0935421971030337"/>
    <n v="0"/>
    <n v="0"/>
    <n v="0"/>
    <n v="0"/>
    <m/>
    <m/>
    <m/>
    <n v="-9.09354219710303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38.7999314431663"/>
    <m/>
    <n v="0"/>
    <n v="0"/>
    <n v="-3772.5999999999985"/>
    <m/>
    <n v="0"/>
    <m/>
    <n v="-3763.975231761485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289"/>
    <s v="Regular"/>
    <s v="Verde"/>
    <s v="A4"/>
    <s v="Rural"/>
    <s v="Agropecuária rural"/>
    <s v="IRRIG./AQUIC. PR"/>
    <s v="Não se aplica"/>
    <s v="Fora ponta"/>
    <s v="CATIVO"/>
    <x v="5"/>
    <n v="0"/>
    <n v="0"/>
    <n v="439.04"/>
    <n v="131.71199999999999"/>
    <n v="439.04"/>
    <n v="131.71199999999999"/>
    <m/>
    <n v="81.2"/>
    <n v="252.22"/>
    <m/>
    <n v="146384.71679999999"/>
    <n v="146384.71679999999"/>
    <n v="145559.3216"/>
    <n v="0"/>
    <n v="23625.728599027985"/>
    <n v="0"/>
    <n v="0"/>
    <n v="0"/>
    <n v="0"/>
    <n v="0"/>
    <n v="110735.88383308408"/>
    <n v="0"/>
    <n v="0"/>
    <n v="0"/>
    <n v="0"/>
    <n v="0"/>
    <n v="4197.6742529430403"/>
    <m/>
    <n v="1056.2890306690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71.2442322508286"/>
    <n v="0"/>
    <n v="0"/>
    <n v="0"/>
    <n v="0"/>
    <n v="0"/>
    <m/>
    <m/>
    <m/>
    <m/>
    <m/>
    <m/>
    <n v="101891.52512000001"/>
    <m/>
    <m/>
    <n v="117507.12806533491"/>
    <m/>
    <m/>
    <m/>
    <m/>
    <m/>
    <m/>
    <m/>
    <m/>
    <m/>
    <m/>
    <m/>
    <m/>
    <n v="43667.133400000006"/>
    <n v="-248.31163999999262"/>
    <m/>
    <m/>
    <m/>
    <m/>
    <n v="-825.39520000000425"/>
    <n v="0"/>
    <m/>
    <n v="-826.72288625643705"/>
    <n v="0"/>
    <n v="0"/>
    <n v="0"/>
    <n v="0"/>
    <n v="0"/>
    <n v="0"/>
    <n v="0"/>
    <n v="0"/>
    <n v="0"/>
    <n v="0"/>
    <n v="-1.5524448826909065E-5"/>
    <n v="0"/>
    <n v="0"/>
    <n v="0"/>
    <n v="-9.4929237093310803E-7"/>
    <n v="0"/>
    <n v="-686.96741404060958"/>
    <m/>
    <n v="0"/>
    <n v="0"/>
    <n v="0"/>
    <n v="0"/>
    <n v="-105.45445152545608"/>
    <n v="-34.30100421663974"/>
    <n v="0"/>
    <n v="0"/>
    <m/>
    <m/>
    <m/>
    <n v="0"/>
    <n v="0"/>
    <n v="0"/>
    <n v="-825.39520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0"/>
    <s v="Regular"/>
    <s v="Convencional"/>
    <s v="B1"/>
    <s v="Residencial"/>
    <s v="Residencial"/>
    <s v="Não se aplica"/>
    <s v="Não se aplica"/>
    <s v="Não se aplica"/>
    <s v="CATIVO"/>
    <x v="6"/>
    <n v="0"/>
    <n v="0"/>
    <n v="1398.951"/>
    <n v="1398.951"/>
    <n v="1398.951"/>
    <n v="1398.951"/>
    <m/>
    <n v="739.04"/>
    <n v="252.22"/>
    <m/>
    <n v="1386724.1682599999"/>
    <n v="1386724.1682599999"/>
    <n v="948446.80946999998"/>
    <n v="0"/>
    <n v="86529.535311470594"/>
    <n v="0"/>
    <n v="0"/>
    <n v="0"/>
    <n v="172767.06429236883"/>
    <n v="709251.04790415452"/>
    <n v="352847.29278465931"/>
    <n v="0"/>
    <n v="0"/>
    <n v="0"/>
    <n v="0"/>
    <n v="0"/>
    <n v="13375.411337984964"/>
    <m/>
    <n v="3278.1598346887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75.447980083802"/>
    <n v="0"/>
    <n v="0"/>
    <n v="0"/>
    <n v="373738.79"/>
    <n v="8229"/>
    <m/>
    <m/>
    <m/>
    <m/>
    <m/>
    <m/>
    <m/>
    <m/>
    <m/>
    <n v="401522.74076474312"/>
    <m/>
    <m/>
    <m/>
    <m/>
    <m/>
    <m/>
    <m/>
    <m/>
    <m/>
    <m/>
    <m/>
    <m/>
    <n v="948446.13150000002"/>
    <n v="-438278.06675999996"/>
    <m/>
    <m/>
    <m/>
    <m/>
    <n v="-438277.35878999997"/>
    <n v="0"/>
    <n v="31"/>
    <n v="-3402.5243274340173"/>
    <n v="0"/>
    <n v="0"/>
    <n v="0"/>
    <n v="0"/>
    <n v="0"/>
    <n v="0"/>
    <n v="0"/>
    <n v="-444.02656943298643"/>
    <n v="0"/>
    <n v="0"/>
    <n v="-4.9466965720057487E-5"/>
    <n v="0"/>
    <n v="0"/>
    <n v="0"/>
    <n v="-6.8239532993175089E-6"/>
    <n v="0"/>
    <n v="-2516.0270025916834"/>
    <m/>
    <n v="0"/>
    <n v="0"/>
    <n v="0"/>
    <n v="0"/>
    <n v="-336.01860973029216"/>
    <n v="-106.45208938812175"/>
    <n v="0"/>
    <n v="0"/>
    <m/>
    <m/>
    <m/>
    <n v="709251.04790415452"/>
    <n v="0"/>
    <n v="0"/>
    <n v="-438277.35878999997"/>
    <n v="0"/>
    <n v="0"/>
    <n v="0"/>
    <n v="-434873.820164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1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0.05"/>
    <n v="0.05"/>
    <n v="0.05"/>
    <n v="0.05"/>
    <m/>
    <n v="739.04"/>
    <n v="252.22"/>
    <m/>
    <n v="49.563000000000002"/>
    <n v="49.563000000000002"/>
    <n v="33.898499999999999"/>
    <n v="0"/>
    <n v="3.092657831170305"/>
    <n v="0"/>
    <n v="0"/>
    <n v="0"/>
    <n v="6.1748790448117497"/>
    <n v="25.349388502676451"/>
    <n v="12.61113837384795"/>
    <n v="0"/>
    <n v="0"/>
    <n v="0"/>
    <n v="0"/>
    <n v="0"/>
    <n v="0.47805145919996356"/>
    <m/>
    <n v="0.11716492695915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397123980784102"/>
    <n v="0"/>
    <n v="0"/>
    <n v="0"/>
    <n v="-13.89"/>
    <n v="0"/>
    <m/>
    <m/>
    <m/>
    <m/>
    <m/>
    <m/>
    <m/>
    <m/>
    <m/>
    <n v="14.35085077192636"/>
    <m/>
    <m/>
    <m/>
    <m/>
    <m/>
    <m/>
    <m/>
    <m/>
    <m/>
    <m/>
    <m/>
    <m/>
    <n v="33.898499999999999"/>
    <n v="-15.694499999999998"/>
    <m/>
    <m/>
    <m/>
    <m/>
    <n v="-15.664499999999999"/>
    <n v="0"/>
    <n v="31"/>
    <n v="-0.1216098465004869"/>
    <n v="0"/>
    <n v="0"/>
    <n v="0"/>
    <n v="0"/>
    <n v="0"/>
    <n v="0"/>
    <n v="0"/>
    <n v="-1.5869982916949965E-2"/>
    <n v="0"/>
    <n v="0"/>
    <n v="-1.7680008568277117E-9"/>
    <n v="0"/>
    <n v="0"/>
    <n v="0"/>
    <n v="-2.4389512631728394E-10"/>
    <n v="0"/>
    <n v="-8.9925487118264869E-2"/>
    <m/>
    <n v="0"/>
    <n v="0"/>
    <n v="0"/>
    <n v="0"/>
    <n v="-1.2009663302370577E-2"/>
    <n v="-3.8047111510024906E-3"/>
    <n v="0"/>
    <n v="0"/>
    <m/>
    <m/>
    <m/>
    <n v="25.349388502676451"/>
    <n v="0"/>
    <n v="0"/>
    <n v="-15.664499999999997"/>
    <n v="0"/>
    <n v="0"/>
    <n v="0"/>
    <n v="-15.54285390140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2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39.793999999999997"/>
    <n v="39.793999999999997"/>
    <n v="39.793999999999997"/>
    <n v="39.793999999999997"/>
    <m/>
    <n v="739.04"/>
    <n v="252.22"/>
    <m/>
    <n v="39446.200439999993"/>
    <n v="39446.200439999993"/>
    <n v="26979.138180000002"/>
    <n v="0"/>
    <n v="2461.3845146718222"/>
    <n v="0"/>
    <n v="0"/>
    <n v="0"/>
    <n v="4914.4627341847745"/>
    <n v="20175.071321510131"/>
    <n v="10036.952808978105"/>
    <n v="0"/>
    <n v="0"/>
    <n v="0"/>
    <n v="0"/>
    <n v="0"/>
    <n v="380.47159534806696"/>
    <m/>
    <n v="93.249222068253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4.602303382645"/>
    <n v="0"/>
    <n v="0"/>
    <n v="0"/>
    <n v="39678.26"/>
    <n v="506"/>
    <m/>
    <m/>
    <m/>
    <m/>
    <m/>
    <m/>
    <m/>
    <m/>
    <m/>
    <n v="11421.555112360751"/>
    <m/>
    <m/>
    <m/>
    <m/>
    <m/>
    <m/>
    <m/>
    <m/>
    <m/>
    <m/>
    <m/>
    <m/>
    <n v="26976.426299999999"/>
    <n v="-12469.804139999993"/>
    <m/>
    <m/>
    <m/>
    <m/>
    <n v="-12467.062259999997"/>
    <n v="0"/>
    <n v="31"/>
    <n v="-96.786844632806606"/>
    <n v="0"/>
    <n v="0"/>
    <n v="0"/>
    <n v="0"/>
    <n v="0"/>
    <n v="0"/>
    <n v="0"/>
    <n v="-12.630602003941931"/>
    <n v="0"/>
    <n v="0"/>
    <n v="-1.4071156329009682E-6"/>
    <n v="0"/>
    <n v="0"/>
    <n v="0"/>
    <n v="-1.9411140783631708E-7"/>
    <n v="0"/>
    <n v="-71.569896687684832"/>
    <m/>
    <n v="0"/>
    <n v="0"/>
    <n v="0"/>
    <n v="0"/>
    <n v="-9.5582508290906958"/>
    <n v="-3.0280935108598612"/>
    <n v="0"/>
    <n v="0"/>
    <m/>
    <m/>
    <m/>
    <n v="20175.071321510131"/>
    <n v="0"/>
    <n v="0"/>
    <n v="-12467.062259999995"/>
    <n v="0"/>
    <n v="0"/>
    <n v="0"/>
    <n v="-12370.24656304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3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9.2100000000000009"/>
    <n v="9.2100000000000009"/>
    <n v="9.2100000000000009"/>
    <n v="9.2100000000000009"/>
    <m/>
    <n v="667.62"/>
    <n v="252.22"/>
    <m/>
    <n v="8471.7264000000014"/>
    <n v="8471.7264000000014"/>
    <n v="5605.1139000000003"/>
    <n v="0"/>
    <n v="0"/>
    <n v="0"/>
    <n v="0"/>
    <n v="0"/>
    <n v="1137.4127200543244"/>
    <n v="4669.3573621930027"/>
    <n v="2322.9716884627928"/>
    <n v="0"/>
    <n v="0"/>
    <n v="0"/>
    <n v="0"/>
    <n v="0"/>
    <n v="0"/>
    <m/>
    <n v="21.581779545876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.45502372604318"/>
    <n v="0"/>
    <n v="0"/>
    <n v="0"/>
    <n v="614.1"/>
    <n v="14"/>
    <m/>
    <m/>
    <m/>
    <m/>
    <m/>
    <m/>
    <m/>
    <n v="3643.2918"/>
    <m/>
    <n v="2643.4267121888361"/>
    <m/>
    <m/>
    <m/>
    <m/>
    <m/>
    <m/>
    <m/>
    <m/>
    <m/>
    <m/>
    <m/>
    <m/>
    <n v="1961.8221000000003"/>
    <n v="-1003.3674000000005"/>
    <m/>
    <m/>
    <m/>
    <m/>
    <n v="-2866.6125000000002"/>
    <n v="0"/>
    <n v="31"/>
    <n v="-3.6240790179076612"/>
    <n v="0"/>
    <n v="0"/>
    <n v="0"/>
    <n v="0"/>
    <n v="0"/>
    <n v="0"/>
    <n v="0"/>
    <n v="-2.9232508533020791"/>
    <n v="0"/>
    <n v="0"/>
    <n v="-3.2566595109528862E-7"/>
    <n v="0"/>
    <n v="0"/>
    <n v="0"/>
    <n v="-4.4925513975613285E-8"/>
    <n v="0"/>
    <n v="0"/>
    <m/>
    <n v="0"/>
    <n v="0"/>
    <n v="0"/>
    <n v="0"/>
    <n v="0"/>
    <n v="-0.70082779401466055"/>
    <n v="0"/>
    <n v="0"/>
    <m/>
    <m/>
    <m/>
    <n v="4669.3573621930027"/>
    <n v="0"/>
    <n v="0"/>
    <n v="-2866.6125000000006"/>
    <n v="0"/>
    <n v="0"/>
    <n v="0"/>
    <n v="-2862.9936886387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4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6"/>
    <n v="-5.7000000000000002E-2"/>
    <n v="0.06"/>
    <n v="-5.7000000000000002E-2"/>
    <m/>
    <n v="667.62"/>
    <n v="252.22"/>
    <m/>
    <n v="55.190399999999997"/>
    <n v="55.190399999999997"/>
    <n v="36.5154"/>
    <n v="0"/>
    <n v="0"/>
    <n v="0"/>
    <n v="0"/>
    <n v="0"/>
    <n v="7.4098548537740996"/>
    <n v="30.419266203211738"/>
    <n v="15.133366048617539"/>
    <n v="0"/>
    <n v="0"/>
    <n v="0"/>
    <n v="0"/>
    <n v="0"/>
    <n v="0"/>
    <m/>
    <n v="0.14059791235098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76548776940922"/>
    <n v="0"/>
    <n v="0"/>
    <n v="0"/>
    <n v="5.48"/>
    <n v="0"/>
    <m/>
    <m/>
    <m/>
    <m/>
    <m/>
    <m/>
    <m/>
    <n v="48.656970000000001"/>
    <m/>
    <n v="17.221020926311631"/>
    <m/>
    <m/>
    <m/>
    <m/>
    <m/>
    <m/>
    <m/>
    <m/>
    <m/>
    <m/>
    <m/>
    <m/>
    <n v="-12.7806"/>
    <n v="5.5405499999999996"/>
    <m/>
    <m/>
    <m/>
    <m/>
    <n v="-18.675000000000001"/>
    <n v="0"/>
    <n v="31"/>
    <n v="-2.3609635295816389E-2"/>
    <n v="0"/>
    <n v="0"/>
    <n v="0"/>
    <n v="0"/>
    <n v="0"/>
    <n v="0"/>
    <n v="0"/>
    <n v="-1.9043979500340313E-2"/>
    <n v="0"/>
    <n v="0"/>
    <n v="-2.1216006729218861E-9"/>
    <n v="0"/>
    <n v="0"/>
    <n v="0"/>
    <n v="-2.9267432921642467E-10"/>
    <n v="0"/>
    <n v="0"/>
    <m/>
    <n v="0"/>
    <n v="0"/>
    <n v="0"/>
    <n v="0"/>
    <n v="0"/>
    <n v="-4.5656533812029887E-3"/>
    <n v="0"/>
    <n v="0"/>
    <m/>
    <m/>
    <m/>
    <n v="30.419266203211738"/>
    <n v="0"/>
    <n v="0"/>
    <n v="-18.675000000000001"/>
    <n v="0"/>
    <n v="0"/>
    <n v="0"/>
    <n v="-18.65142468168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5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8.405999999999999"/>
    <n v="18.405999999999999"/>
    <n v="18.405999999999999"/>
    <n v="18.405999999999999"/>
    <m/>
    <n v="667.62"/>
    <n v="252.22"/>
    <m/>
    <n v="16930.57504"/>
    <n v="16930.57504"/>
    <n v="11201.707539999999"/>
    <n v="0"/>
    <n v="0"/>
    <n v="0"/>
    <n v="0"/>
    <n v="0"/>
    <n v="2273.0964739761012"/>
    <n v="9331.6168956052534"/>
    <n v="4642.412258180907"/>
    <n v="0"/>
    <n v="0"/>
    <n v="0"/>
    <n v="0"/>
    <n v="0"/>
    <n v="0"/>
    <m/>
    <n v="43.130752912204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0.42292798062431"/>
    <n v="0"/>
    <n v="0"/>
    <n v="0"/>
    <n v="2223.37"/>
    <n v="75"/>
    <m/>
    <m/>
    <m/>
    <m/>
    <m/>
    <m/>
    <m/>
    <n v="4480.7566399999996"/>
    <m/>
    <n v="5282.8351861615311"/>
    <m/>
    <m/>
    <m/>
    <m/>
    <m/>
    <m/>
    <m/>
    <m/>
    <m/>
    <m/>
    <m/>
    <m/>
    <n v="6722.4115000000002"/>
    <n v="-3435.8899000000001"/>
    <m/>
    <m/>
    <m/>
    <m/>
    <n v="-5728.8674999999994"/>
    <n v="0"/>
    <n v="31"/>
    <n v="-7.2426491209134838"/>
    <n v="0"/>
    <n v="0"/>
    <n v="0"/>
    <n v="0"/>
    <n v="0"/>
    <n v="0"/>
    <n v="0"/>
    <n v="-5.8420581113878143"/>
    <n v="0"/>
    <n v="0"/>
    <n v="-6.5083622757811099E-7"/>
    <n v="0"/>
    <n v="0"/>
    <n v="0"/>
    <n v="-8.9782702161755878E-8"/>
    <n v="0"/>
    <n v="0"/>
    <m/>
    <n v="0"/>
    <n v="0"/>
    <n v="0"/>
    <n v="0"/>
    <n v="0"/>
    <n v="-1.4005902689070382"/>
    <n v="0"/>
    <n v="0"/>
    <m/>
    <m/>
    <m/>
    <n v="9331.6168956052534"/>
    <n v="0"/>
    <n v="0"/>
    <n v="-5728.8675000000003"/>
    <n v="0"/>
    <n v="0"/>
    <n v="0"/>
    <n v="-5721.6353781850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6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14000000000000001"/>
    <n v="-2.8000000000000001E-2"/>
    <n v="0.14000000000000001"/>
    <n v="-2.8000000000000001E-2"/>
    <m/>
    <n v="667.62"/>
    <n v="252.22"/>
    <m/>
    <n v="128.77760000000001"/>
    <n v="128.77760000000001"/>
    <n v="85.202600000000004"/>
    <n v="0"/>
    <n v="0"/>
    <n v="0"/>
    <n v="0"/>
    <n v="0"/>
    <n v="17.289661325472899"/>
    <n v="70.97828780749407"/>
    <n v="35.311187446774262"/>
    <n v="0"/>
    <n v="0"/>
    <n v="0"/>
    <n v="0"/>
    <n v="0"/>
    <n v="0"/>
    <m/>
    <n v="0.32806179548563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711947146195493"/>
    <n v="0"/>
    <n v="0"/>
    <n v="0"/>
    <n v="22.03"/>
    <n v="0"/>
    <m/>
    <m/>
    <m/>
    <m/>
    <m/>
    <m/>
    <m/>
    <n v="95.426800000000014"/>
    <m/>
    <n v="40.182382161393811"/>
    <m/>
    <m/>
    <m/>
    <m/>
    <m/>
    <m/>
    <m/>
    <m/>
    <m/>
    <m/>
    <m/>
    <m/>
    <n v="-10.954499999999999"/>
    <n v="4.4687000000000037"/>
    <m/>
    <m/>
    <m/>
    <m/>
    <n v="-43.575000000000003"/>
    <n v="0"/>
    <n v="31"/>
    <n v="-5.5089149023565653E-2"/>
    <n v="0"/>
    <n v="0"/>
    <n v="0"/>
    <n v="0"/>
    <n v="0"/>
    <n v="0"/>
    <n v="0"/>
    <n v="-4.4435952167457771E-2"/>
    <n v="0"/>
    <n v="0"/>
    <n v="-4.9504009780321212E-9"/>
    <n v="0"/>
    <n v="0"/>
    <n v="0"/>
    <n v="-6.8290706423113079E-10"/>
    <n v="0"/>
    <n v="0"/>
    <m/>
    <n v="0"/>
    <n v="0"/>
    <n v="0"/>
    <n v="0"/>
    <n v="0"/>
    <n v="-1.0653191222807001E-2"/>
    <n v="0"/>
    <n v="0"/>
    <m/>
    <m/>
    <m/>
    <n v="70.97828780749407"/>
    <n v="0"/>
    <n v="0"/>
    <n v="-43.575000000000003"/>
    <n v="0"/>
    <n v="0"/>
    <n v="0"/>
    <n v="-43.51999092393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7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6.968"/>
    <n v="16.968"/>
    <n v="16.968"/>
    <n v="16.968"/>
    <m/>
    <n v="667.62"/>
    <n v="252.22"/>
    <m/>
    <n v="15607.845120000002"/>
    <n v="15607.845120000002"/>
    <n v="10326.555120000001"/>
    <n v="0"/>
    <n v="0"/>
    <n v="0"/>
    <n v="0"/>
    <n v="0"/>
    <n v="2095.5069526473153"/>
    <n v="8602.5684822682797"/>
    <n v="4279.71591854904"/>
    <n v="0"/>
    <n v="0"/>
    <n v="0"/>
    <n v="0"/>
    <n v="0"/>
    <n v="0"/>
    <m/>
    <n v="39.761089612859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0.38879941188929"/>
    <n v="0"/>
    <n v="0"/>
    <n v="0"/>
    <n v="3097.77"/>
    <n v="144"/>
    <m/>
    <m/>
    <m/>
    <m/>
    <m/>
    <m/>
    <m/>
    <n v="1032.5027999999998"/>
    <m/>
    <n v="4870.1047179609295"/>
    <m/>
    <m/>
    <m/>
    <m/>
    <m/>
    <m/>
    <m/>
    <m/>
    <m/>
    <m/>
    <m/>
    <m/>
    <n v="9295.1477999999988"/>
    <n v="-4752.0106800000012"/>
    <m/>
    <m/>
    <m/>
    <m/>
    <n v="-5281.29"/>
    <n v="0"/>
    <n v="31"/>
    <n v="-6.6768048616568194"/>
    <n v="0"/>
    <n v="0"/>
    <n v="0"/>
    <n v="0"/>
    <n v="0"/>
    <n v="0"/>
    <n v="0"/>
    <n v="-5.3856374026959202"/>
    <n v="0"/>
    <n v="0"/>
    <n v="-5.9998819779139012E-7"/>
    <n v="0"/>
    <n v="0"/>
    <n v="0"/>
    <n v="-8.2768337961169891E-8"/>
    <n v="0"/>
    <n v="0"/>
    <m/>
    <n v="0"/>
    <n v="0"/>
    <n v="0"/>
    <n v="0"/>
    <n v="0"/>
    <n v="-1.2911667762042072"/>
    <n v="0"/>
    <n v="0"/>
    <m/>
    <m/>
    <m/>
    <n v="8602.5684822682797"/>
    <n v="0"/>
    <n v="0"/>
    <n v="-5281.2900000000009"/>
    <n v="0"/>
    <n v="0"/>
    <n v="0"/>
    <n v="-5274.6228999806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8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18"/>
    <n v="0.126"/>
    <n v="0.18"/>
    <n v="0.126"/>
    <m/>
    <n v="667.62"/>
    <n v="252.22"/>
    <m/>
    <n v="165.5712"/>
    <n v="165.5712"/>
    <n v="109.5462"/>
    <n v="0"/>
    <n v="0"/>
    <n v="0"/>
    <n v="0"/>
    <n v="0"/>
    <n v="22.229564561322299"/>
    <n v="91.257798609635216"/>
    <n v="45.400098145852617"/>
    <n v="0"/>
    <n v="0"/>
    <n v="0"/>
    <n v="0"/>
    <n v="0"/>
    <n v="0"/>
    <m/>
    <n v="0.42179373705296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629646330822766"/>
    <n v="0"/>
    <n v="0"/>
    <n v="0"/>
    <n v="52.1"/>
    <n v="0"/>
    <m/>
    <m/>
    <m/>
    <m/>
    <m/>
    <m/>
    <m/>
    <n v="40.53096"/>
    <m/>
    <n v="51.663062778934894"/>
    <m/>
    <m/>
    <m/>
    <m/>
    <m/>
    <m/>
    <m/>
    <m/>
    <m/>
    <m/>
    <m/>
    <m/>
    <n v="71.20620000000001"/>
    <n v="-33.134160000000008"/>
    <m/>
    <m/>
    <m/>
    <m/>
    <n v="-56.024999999999999"/>
    <n v="0"/>
    <n v="31"/>
    <n v="-7.082890588745272E-2"/>
    <n v="0"/>
    <n v="0"/>
    <n v="0"/>
    <n v="0"/>
    <n v="0"/>
    <n v="0"/>
    <n v="0"/>
    <n v="-5.7131938501019164E-2"/>
    <n v="0"/>
    <n v="0"/>
    <n v="-6.364800242408819E-9"/>
    <n v="0"/>
    <n v="0"/>
    <n v="0"/>
    <n v="-8.78022987649274E-10"/>
    <n v="0"/>
    <n v="0"/>
    <m/>
    <n v="0"/>
    <n v="0"/>
    <n v="0"/>
    <n v="0"/>
    <n v="0"/>
    <n v="-1.3696960143608938E-2"/>
    <n v="0"/>
    <n v="0"/>
    <m/>
    <m/>
    <m/>
    <n v="91.257798609635216"/>
    <n v="0"/>
    <n v="0"/>
    <n v="-56.025000000000006"/>
    <n v="0"/>
    <n v="0"/>
    <n v="0"/>
    <n v="-55.954274045056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299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8.1270000000000007"/>
    <n v="8.1270000000000007"/>
    <n v="8.1270000000000007"/>
    <n v="8.1270000000000007"/>
    <m/>
    <n v="667.62"/>
    <n v="252.22"/>
    <m/>
    <n v="7475.5396800000008"/>
    <n v="7475.5396800000008"/>
    <n v="4946.0109300000004"/>
    <n v="0"/>
    <n v="0"/>
    <n v="0"/>
    <n v="0"/>
    <n v="0"/>
    <n v="1003.6648399437018"/>
    <n v="4120.2896072250305"/>
    <n v="2049.814431285246"/>
    <n v="0"/>
    <n v="0"/>
    <n v="0"/>
    <n v="0"/>
    <n v="0"/>
    <n v="0"/>
    <m/>
    <n v="19.043987227941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.77285318366484"/>
    <n v="0"/>
    <n v="0"/>
    <n v="0"/>
    <n v="1648.34"/>
    <n v="74"/>
    <m/>
    <m/>
    <m/>
    <m/>
    <m/>
    <m/>
    <m/>
    <m/>
    <m/>
    <n v="2332.5872844689106"/>
    <m/>
    <m/>
    <m/>
    <m/>
    <m/>
    <m/>
    <m/>
    <m/>
    <m/>
    <m/>
    <m/>
    <m/>
    <n v="4947.8366999999998"/>
    <n v="-2527.7329800000016"/>
    <m/>
    <m/>
    <m/>
    <m/>
    <n v="-2529.5287500000004"/>
    <n v="0"/>
    <n v="31"/>
    <n v="-3.1979251008183383"/>
    <n v="0"/>
    <n v="0"/>
    <n v="0"/>
    <n v="0"/>
    <n v="0"/>
    <n v="0"/>
    <n v="0"/>
    <n v="-2.5795070233210708"/>
    <n v="0"/>
    <n v="0"/>
    <n v="-2.873707671824377E-7"/>
    <n v="0"/>
    <n v="0"/>
    <n v="0"/>
    <n v="-3.9642770843784092E-8"/>
    <n v="0"/>
    <n v="0"/>
    <m/>
    <n v="0"/>
    <n v="0"/>
    <n v="0"/>
    <n v="0"/>
    <n v="0"/>
    <n v="-0.61841775048394609"/>
    <n v="0"/>
    <n v="0"/>
    <m/>
    <m/>
    <m/>
    <n v="4120.2896072250305"/>
    <n v="0"/>
    <n v="0"/>
    <n v="-2529.5287500000004"/>
    <n v="0"/>
    <n v="0"/>
    <n v="0"/>
    <n v="-2526.3354731342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0"/>
    <s v="Sistema de Compensação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27900000000000003"/>
    <n v="0.27900000000000003"/>
    <n v="0.27900000000000003"/>
    <n v="0.27900000000000003"/>
    <m/>
    <n v="667.62"/>
    <n v="252.22"/>
    <m/>
    <n v="256.63535999999999"/>
    <n v="256.63535999999999"/>
    <n v="169.79661000000002"/>
    <n v="0"/>
    <n v="0"/>
    <n v="0"/>
    <n v="0"/>
    <n v="0"/>
    <n v="34.455825070049563"/>
    <n v="141.4495878449346"/>
    <n v="70.370152126071574"/>
    <n v="0"/>
    <n v="0"/>
    <n v="0"/>
    <n v="0"/>
    <n v="0"/>
    <n v="0"/>
    <m/>
    <n v="0.65378029243209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075951812775294"/>
    <n v="0"/>
    <n v="0"/>
    <n v="0"/>
    <n v="98.75"/>
    <n v="3"/>
    <m/>
    <m/>
    <m/>
    <m/>
    <m/>
    <m/>
    <m/>
    <m/>
    <m/>
    <n v="80.0777473073491"/>
    <m/>
    <m/>
    <m/>
    <m/>
    <m/>
    <m/>
    <m/>
    <m/>
    <m/>
    <m/>
    <m/>
    <m/>
    <n v="170.40520000000001"/>
    <n v="-86.260159999999956"/>
    <m/>
    <m/>
    <m/>
    <m/>
    <n v="-86.838750000000005"/>
    <n v="0"/>
    <n v="31"/>
    <n v="-0.10978480412555314"/>
    <n v="0"/>
    <n v="0"/>
    <n v="0"/>
    <n v="0"/>
    <n v="0"/>
    <n v="0"/>
    <n v="0"/>
    <n v="-8.8554504676579882E-2"/>
    <n v="0"/>
    <n v="0"/>
    <n v="-9.8654453495328198E-9"/>
    <n v="0"/>
    <n v="0"/>
    <n v="0"/>
    <n v="-1.3609344762244291E-9"/>
    <n v="0"/>
    <n v="0"/>
    <m/>
    <n v="0"/>
    <n v="0"/>
    <n v="0"/>
    <n v="0"/>
    <n v="0"/>
    <n v="-2.1230288222593874E-2"/>
    <n v="0"/>
    <n v="0"/>
    <m/>
    <m/>
    <m/>
    <n v="141.4495878449346"/>
    <n v="0"/>
    <n v="0"/>
    <n v="-86.838750000000005"/>
    <n v="0"/>
    <n v="0"/>
    <n v="0"/>
    <n v="-86.72912476983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1"/>
    <s v="Regular"/>
    <s v="Convencional"/>
    <s v="B3"/>
    <s v="Industrial"/>
    <s v="Não se aplica"/>
    <s v="Não se aplica"/>
    <s v="Não se aplica"/>
    <s v="Não se aplica"/>
    <s v="CATIVO"/>
    <x v="6"/>
    <n v="0"/>
    <n v="0"/>
    <n v="51.26"/>
    <n v="51.26"/>
    <n v="51.26"/>
    <n v="51.26"/>
    <m/>
    <n v="739.04"/>
    <n v="252.22"/>
    <m/>
    <n v="50811.9876"/>
    <n v="50811.9876"/>
    <n v="34752.742200000001"/>
    <n v="0"/>
    <n v="3170.5928085157966"/>
    <n v="0"/>
    <n v="0"/>
    <n v="0"/>
    <n v="6330.4859967410057"/>
    <n v="25988.193092943897"/>
    <n v="12928.939060868917"/>
    <n v="0"/>
    <n v="0"/>
    <n v="0"/>
    <n v="0"/>
    <n v="0"/>
    <n v="490.09835597180256"/>
    <m/>
    <n v="120.11748311852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3.5531505099859"/>
    <n v="0"/>
    <n v="0"/>
    <n v="0"/>
    <n v="8608.76"/>
    <n v="18"/>
    <m/>
    <m/>
    <m/>
    <m/>
    <m/>
    <m/>
    <m/>
    <m/>
    <m/>
    <n v="14712.492211378903"/>
    <m/>
    <m/>
    <m/>
    <m/>
    <m/>
    <m/>
    <m/>
    <m/>
    <m/>
    <m/>
    <m/>
    <m/>
    <n v="34752.742200000001"/>
    <n v="-16059.275400000006"/>
    <m/>
    <m/>
    <m/>
    <m/>
    <n v="-16059.245399999998"/>
    <n v="0"/>
    <n v="31"/>
    <n v="-124.67441463229625"/>
    <n v="0"/>
    <n v="0"/>
    <n v="0"/>
    <n v="0"/>
    <n v="0"/>
    <n v="0"/>
    <n v="0"/>
    <n v="-16.26990648645733"/>
    <n v="0"/>
    <n v="0"/>
    <n v="-1.8125538190361112E-6"/>
    <n v="0"/>
    <n v="0"/>
    <n v="0"/>
    <n v="-2.5004123926919419E-7"/>
    <n v="0"/>
    <n v="-92.191609393645194"/>
    <m/>
    <n v="0"/>
    <n v="0"/>
    <n v="0"/>
    <n v="0"/>
    <n v="-12.312306817590297"/>
    <n v="-3.9005898720077568"/>
    <n v="0"/>
    <n v="0"/>
    <m/>
    <m/>
    <m/>
    <n v="25988.193092943897"/>
    <n v="0"/>
    <n v="0"/>
    <n v="-16059.2454"/>
    <n v="0"/>
    <n v="0"/>
    <n v="0"/>
    <n v="-15934.53381971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2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1.93"/>
    <n v="11.93"/>
    <n v="11.93"/>
    <n v="11.93"/>
    <m/>
    <n v="739.04"/>
    <n v="252.22"/>
    <m/>
    <n v="11825.7318"/>
    <n v="11825.7318"/>
    <n v="8088.1821"/>
    <n v="0"/>
    <n v="737.90815851723471"/>
    <n v="0"/>
    <n v="0"/>
    <n v="0"/>
    <n v="1473.3261400920835"/>
    <n v="6048.3640967386009"/>
    <n v="3009.0176160001211"/>
    <n v="0"/>
    <n v="0"/>
    <n v="0"/>
    <n v="0"/>
    <n v="0"/>
    <n v="114.06307816511129"/>
    <m/>
    <n v="27.955551572454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09537818150864"/>
    <n v="0"/>
    <n v="0"/>
    <n v="0"/>
    <n v="3532.26"/>
    <n v="12"/>
    <m/>
    <m/>
    <m/>
    <m/>
    <m/>
    <m/>
    <m/>
    <m/>
    <m/>
    <n v="3424.1129941816298"/>
    <m/>
    <m/>
    <m/>
    <m/>
    <m/>
    <m/>
    <m/>
    <m/>
    <m/>
    <m/>
    <m/>
    <m/>
    <n v="8088.1821"/>
    <n v="-3737.5797000000002"/>
    <m/>
    <m/>
    <m/>
    <m/>
    <n v="-3737.5496999999996"/>
    <n v="0"/>
    <n v="31"/>
    <n v="-29.01610937501664"/>
    <n v="0"/>
    <n v="0"/>
    <n v="0"/>
    <n v="0"/>
    <n v="0"/>
    <n v="0"/>
    <n v="0"/>
    <n v="-3.786577923984396"/>
    <n v="0"/>
    <n v="0"/>
    <n v="-4.2184501580777578E-7"/>
    <n v="0"/>
    <n v="0"/>
    <n v="0"/>
    <n v="-5.8193393215333344E-8"/>
    <n v="0"/>
    <n v="-21.456221226417938"/>
    <m/>
    <n v="0"/>
    <n v="0"/>
    <n v="0"/>
    <n v="0"/>
    <n v="-2.865505663945612"/>
    <n v="-0.90780408062919449"/>
    <n v="0"/>
    <n v="0"/>
    <m/>
    <m/>
    <m/>
    <n v="6048.3640967386009"/>
    <n v="0"/>
    <n v="0"/>
    <n v="-3737.5496999999996"/>
    <n v="0"/>
    <n v="0"/>
    <n v="0"/>
    <n v="-3708.524940875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3"/>
    <s v="Regular"/>
    <s v="Verde"/>
    <s v="A4"/>
    <s v="Industrial"/>
    <s v="Não se aplica"/>
    <s v="Não se aplica"/>
    <s v="Não se aplica"/>
    <s v="Ponta"/>
    <s v="CATIVO"/>
    <x v="6"/>
    <n v="0"/>
    <n v="0"/>
    <n v="26.715"/>
    <n v="26.715"/>
    <n v="26.715"/>
    <n v="26.715"/>
    <m/>
    <n v="2641.06"/>
    <n v="252.22"/>
    <m/>
    <n v="77293.975200000001"/>
    <n v="77293.975200000001"/>
    <n v="45878.738099999995"/>
    <n v="0"/>
    <n v="1437.5941588990356"/>
    <n v="0"/>
    <n v="0"/>
    <n v="0"/>
    <n v="17305.095152255715"/>
    <n v="51081.493451806913"/>
    <n v="6738.1312331469599"/>
    <n v="0"/>
    <n v="0"/>
    <n v="0"/>
    <n v="0"/>
    <n v="0"/>
    <n v="255.42289465054051"/>
    <m/>
    <n v="64.273782467024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.02120459315978"/>
    <n v="0"/>
    <n v="0"/>
    <n v="0"/>
    <n v="0"/>
    <n v="0"/>
    <m/>
    <m/>
    <m/>
    <m/>
    <m/>
    <m/>
    <m/>
    <m/>
    <m/>
    <n v="7150.1524377401192"/>
    <m/>
    <m/>
    <m/>
    <m/>
    <m/>
    <m/>
    <m/>
    <m/>
    <m/>
    <m/>
    <m/>
    <m/>
    <n v="45887.324800000002"/>
    <n v="-31406.680399999983"/>
    <m/>
    <m/>
    <m/>
    <m/>
    <n v="-31415.237100000002"/>
    <n v="0"/>
    <n v="31"/>
    <n v="-94.7806064041215"/>
    <n v="0"/>
    <n v="0"/>
    <n v="0"/>
    <n v="0"/>
    <n v="0"/>
    <n v="0"/>
    <n v="0"/>
    <n v="-44.475618461474369"/>
    <n v="0"/>
    <n v="0"/>
    <n v="-9.4464303401764482E-7"/>
    <n v="0"/>
    <n v="0"/>
    <n v="0"/>
    <n v="-5.7763145377975889E-8"/>
    <n v="0"/>
    <n v="-41.80105335754115"/>
    <m/>
    <n v="0"/>
    <n v="0"/>
    <n v="0"/>
    <n v="0"/>
    <n v="-6.4167631024565992"/>
    <n v="-2.0871704802467406"/>
    <n v="0"/>
    <n v="0"/>
    <m/>
    <m/>
    <m/>
    <n v="51081.493451806913"/>
    <n v="0"/>
    <n v="0"/>
    <n v="-31415.237100000006"/>
    <n v="0"/>
    <n v="0"/>
    <n v="0"/>
    <n v="-31320.36852499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4"/>
    <s v="Regular"/>
    <s v="Verde"/>
    <s v="A4"/>
    <s v="Industrial"/>
    <s v="Não se aplica"/>
    <s v="Não se aplica"/>
    <s v="Não se aplica"/>
    <s v="Fora ponta"/>
    <s v="CATIVO"/>
    <x v="6"/>
    <n v="0"/>
    <n v="0"/>
    <n v="372.16"/>
    <n v="372.16"/>
    <n v="372.16"/>
    <n v="372.16"/>
    <m/>
    <n v="81.2"/>
    <n v="252.22"/>
    <m/>
    <n v="124085.58720000001"/>
    <n v="124085.58720000001"/>
    <n v="123385.9264"/>
    <n v="0"/>
    <n v="20026.765569001127"/>
    <n v="0"/>
    <n v="0"/>
    <n v="0"/>
    <n v="0"/>
    <n v="0"/>
    <n v="93867.225144225071"/>
    <n v="0"/>
    <n v="0"/>
    <n v="0"/>
    <n v="0"/>
    <n v="0"/>
    <n v="3558.2326211171689"/>
    <m/>
    <n v="895.38202818371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9.7646079502283"/>
    <n v="0"/>
    <n v="0"/>
    <n v="0"/>
    <n v="0"/>
    <n v="0"/>
    <m/>
    <m/>
    <m/>
    <m/>
    <m/>
    <m/>
    <m/>
    <m/>
    <m/>
    <n v="99606.989752175301"/>
    <m/>
    <m/>
    <m/>
    <m/>
    <m/>
    <m/>
    <m/>
    <m/>
    <m/>
    <m/>
    <m/>
    <m/>
    <n v="123385.9264"/>
    <n v="-699.69079999999667"/>
    <m/>
    <m/>
    <m/>
    <m/>
    <n v="-699.66080000000363"/>
    <n v="0"/>
    <n v="31"/>
    <n v="-700.78623667366628"/>
    <n v="0"/>
    <n v="0"/>
    <n v="0"/>
    <n v="0"/>
    <n v="0"/>
    <n v="0"/>
    <n v="0"/>
    <n v="0"/>
    <n v="0"/>
    <n v="0"/>
    <n v="-1.3159587979316711E-5"/>
    <n v="0"/>
    <n v="0"/>
    <n v="0"/>
    <n v="-8.0468362284591421E-7"/>
    <n v="0"/>
    <n v="-582.32004557524124"/>
    <m/>
    <n v="0"/>
    <n v="0"/>
    <n v="0"/>
    <n v="0"/>
    <n v="-89.390325892204601"/>
    <n v="-29.075851241947476"/>
    <n v="0"/>
    <n v="0"/>
    <m/>
    <m/>
    <m/>
    <n v="0"/>
    <n v="0"/>
    <n v="0"/>
    <n v="-699.66080000000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5"/>
    <s v="Regular"/>
    <s v="Verde"/>
    <s v="A4"/>
    <s v="Industrial"/>
    <s v="Não se aplica"/>
    <s v="Não se aplica"/>
    <s v="Não se aplica"/>
    <s v="Não se aplica"/>
    <s v="CATIVO"/>
    <x v="6"/>
    <n v="1848"/>
    <n v="1848"/>
    <n v="0"/>
    <n v="0"/>
    <n v="0"/>
    <n v="0"/>
    <n v="74.44"/>
    <m/>
    <m/>
    <n v="137565.12"/>
    <m/>
    <n v="137565.12"/>
    <n v="83936.16"/>
    <n v="0"/>
    <n v="0"/>
    <n v="0"/>
    <n v="0"/>
    <n v="0"/>
    <n v="50297.186996274926"/>
    <n v="87265.4021023613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3452"/>
    <n v="9"/>
    <m/>
    <m/>
    <m/>
    <m/>
    <m/>
    <m/>
    <m/>
    <m/>
    <m/>
    <n v="0"/>
    <m/>
    <m/>
    <m/>
    <m/>
    <m/>
    <m/>
    <m/>
    <m/>
    <m/>
    <m/>
    <m/>
    <m/>
    <n v="83936.16"/>
    <n v="-53628.99000000002"/>
    <m/>
    <m/>
    <m/>
    <m/>
    <n v="-53628.959999999992"/>
    <n v="0"/>
    <n v="31"/>
    <n v="-129.26819984804752"/>
    <n v="0"/>
    <n v="0"/>
    <n v="0"/>
    <n v="0"/>
    <m/>
    <m/>
    <m/>
    <n v="-129.268199848047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265.402102361317"/>
    <m/>
    <n v="0"/>
    <n v="0"/>
    <n v="-53628.959999999992"/>
    <m/>
    <n v="0"/>
    <m/>
    <n v="-53506.3556022709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06"/>
    <s v="Sistema de Compensação"/>
    <s v="Verde"/>
    <s v="A4"/>
    <s v="Industrial"/>
    <s v="Não se aplica"/>
    <s v="Não se aplica"/>
    <s v="Não se aplica"/>
    <s v="Não se aplica"/>
    <s v="CATIVO"/>
    <x v="6"/>
    <n v="80"/>
    <n v="80"/>
    <n v="0"/>
    <n v="0"/>
    <n v="0"/>
    <n v="0"/>
    <n v="74.44"/>
    <m/>
    <m/>
    <n v="5955.2"/>
    <m/>
    <n v="5955.2"/>
    <n v="3633.6000000000004"/>
    <n v="0"/>
    <n v="0"/>
    <n v="0"/>
    <n v="0"/>
    <n v="0"/>
    <n v="2177.3674024361439"/>
    <n v="3777.72303473425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41.46"/>
    <n v="1"/>
    <m/>
    <m/>
    <m/>
    <m/>
    <m/>
    <m/>
    <m/>
    <m/>
    <m/>
    <n v="0"/>
    <m/>
    <m/>
    <m/>
    <m/>
    <m/>
    <m/>
    <m/>
    <m/>
    <m/>
    <m/>
    <m/>
    <m/>
    <n v="3633.6000000000004"/>
    <n v="-2321.63"/>
    <m/>
    <m/>
    <m/>
    <m/>
    <n v="-2321.5999999999995"/>
    <n v="0"/>
    <n v="31"/>
    <n v="-5.5960259674479857"/>
    <n v="0"/>
    <n v="0"/>
    <n v="0"/>
    <n v="0"/>
    <m/>
    <m/>
    <m/>
    <n v="-5.59602596744798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77.7230347342561"/>
    <m/>
    <n v="0"/>
    <n v="0"/>
    <n v="-2321.5999999999995"/>
    <m/>
    <n v="0"/>
    <m/>
    <n v="-2316.292450314760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07"/>
    <s v="Regular"/>
    <s v="Convencional"/>
    <s v="B3"/>
    <s v="Comercial"/>
    <s v="Não se aplica"/>
    <s v="Não se aplica"/>
    <s v="Não se aplica"/>
    <s v="Não se aplica"/>
    <s v="CATIVO"/>
    <x v="6"/>
    <n v="0"/>
    <n v="0"/>
    <n v="456.79899999999998"/>
    <n v="456.79899999999998"/>
    <n v="456.79899999999998"/>
    <n v="456.79899999999998"/>
    <m/>
    <n v="739.04"/>
    <n v="252.22"/>
    <m/>
    <n v="452806.57673999999"/>
    <n v="452806.57673999999"/>
    <n v="309696.01802999998"/>
    <n v="0"/>
    <n v="28254.46009241528"/>
    <n v="0"/>
    <n v="0"/>
    <n v="0"/>
    <n v="56413.571455819249"/>
    <n v="231591.50637268199"/>
    <n v="115215.10796070739"/>
    <n v="0"/>
    <n v="0"/>
    <n v="0"/>
    <n v="0"/>
    <n v="0"/>
    <n v="4367.468570221683"/>
    <m/>
    <n v="1070.416429400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93.977674596394"/>
    <n v="0"/>
    <n v="0"/>
    <n v="0"/>
    <n v="124846.24"/>
    <n v="837"/>
    <m/>
    <m/>
    <m/>
    <m/>
    <m/>
    <m/>
    <m/>
    <m/>
    <m/>
    <n v="131109.08563530378"/>
    <m/>
    <m/>
    <m/>
    <m/>
    <m/>
    <m/>
    <m/>
    <m/>
    <m/>
    <m/>
    <m/>
    <m/>
    <n v="309696.696"/>
    <n v="-143109.91074000002"/>
    <m/>
    <m/>
    <m/>
    <m/>
    <n v="-143110.55870999998"/>
    <n v="0"/>
    <n v="31"/>
    <n v="-1111.025125431479"/>
    <n v="0"/>
    <n v="0"/>
    <n v="0"/>
    <n v="0"/>
    <n v="0"/>
    <n v="0"/>
    <n v="0"/>
    <n v="-144.98784652959876"/>
    <n v="0"/>
    <n v="0"/>
    <n v="-1.6152422176674008E-5"/>
    <n v="0"/>
    <n v="0"/>
    <n v="0"/>
    <n v="-2.2282220015767962E-6"/>
    <n v="0"/>
    <n v="-821.55745180272424"/>
    <m/>
    <n v="0"/>
    <n v="0"/>
    <n v="0"/>
    <n v="0"/>
    <n v="-109.7200437371921"/>
    <n v="-34.75976498133582"/>
    <n v="0"/>
    <n v="0"/>
    <m/>
    <m/>
    <m/>
    <n v="231591.50637268199"/>
    <n v="0"/>
    <n v="0"/>
    <n v="-143110.55871000001"/>
    <n v="0"/>
    <n v="0"/>
    <n v="0"/>
    <n v="-141999.2023861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8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4.3899999999999997"/>
    <n v="4.3899999999999997"/>
    <n v="4.3899999999999997"/>
    <n v="4.3899999999999997"/>
    <m/>
    <n v="739.04"/>
    <n v="252.22"/>
    <m/>
    <n v="4351.6313999999993"/>
    <n v="4351.6313999999993"/>
    <n v="2976.2882999999997"/>
    <n v="0"/>
    <n v="271.53535757675274"/>
    <n v="0"/>
    <n v="0"/>
    <n v="0"/>
    <n v="542.15438013447158"/>
    <n v="2225.6763105349924"/>
    <n v="1107.2579492238499"/>
    <n v="0"/>
    <n v="0"/>
    <n v="0"/>
    <n v="0"/>
    <n v="0"/>
    <n v="41.972918117756791"/>
    <m/>
    <n v="10.287080587013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74674855128441"/>
    <n v="0"/>
    <n v="0"/>
    <n v="0"/>
    <n v="1184.28"/>
    <n v="0"/>
    <m/>
    <m/>
    <m/>
    <m/>
    <m/>
    <m/>
    <m/>
    <m/>
    <m/>
    <n v="1260.0046977751342"/>
    <m/>
    <m/>
    <m/>
    <m/>
    <m/>
    <m/>
    <m/>
    <m/>
    <m/>
    <m/>
    <m/>
    <m/>
    <n v="2976.2882999999997"/>
    <n v="-1375.3731000000002"/>
    <m/>
    <m/>
    <m/>
    <m/>
    <n v="-1375.3430999999998"/>
    <n v="0"/>
    <n v="31"/>
    <n v="-10.67734452274226"/>
    <n v="0"/>
    <n v="0"/>
    <n v="0"/>
    <n v="0"/>
    <n v="0"/>
    <n v="0"/>
    <n v="0"/>
    <n v="-1.3933845001082545"/>
    <n v="0"/>
    <n v="0"/>
    <n v="-1.552305093355244E-7"/>
    <n v="0"/>
    <n v="0"/>
    <n v="0"/>
    <n v="-2.1414024331534165E-8"/>
    <n v="0"/>
    <n v="-7.8954577689836469"/>
    <m/>
    <n v="0"/>
    <n v="0"/>
    <n v="0"/>
    <n v="0"/>
    <n v="-1.0544484379481318"/>
    <n v="-0.33405363905801977"/>
    <n v="0"/>
    <n v="0"/>
    <m/>
    <m/>
    <m/>
    <n v="2225.6763105349924"/>
    <n v="0"/>
    <n v="0"/>
    <n v="-1375.3430999999998"/>
    <n v="0"/>
    <n v="0"/>
    <n v="0"/>
    <n v="-1364.662572543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09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58.091999999999999"/>
    <n v="58.091999999999999"/>
    <n v="58.091999999999999"/>
    <n v="58.091999999999999"/>
    <m/>
    <n v="739.04"/>
    <n v="252.22"/>
    <m/>
    <n v="57584.27592"/>
    <n v="57584.27592"/>
    <n v="39384.633239999996"/>
    <n v="0"/>
    <n v="3593.1735745669071"/>
    <n v="0"/>
    <n v="0"/>
    <n v="0"/>
    <n v="7174.2214694240829"/>
    <n v="29451.933537949608"/>
    <n v="14652.125008271501"/>
    <n v="0"/>
    <n v="0"/>
    <n v="0"/>
    <n v="0"/>
    <n v="0"/>
    <n v="555.41930735688561"/>
    <m/>
    <n v="136.12689873822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1.26745258342"/>
    <n v="0"/>
    <n v="0"/>
    <n v="0"/>
    <n v="35490.65"/>
    <n v="123"/>
    <m/>
    <m/>
    <m/>
    <m/>
    <m/>
    <m/>
    <m/>
    <m/>
    <m/>
    <n v="16673.392460854921"/>
    <m/>
    <m/>
    <m/>
    <m/>
    <m/>
    <m/>
    <m/>
    <m/>
    <m/>
    <m/>
    <m/>
    <m/>
    <n v="39383.277300000002"/>
    <n v="-18201.028620000005"/>
    <m/>
    <m/>
    <m/>
    <m/>
    <n v="-18199.642679999997"/>
    <n v="0"/>
    <n v="31"/>
    <n v="-141.29118405812187"/>
    <n v="0"/>
    <n v="0"/>
    <n v="0"/>
    <n v="0"/>
    <n v="0"/>
    <n v="0"/>
    <n v="0"/>
    <n v="-18.438380952228727"/>
    <n v="0"/>
    <n v="0"/>
    <n v="-2.0541338017210364E-6"/>
    <n v="0"/>
    <n v="0"/>
    <n v="0"/>
    <n v="-2.8336717150523327E-7"/>
    <n v="0"/>
    <n v="-104.479027953485"/>
    <m/>
    <n v="0"/>
    <n v="0"/>
    <n v="0"/>
    <n v="0"/>
    <n v="-13.953307211226274"/>
    <n v="-4.4204656036807251"/>
    <n v="0"/>
    <n v="0"/>
    <m/>
    <m/>
    <m/>
    <n v="29451.933537949608"/>
    <n v="0"/>
    <n v="0"/>
    <n v="-18199.642680000001"/>
    <n v="0"/>
    <n v="0"/>
    <n v="0"/>
    <n v="-18058.30937680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0"/>
    <s v="Regular"/>
    <s v="Verde"/>
    <s v="A4"/>
    <s v="Comercial"/>
    <s v="Não se aplica"/>
    <s v="Não se aplica"/>
    <s v="Não se aplica"/>
    <s v="Ponta"/>
    <s v="CATIVO"/>
    <x v="6"/>
    <n v="0"/>
    <n v="0"/>
    <n v="12.834"/>
    <n v="12.834"/>
    <n v="12.834"/>
    <n v="12.834"/>
    <m/>
    <n v="2641.06"/>
    <n v="252.22"/>
    <m/>
    <n v="37132.355519999997"/>
    <n v="37132.355519999997"/>
    <n v="22040.341559999997"/>
    <n v="0"/>
    <n v="690.62636853117056"/>
    <n v="0"/>
    <n v="0"/>
    <n v="0"/>
    <n v="8313.4415565805666"/>
    <n v="24539.76743254688"/>
    <n v="3237.0269977992916"/>
    <n v="0"/>
    <n v="0"/>
    <n v="0"/>
    <n v="0"/>
    <n v="0"/>
    <n v="122.70624854744663"/>
    <m/>
    <n v="30.877399370458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93674489045901"/>
    <n v="0"/>
    <n v="0"/>
    <n v="0"/>
    <n v="0"/>
    <n v="0"/>
    <m/>
    <m/>
    <m/>
    <m/>
    <m/>
    <m/>
    <m/>
    <m/>
    <m/>
    <n v="3434.9637426897507"/>
    <m/>
    <m/>
    <m/>
    <m/>
    <m/>
    <m/>
    <m/>
    <m/>
    <m/>
    <m/>
    <m/>
    <m/>
    <n v="22033.472199999997"/>
    <n v="-15098.913320000007"/>
    <m/>
    <m/>
    <m/>
    <m/>
    <n v="-15092.01396"/>
    <n v="0"/>
    <n v="31"/>
    <n v="-45.533007770562108"/>
    <n v="0"/>
    <n v="0"/>
    <n v="0"/>
    <n v="0"/>
    <n v="0"/>
    <n v="0"/>
    <n v="0"/>
    <n v="-21.366276898168508"/>
    <n v="0"/>
    <n v="0"/>
    <n v="-4.5381011659628712E-7"/>
    <n v="0"/>
    <n v="0"/>
    <n v="0"/>
    <n v="-2.7749649689212674E-8"/>
    <n v="0"/>
    <n v="-20.081404409159063"/>
    <m/>
    <n v="0"/>
    <n v="0"/>
    <n v="0"/>
    <n v="0"/>
    <n v="-3.0826403764524741"/>
    <n v="-1.0026856052212878"/>
    <n v="0"/>
    <n v="0"/>
    <m/>
    <m/>
    <m/>
    <n v="24539.76743254688"/>
    <n v="0"/>
    <n v="0"/>
    <n v="-15092.013960000004"/>
    <n v="0"/>
    <n v="0"/>
    <n v="0"/>
    <n v="-15046.43869173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1"/>
    <s v="Sistema de Compensação"/>
    <s v="Verde"/>
    <s v="A4"/>
    <s v="Comercial"/>
    <s v="Não se aplica"/>
    <s v="Não se aplica"/>
    <s v="Não se aplica"/>
    <s v="Ponta"/>
    <s v="CATIVO"/>
    <x v="6"/>
    <n v="0"/>
    <n v="0"/>
    <n v="1.218"/>
    <n v="1.218"/>
    <n v="1.218"/>
    <n v="1.218"/>
    <m/>
    <n v="2641.06"/>
    <n v="252.22"/>
    <m/>
    <n v="3524.0150399999998"/>
    <n v="3524.0150399999998"/>
    <n v="2091.72012"/>
    <n v="0"/>
    <n v="65.543315947558497"/>
    <n v="0"/>
    <n v="0"/>
    <n v="0"/>
    <n v="788.98019447679064"/>
    <n v="2328.926034972892"/>
    <n v="307.20733078693604"/>
    <n v="0"/>
    <n v="0"/>
    <n v="0"/>
    <n v="0"/>
    <n v="0"/>
    <n v="11.645333546111111"/>
    <m/>
    <n v="2.93039367564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785020669828508"/>
    <n v="0"/>
    <n v="0"/>
    <n v="0"/>
    <n v="0"/>
    <n v="0"/>
    <m/>
    <m/>
    <m/>
    <m/>
    <m/>
    <m/>
    <m/>
    <m/>
    <m/>
    <n v="325.99235145676454"/>
    <m/>
    <m/>
    <m/>
    <m/>
    <m/>
    <m/>
    <m/>
    <m/>
    <m/>
    <m/>
    <m/>
    <m/>
    <n v="2095.1547999999998"/>
    <n v="-1428.8902400000006"/>
    <m/>
    <m/>
    <m/>
    <m/>
    <n v="-1432.29492"/>
    <n v="0"/>
    <n v="31"/>
    <n v="-4.3212718922036402"/>
    <n v="0"/>
    <n v="0"/>
    <n v="0"/>
    <n v="0"/>
    <n v="0"/>
    <n v="0"/>
    <n v="0"/>
    <n v="-2.0277485789285947"/>
    <n v="0"/>
    <n v="0"/>
    <n v="-4.3068496324849548E-8"/>
    <n v="0"/>
    <n v="0"/>
    <n v="0"/>
    <n v="-2.6335591485349141E-9"/>
    <n v="0"/>
    <n v="-1.9058088335948042"/>
    <m/>
    <n v="0"/>
    <n v="0"/>
    <n v="0"/>
    <n v="0"/>
    <n v="-0.29255539804574759"/>
    <n v="-9.5159035932641967E-2"/>
    <n v="0"/>
    <n v="0"/>
    <m/>
    <m/>
    <m/>
    <n v="2328.926034972892"/>
    <n v="0"/>
    <n v="0"/>
    <n v="-1432.29492"/>
    <n v="0"/>
    <n v="0"/>
    <n v="0"/>
    <n v="-1427.969637411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2"/>
    <s v="Regular"/>
    <s v="Verde"/>
    <s v="A4"/>
    <s v="Comercial"/>
    <s v="Não se aplica"/>
    <s v="Não se aplica"/>
    <s v="Não se aplica"/>
    <s v="Fora ponta"/>
    <s v="CATIVO"/>
    <x v="6"/>
    <n v="0"/>
    <n v="0"/>
    <n v="264.84399999999999"/>
    <n v="264.84399999999999"/>
    <n v="264.84399999999999"/>
    <n v="264.84399999999999"/>
    <m/>
    <n v="81.2"/>
    <n v="252.22"/>
    <m/>
    <n v="88304.286479999995"/>
    <n v="88304.286479999995"/>
    <n v="87806.379759999982"/>
    <n v="0"/>
    <n v="14251.850549109346"/>
    <n v="0"/>
    <n v="0"/>
    <n v="0"/>
    <n v="0"/>
    <n v="0"/>
    <n v="66799.686629667733"/>
    <n v="0"/>
    <n v="0"/>
    <n v="0"/>
    <n v="0"/>
    <n v="0"/>
    <n v="2532.1812132071027"/>
    <m/>
    <n v="637.18980511685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4.6469739573577"/>
    <n v="0"/>
    <n v="0"/>
    <n v="0"/>
    <n v="0"/>
    <n v="0"/>
    <m/>
    <m/>
    <m/>
    <m/>
    <m/>
    <m/>
    <m/>
    <m/>
    <m/>
    <n v="70884.333603625084"/>
    <m/>
    <m/>
    <m/>
    <m/>
    <m/>
    <m/>
    <m/>
    <m/>
    <m/>
    <m/>
    <m/>
    <m/>
    <n v="87805.053599999985"/>
    <n v="-499.26287999999477"/>
    <m/>
    <m/>
    <m/>
    <m/>
    <n v="-497.90672000000257"/>
    <n v="0"/>
    <n v="31"/>
    <n v="-498.70762592861138"/>
    <n v="0"/>
    <n v="0"/>
    <n v="0"/>
    <n v="0"/>
    <n v="0"/>
    <n v="0"/>
    <n v="0"/>
    <n v="0"/>
    <n v="0"/>
    <n v="0"/>
    <n v="-9.3648850452154875E-6"/>
    <n v="0"/>
    <n v="0"/>
    <n v="0"/>
    <n v="-5.7264560382463969E-7"/>
    <n v="0"/>
    <n v="-414.40232736008329"/>
    <m/>
    <n v="0"/>
    <n v="0"/>
    <n v="0"/>
    <n v="0"/>
    <n v="-63.613745353060494"/>
    <n v="-20.691543277951268"/>
    <n v="0"/>
    <n v="0"/>
    <m/>
    <m/>
    <m/>
    <n v="0"/>
    <n v="0"/>
    <n v="0"/>
    <n v="-497.90672000000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3"/>
    <s v="Regular"/>
    <s v="Verde"/>
    <s v="A4"/>
    <s v="Comercial"/>
    <s v="Não se aplica"/>
    <s v="Não se aplica"/>
    <s v="Não se aplica"/>
    <s v="Não se aplica"/>
    <s v="CATIVO"/>
    <x v="6"/>
    <n v="2357"/>
    <n v="2357"/>
    <n v="0"/>
    <n v="0"/>
    <n v="0"/>
    <n v="0"/>
    <n v="74.44"/>
    <m/>
    <m/>
    <n v="175455.08"/>
    <m/>
    <n v="175455.08"/>
    <n v="107054.94"/>
    <n v="0"/>
    <n v="0"/>
    <n v="0"/>
    <n v="0"/>
    <n v="0"/>
    <n v="64150.687094274894"/>
    <n v="111301.164910858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3687.56"/>
    <n v="15"/>
    <m/>
    <m/>
    <m/>
    <m/>
    <m/>
    <m/>
    <m/>
    <m/>
    <m/>
    <n v="0"/>
    <m/>
    <m/>
    <m/>
    <m/>
    <m/>
    <m/>
    <m/>
    <m/>
    <m/>
    <m/>
    <m/>
    <m/>
    <n v="107054.94"/>
    <n v="-68400.170000000013"/>
    <m/>
    <m/>
    <m/>
    <m/>
    <n v="-68400.139999999985"/>
    <n v="0"/>
    <n v="31"/>
    <n v="-164.87291506594192"/>
    <n v="0"/>
    <n v="0"/>
    <n v="0"/>
    <n v="0"/>
    <m/>
    <m/>
    <m/>
    <n v="-164.872915065941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01.16491085802"/>
    <m/>
    <n v="0"/>
    <n v="0"/>
    <n v="-68400.139999999985"/>
    <m/>
    <n v="0"/>
    <m/>
    <n v="-68243.76631739862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14"/>
    <s v="Sistema de Compensação"/>
    <s v="Verde"/>
    <s v="A4"/>
    <s v="Comercial"/>
    <s v="Não se aplica"/>
    <s v="Não se aplica"/>
    <s v="Não se aplica"/>
    <s v="Não se aplica"/>
    <s v="CATIVO"/>
    <x v="6"/>
    <n v="105"/>
    <n v="105"/>
    <n v="0"/>
    <n v="0"/>
    <n v="0"/>
    <n v="0"/>
    <n v="74.44"/>
    <m/>
    <m/>
    <n v="7816.2"/>
    <m/>
    <n v="7816.2"/>
    <n v="4769.1000000000004"/>
    <n v="0"/>
    <n v="0"/>
    <n v="0"/>
    <n v="0"/>
    <n v="0"/>
    <n v="2857.7947156974392"/>
    <n v="4958.26148308871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89.1"/>
    <n v="1"/>
    <m/>
    <m/>
    <m/>
    <m/>
    <m/>
    <m/>
    <m/>
    <m/>
    <m/>
    <n v="0"/>
    <m/>
    <m/>
    <m/>
    <m/>
    <m/>
    <m/>
    <m/>
    <m/>
    <m/>
    <m/>
    <m/>
    <m/>
    <n v="4769.1000000000004"/>
    <n v="-3047.13"/>
    <m/>
    <m/>
    <m/>
    <m/>
    <n v="-3047.0999999999995"/>
    <n v="0"/>
    <n v="31"/>
    <n v="-7.3447840822759645"/>
    <n v="0"/>
    <n v="0"/>
    <n v="0"/>
    <n v="0"/>
    <m/>
    <m/>
    <m/>
    <n v="-7.34478408227596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58.2614830887114"/>
    <m/>
    <n v="0"/>
    <n v="0"/>
    <n v="-3047.0999999999995"/>
    <m/>
    <n v="0"/>
    <m/>
    <n v="-3040.133841038123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15"/>
    <s v="Regular"/>
    <s v="Convencional"/>
    <s v="B2"/>
    <s v="Rural"/>
    <s v="Não se aplica"/>
    <s v="Não se aplica"/>
    <s v="Não se aplica"/>
    <s v="Não se aplica"/>
    <s v="CATIVO"/>
    <x v="6"/>
    <n v="0"/>
    <n v="0"/>
    <n v="6116.61"/>
    <n v="6116.61"/>
    <n v="6116.61"/>
    <n v="6116.61"/>
    <m/>
    <n v="739.04"/>
    <n v="252.22"/>
    <m/>
    <n v="6063150.8285999987"/>
    <n v="6063150.8285999987"/>
    <n v="4146878.0817"/>
    <n v="0"/>
    <n v="378331.63633429195"/>
    <n v="0"/>
    <n v="0"/>
    <n v="0"/>
    <n v="755386.53828571993"/>
    <n v="3101046.4641871159"/>
    <n v="1542748.3017772422"/>
    <n v="0"/>
    <n v="0"/>
    <n v="0"/>
    <n v="0"/>
    <n v="0"/>
    <n v="58481.086717141778"/>
    <m/>
    <n v="14333.043277752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822.84502420767"/>
    <n v="0"/>
    <n v="0"/>
    <n v="0"/>
    <n v="124816.13"/>
    <n v="12138"/>
    <m/>
    <m/>
    <m/>
    <m/>
    <m/>
    <n v="497586.22349999973"/>
    <m/>
    <m/>
    <m/>
    <n v="1755571.1468014498"/>
    <m/>
    <m/>
    <m/>
    <m/>
    <m/>
    <m/>
    <m/>
    <m/>
    <m/>
    <m/>
    <m/>
    <m/>
    <n v="3649291.8581999997"/>
    <n v="-1686288.2408999996"/>
    <m/>
    <m/>
    <m/>
    <m/>
    <n v="-1916272.7468999997"/>
    <n v="0"/>
    <n v="31"/>
    <n v="-14876.800064067356"/>
    <n v="0"/>
    <n v="0"/>
    <n v="0"/>
    <n v="0"/>
    <n v="0"/>
    <n v="0"/>
    <n v="0"/>
    <n v="-1941.4099241929362"/>
    <n v="0"/>
    <n v="0"/>
    <n v="-2.1628360264003277E-4"/>
    <n v="0"/>
    <n v="0"/>
    <n v="0"/>
    <n v="-2.9836228350177407E-5"/>
    <n v="0"/>
    <n v="-11000.782675248978"/>
    <m/>
    <n v="0"/>
    <n v="0"/>
    <n v="0"/>
    <n v="0"/>
    <n v="-1469.1685330382606"/>
    <n v="-465.43868546666818"/>
    <n v="0"/>
    <n v="0"/>
    <m/>
    <m/>
    <m/>
    <n v="3101046.4641871159"/>
    <n v="0"/>
    <n v="0"/>
    <n v="-1916272.7468999992"/>
    <n v="0"/>
    <n v="0"/>
    <n v="0"/>
    <n v="-1901391.512037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6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21199999999999999"/>
    <n v="-0.21199999999999999"/>
    <n v="-0.21199999999999999"/>
    <n v="-0.21199999999999999"/>
    <m/>
    <n v="739.04"/>
    <n v="252.22"/>
    <m/>
    <n v="-210.14712"/>
    <n v="-210.14712"/>
    <n v="-143.72963999999999"/>
    <n v="0"/>
    <n v="-13.112869204162093"/>
    <n v="0"/>
    <n v="0"/>
    <n v="0"/>
    <n v="-26.181487150001818"/>
    <n v="-107.48140725134814"/>
    <n v="-53.471226705115306"/>
    <n v="0"/>
    <n v="0"/>
    <n v="0"/>
    <n v="0"/>
    <n v="0"/>
    <n v="-2.0269381870078451"/>
    <m/>
    <n v="-0.4967792903068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3763805678524585"/>
    <n v="0"/>
    <n v="0"/>
    <n v="0"/>
    <n v="0"/>
    <n v="0"/>
    <m/>
    <m/>
    <m/>
    <m/>
    <m/>
    <n v="-17.246199999999995"/>
    <m/>
    <m/>
    <m/>
    <n v="-60.847607272967764"/>
    <m/>
    <m/>
    <m/>
    <m/>
    <m/>
    <m/>
    <m/>
    <m/>
    <m/>
    <m/>
    <m/>
    <m/>
    <n v="-125.2902"/>
    <n v="59.609520000000032"/>
    <m/>
    <m/>
    <m/>
    <m/>
    <n v="66.417479999999983"/>
    <n v="0"/>
    <n v="31"/>
    <n v="0.51562574916204085"/>
    <n v="0"/>
    <n v="0"/>
    <n v="0"/>
    <n v="0"/>
    <n v="0"/>
    <n v="0"/>
    <n v="0"/>
    <n v="6.7288727567866857E-2"/>
    <n v="0"/>
    <n v="0"/>
    <n v="7.4963253382520634E-9"/>
    <n v="0"/>
    <n v="0"/>
    <n v="0"/>
    <n v="1.0341150158410528E-9"/>
    <n v="0"/>
    <n v="0.38128406538144333"/>
    <m/>
    <n v="0"/>
    <n v="0"/>
    <n v="0"/>
    <n v="0"/>
    <n v="5.0920972402050957E-2"/>
    <n v="1.6131975280250566E-2"/>
    <n v="0"/>
    <n v="0"/>
    <m/>
    <m/>
    <m/>
    <n v="-107.48140725134814"/>
    <n v="0"/>
    <n v="0"/>
    <n v="66.417479999999998"/>
    <n v="0"/>
    <n v="0"/>
    <n v="0"/>
    <n v="65.901700541955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7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27.94"/>
    <n v="227.94"/>
    <n v="227.94"/>
    <n v="227.94"/>
    <m/>
    <n v="739.04"/>
    <n v="252.22"/>
    <m/>
    <n v="225947.80439999999"/>
    <n v="225947.80439999999"/>
    <n v="154536.48180000001"/>
    <n v="0"/>
    <n v="14098.808520739187"/>
    <n v="0"/>
    <n v="0"/>
    <n v="0"/>
    <n v="28150.038589487805"/>
    <n v="115562.7923060014"/>
    <n v="57491.657618698038"/>
    <n v="0"/>
    <n v="0"/>
    <n v="0"/>
    <n v="0"/>
    <n v="0"/>
    <n v="2179.3409922007936"/>
    <m/>
    <n v="534.13146902140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31.0008803598557"/>
    <n v="0"/>
    <n v="0"/>
    <n v="0"/>
    <n v="8651.9699999999993"/>
    <n v="925"/>
    <m/>
    <m/>
    <m/>
    <m/>
    <m/>
    <n v="18542.918999999991"/>
    <m/>
    <m/>
    <m/>
    <n v="65422.658499057892"/>
    <m/>
    <m/>
    <m/>
    <m/>
    <m/>
    <m/>
    <m/>
    <m/>
    <m/>
    <m/>
    <m/>
    <m/>
    <n v="135993.56280000001"/>
    <n v="-62840.808600000018"/>
    <m/>
    <m/>
    <m/>
    <m/>
    <n v="-71411.322599999985"/>
    <n v="0"/>
    <n v="31"/>
    <n v="-554.39496822640649"/>
    <n v="0"/>
    <n v="0"/>
    <n v="0"/>
    <n v="0"/>
    <n v="0"/>
    <n v="0"/>
    <n v="0"/>
    <n v="-72.348078121791332"/>
    <n v="0"/>
    <n v="0"/>
    <n v="-8.0599638749845326E-6"/>
    <n v="0"/>
    <n v="0"/>
    <n v="0"/>
    <n v="-1.1118690963485278E-6"/>
    <n v="0"/>
    <n v="-409.9523106747456"/>
    <m/>
    <n v="0"/>
    <n v="0"/>
    <n v="0"/>
    <n v="0"/>
    <n v="-54.749653062846846"/>
    <n v="-17.344917195190192"/>
    <n v="0"/>
    <n v="0"/>
    <m/>
    <m/>
    <m/>
    <n v="115562.7923060014"/>
    <n v="0"/>
    <n v="0"/>
    <n v="-71411.3226"/>
    <n v="0"/>
    <n v="0"/>
    <n v="0"/>
    <n v="-70856.762365723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8"/>
    <s v="Regular"/>
    <s v="Verde"/>
    <s v="A4"/>
    <s v="Rural"/>
    <s v="Não se aplica"/>
    <s v="Não se aplica"/>
    <s v="Não se aplica"/>
    <s v="Ponta"/>
    <s v="CATIVO"/>
    <x v="6"/>
    <n v="0"/>
    <n v="0"/>
    <n v="4.181"/>
    <n v="4.0137600000000004"/>
    <n v="4.181"/>
    <n v="4.0137600000000004"/>
    <m/>
    <n v="2641.06"/>
    <n v="252.22"/>
    <m/>
    <n v="12096.803680000001"/>
    <n v="12096.803680000001"/>
    <n v="7180.1985399999994"/>
    <n v="0"/>
    <n v="224.98900162294098"/>
    <n v="0"/>
    <n v="0"/>
    <n v="0"/>
    <n v="2708.3137874445497"/>
    <n v="7994.4497144677034"/>
    <n v="1054.5433908211655"/>
    <n v="0"/>
    <n v="0"/>
    <n v="0"/>
    <n v="0"/>
    <n v="0"/>
    <n v="39.974663018300951"/>
    <m/>
    <n v="10.059093561468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482899360059932"/>
    <n v="0"/>
    <n v="0"/>
    <n v="0"/>
    <n v="0"/>
    <n v="0"/>
    <m/>
    <m/>
    <m/>
    <m/>
    <m/>
    <n v="287.20794159999934"/>
    <m/>
    <m/>
    <m/>
    <n v="1119.0262901812255"/>
    <m/>
    <m/>
    <m/>
    <m/>
    <m/>
    <m/>
    <m/>
    <m/>
    <m/>
    <m/>
    <m/>
    <m/>
    <n v="6886.5333999999984"/>
    <n v="-4726.4281328000034"/>
    <m/>
    <m/>
    <m/>
    <m/>
    <n v="-4916.6051400000006"/>
    <n v="0"/>
    <n v="31"/>
    <n v="-14.833528556078363"/>
    <n v="0"/>
    <n v="0"/>
    <n v="0"/>
    <n v="0"/>
    <n v="0"/>
    <n v="0"/>
    <n v="0"/>
    <n v="-6.9606049330873248"/>
    <n v="0"/>
    <n v="0"/>
    <n v="-1.4784018276259303E-7"/>
    <n v="0"/>
    <n v="0"/>
    <n v="0"/>
    <n v="-9.0401499619474635E-9"/>
    <n v="0"/>
    <n v="-6.5420252325614854"/>
    <m/>
    <n v="0"/>
    <n v="0"/>
    <n v="0"/>
    <n v="0"/>
    <n v="-1.0042480453442266"/>
    <n v="-0.32665018820556391"/>
    <n v="0"/>
    <n v="0"/>
    <m/>
    <m/>
    <m/>
    <n v="7994.4497144677034"/>
    <n v="0"/>
    <n v="0"/>
    <n v="-4916.6051400000015"/>
    <n v="0"/>
    <n v="0"/>
    <n v="0"/>
    <n v="-4901.757844019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19"/>
    <s v="Regular"/>
    <s v="Verde"/>
    <s v="A4"/>
    <s v="Rural"/>
    <s v="Não se aplica"/>
    <s v="Não se aplica"/>
    <s v="Não se aplica"/>
    <s v="Fora ponta"/>
    <s v="CATIVO"/>
    <x v="6"/>
    <n v="0"/>
    <n v="0"/>
    <n v="38.256"/>
    <n v="36.725760000000001"/>
    <n v="38.256"/>
    <n v="36.725760000000001"/>
    <m/>
    <n v="81.2"/>
    <n v="252.22"/>
    <m/>
    <n v="12755.31552"/>
    <n v="12755.31552"/>
    <n v="12683.394240000001"/>
    <n v="0"/>
    <n v="2058.6412930129704"/>
    <n v="0"/>
    <n v="0"/>
    <n v="0"/>
    <n v="0"/>
    <n v="0"/>
    <n v="9649.0341925985431"/>
    <n v="0"/>
    <n v="0"/>
    <n v="0"/>
    <n v="0"/>
    <n v="0"/>
    <n v="365.7667324630761"/>
    <m/>
    <n v="92.040345201515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0.01621571835756"/>
    <n v="0"/>
    <n v="0"/>
    <n v="0"/>
    <n v="0"/>
    <n v="0"/>
    <m/>
    <m/>
    <m/>
    <m/>
    <m/>
    <n v="507.33576959999971"/>
    <m/>
    <m/>
    <m/>
    <n v="10239.0504083169"/>
    <m/>
    <m/>
    <m/>
    <m/>
    <m/>
    <m/>
    <m/>
    <m/>
    <m/>
    <m/>
    <m/>
    <m/>
    <n v="12177.464199999999"/>
    <n v="-67.668699200003175"/>
    <m/>
    <m/>
    <m/>
    <m/>
    <n v="-71.921280000000365"/>
    <n v="0"/>
    <n v="31"/>
    <n v="-72.036968696760596"/>
    <n v="0"/>
    <n v="0"/>
    <n v="0"/>
    <n v="0"/>
    <n v="0"/>
    <n v="0"/>
    <n v="0"/>
    <n v="0"/>
    <n v="0"/>
    <n v="0"/>
    <n v="-1.3527314877137542E-6"/>
    <n v="0"/>
    <n v="0"/>
    <n v="0"/>
    <n v="-8.2717178884195164E-8"/>
    <n v="0"/>
    <n v="-59.85929617241618"/>
    <m/>
    <n v="0"/>
    <n v="0"/>
    <n v="0"/>
    <n v="0"/>
    <n v="-9.1888335859097765"/>
    <n v="-2.9888375029878063"/>
    <n v="0"/>
    <n v="0"/>
    <m/>
    <m/>
    <m/>
    <n v="0"/>
    <n v="0"/>
    <n v="0"/>
    <n v="-71.921280000000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0"/>
    <s v="Regular"/>
    <s v="Verde"/>
    <s v="A4"/>
    <s v="Rural"/>
    <s v="Não se aplica"/>
    <s v="Não se aplica"/>
    <s v="Não se aplica"/>
    <s v="Não se aplica"/>
    <s v="CATIVO"/>
    <x v="6"/>
    <n v="140"/>
    <n v="134.4"/>
    <n v="0"/>
    <n v="0"/>
    <n v="0"/>
    <n v="0"/>
    <n v="74.44"/>
    <m/>
    <m/>
    <n v="10421.6"/>
    <m/>
    <n v="10421.6"/>
    <n v="6358.8"/>
    <n v="0"/>
    <n v="0"/>
    <n v="0"/>
    <n v="0"/>
    <n v="0"/>
    <n v="3810.3929542632522"/>
    <n v="6611.01531078494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489999999999998"/>
    <n v="2"/>
    <m/>
    <m/>
    <m/>
    <m/>
    <m/>
    <n v="254.35199999999975"/>
    <m/>
    <m/>
    <m/>
    <n v="0"/>
    <m/>
    <m/>
    <m/>
    <m/>
    <m/>
    <m/>
    <m/>
    <m/>
    <m/>
    <m/>
    <m/>
    <m/>
    <n v="6104.4480000000003"/>
    <n v="-3900.3180000000011"/>
    <m/>
    <m/>
    <m/>
    <m/>
    <n v="-4062.7999999999993"/>
    <n v="0"/>
    <n v="31"/>
    <n v="-9.7930454430343161"/>
    <n v="0"/>
    <n v="0"/>
    <n v="0"/>
    <n v="0"/>
    <m/>
    <m/>
    <m/>
    <n v="-9.79304544303431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11.0153107849483"/>
    <m/>
    <n v="0"/>
    <n v="0"/>
    <n v="-4062.8"/>
    <m/>
    <n v="0"/>
    <m/>
    <n v="-4053.511788050830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21"/>
    <s v="Sistema de Compensação"/>
    <s v="Verde"/>
    <s v="A4"/>
    <s v="Rural"/>
    <s v="Não se aplica"/>
    <s v="Não se aplica"/>
    <s v="Não se aplica"/>
    <s v="Não se aplica"/>
    <s v="CATIVO"/>
    <x v="6"/>
    <n v="399"/>
    <n v="383.03999999999996"/>
    <n v="0"/>
    <n v="0"/>
    <n v="0"/>
    <n v="0"/>
    <n v="74.44"/>
    <m/>
    <m/>
    <n v="29701.559999999998"/>
    <m/>
    <n v="29701.559999999998"/>
    <n v="18122.580000000002"/>
    <n v="0"/>
    <n v="0"/>
    <n v="0"/>
    <n v="0"/>
    <n v="0"/>
    <n v="10859.619919650269"/>
    <n v="18841.3936357371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.9"/>
    <n v="4"/>
    <m/>
    <m/>
    <m/>
    <m/>
    <m/>
    <n v="724.90320000000168"/>
    <m/>
    <m/>
    <m/>
    <n v="0"/>
    <m/>
    <m/>
    <m/>
    <m/>
    <m/>
    <m/>
    <m/>
    <m/>
    <m/>
    <m/>
    <m/>
    <m/>
    <n v="17397.676800000001"/>
    <n v="-11115.850799999989"/>
    <m/>
    <m/>
    <m/>
    <m/>
    <n v="-11578.979999999998"/>
    <n v="0"/>
    <n v="31"/>
    <n v="-27.910179512648028"/>
    <n v="0"/>
    <n v="0"/>
    <n v="0"/>
    <n v="0"/>
    <m/>
    <m/>
    <m/>
    <n v="-27.9101795126480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41.393635737102"/>
    <m/>
    <n v="0"/>
    <n v="0"/>
    <n v="-11578.979999999996"/>
    <m/>
    <n v="0"/>
    <m/>
    <n v="-11552.50859594486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22"/>
    <s v="Sistema de Compensação"/>
    <s v="Verde"/>
    <s v="A4"/>
    <s v="Rur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23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8.83699999999999"/>
    <n v="208.83699999999999"/>
    <n v="208.83699999999999"/>
    <n v="208.83699999999999"/>
    <m/>
    <n v="739.04"/>
    <n v="252.22"/>
    <m/>
    <n v="207011.76462"/>
    <n v="207011.76462"/>
    <n v="141585.22089"/>
    <n v="0"/>
    <n v="12917.227669762258"/>
    <n v="0"/>
    <n v="0"/>
    <n v="0"/>
    <n v="25790.864301627025"/>
    <n v="105877.80493466883"/>
    <n v="52673.446091585683"/>
    <n v="0"/>
    <n v="0"/>
    <n v="0"/>
    <n v="0"/>
    <n v="0"/>
    <n v="1996.6966516988555"/>
    <m/>
    <n v="489.36743702738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66.3263615500182"/>
    <n v="0"/>
    <n v="0"/>
    <n v="0"/>
    <n v="53421.39"/>
    <n v="370"/>
    <m/>
    <m/>
    <m/>
    <m/>
    <m/>
    <m/>
    <m/>
    <m/>
    <m/>
    <n v="59939.772453135702"/>
    <m/>
    <m/>
    <m/>
    <m/>
    <m/>
    <m/>
    <m/>
    <m/>
    <m/>
    <m/>
    <m/>
    <m/>
    <n v="141587.2548"/>
    <n v="-65424.539820000035"/>
    <m/>
    <m/>
    <m/>
    <m/>
    <n v="-65426.54372999999"/>
    <n v="0"/>
    <n v="31"/>
    <n v="-507.93271027244919"/>
    <n v="0"/>
    <n v="0"/>
    <n v="0"/>
    <n v="0"/>
    <n v="0"/>
    <n v="0"/>
    <n v="0"/>
    <n v="-66.28479244853952"/>
    <n v="0"/>
    <n v="0"/>
    <n v="-7.3844785219989717E-6"/>
    <n v="0"/>
    <n v="0"/>
    <n v="0"/>
    <n v="-1.0186868166783825E-6"/>
    <n v="0"/>
    <n v="-375.59537906634068"/>
    <m/>
    <n v="0"/>
    <n v="0"/>
    <n v="0"/>
    <n v="0"/>
    <n v="-50.161241101543055"/>
    <n v="-15.891289252838135"/>
    <n v="0"/>
    <n v="0"/>
    <m/>
    <m/>
    <m/>
    <n v="105877.80493466883"/>
    <n v="0"/>
    <n v="0"/>
    <n v="-65426.543730000005"/>
    <n v="0"/>
    <n v="0"/>
    <n v="0"/>
    <n v="-64918.45960415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0.38700000000000001"/>
    <n v="0.38700000000000001"/>
    <n v="0.38700000000000001"/>
    <n v="0.38700000000000001"/>
    <m/>
    <n v="739.04"/>
    <n v="252.22"/>
    <m/>
    <n v="383.61761999999999"/>
    <n v="383.61761999999999"/>
    <n v="262.37439000000001"/>
    <n v="0"/>
    <n v="23.937171613258162"/>
    <n v="0"/>
    <n v="0"/>
    <n v="0"/>
    <n v="47.793563806842947"/>
    <n v="196.20426701071574"/>
    <n v="97.61021101358314"/>
    <n v="0"/>
    <n v="0"/>
    <n v="0"/>
    <n v="0"/>
    <n v="0"/>
    <n v="3.700118294207718"/>
    <m/>
    <n v="0.90685653466387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65373961126895"/>
    <n v="0"/>
    <n v="0"/>
    <n v="0"/>
    <n v="224.32"/>
    <n v="2"/>
    <m/>
    <m/>
    <m/>
    <m/>
    <m/>
    <m/>
    <m/>
    <m/>
    <m/>
    <n v="111.07558497471004"/>
    <m/>
    <m/>
    <m/>
    <m/>
    <m/>
    <m/>
    <m/>
    <m/>
    <m/>
    <m/>
    <m/>
    <m/>
    <n v="264.40830000000005"/>
    <n v="-119.23931999999991"/>
    <m/>
    <m/>
    <m/>
    <m/>
    <n v="-121.24322999999998"/>
    <n v="0"/>
    <n v="31"/>
    <n v="-0.94126021191380005"/>
    <n v="0"/>
    <n v="0"/>
    <n v="0"/>
    <n v="0"/>
    <n v="0"/>
    <n v="0"/>
    <n v="0"/>
    <n v="-0.12283366777719351"/>
    <n v="0"/>
    <n v="0"/>
    <n v="-1.3684328337149054E-8"/>
    <n v="0"/>
    <n v="0"/>
    <n v="0"/>
    <n v="-1.8877486240853614E-9"/>
    <n v="0"/>
    <n v="-0.69602327029537037"/>
    <m/>
    <n v="0"/>
    <n v="0"/>
    <n v="0"/>
    <n v="0"/>
    <n v="-9.2954793960348336E-2"/>
    <n v="-2.9448464308759359E-2"/>
    <n v="0"/>
    <n v="0"/>
    <m/>
    <m/>
    <m/>
    <n v="196.20426701071574"/>
    <n v="0"/>
    <n v="0"/>
    <n v="-121.24323000000001"/>
    <n v="0"/>
    <n v="0"/>
    <n v="0"/>
    <n v="-120.30168919687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5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391.65499999999997"/>
    <n v="391.65499999999997"/>
    <n v="391.65499999999997"/>
    <n v="391.65499999999997"/>
    <m/>
    <n v="406.47"/>
    <n v="138.72"/>
    <m/>
    <n v="213526.38944999999"/>
    <n v="213526.38944999999"/>
    <n v="146040.31639999998"/>
    <n v="0"/>
    <n v="13323.803931537041"/>
    <n v="0"/>
    <n v="0"/>
    <n v="0"/>
    <n v="26602.644775253302"/>
    <n v="109210.3622941732"/>
    <n v="54331.369397903429"/>
    <n v="0"/>
    <n v="0"/>
    <n v="0"/>
    <n v="0"/>
    <n v="0"/>
    <n v="2059.5436867825792"/>
    <m/>
    <n v="504.770524150076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95.0376519633919"/>
    <n v="0"/>
    <n v="0"/>
    <n v="0"/>
    <n v="50413.29"/>
    <n v="66"/>
    <m/>
    <m/>
    <m/>
    <m/>
    <m/>
    <m/>
    <m/>
    <m/>
    <m/>
    <n v="61826.407049866822"/>
    <m/>
    <m/>
    <m/>
    <m/>
    <m/>
    <m/>
    <m/>
    <m/>
    <m/>
    <m/>
    <m/>
    <m/>
    <n v="146042.18080000003"/>
    <n v="-67484.238649999985"/>
    <m/>
    <m/>
    <m/>
    <m/>
    <n v="-67486.073050000006"/>
    <n v="0"/>
    <n v="31"/>
    <n v="-523.92014874223969"/>
    <n v="0"/>
    <n v="0"/>
    <n v="0"/>
    <n v="0"/>
    <n v="0"/>
    <n v="0"/>
    <n v="0"/>
    <n v="-68.371139752776799"/>
    <n v="0"/>
    <n v="0"/>
    <n v="-7.6165088103152812E-6"/>
    <n v="0"/>
    <n v="0"/>
    <n v="0"/>
    <n v="-1.0507319530006498E-6"/>
    <n v="0"/>
    <n v="-387.41743323033916"/>
    <m/>
    <n v="0"/>
    <n v="0"/>
    <n v="0"/>
    <n v="0"/>
    <n v="-51.740091487590917"/>
    <n v="-16.391475604305697"/>
    <n v="0"/>
    <n v="0"/>
    <m/>
    <m/>
    <m/>
    <n v="109210.3622941732"/>
    <n v="0"/>
    <n v="0"/>
    <n v="-67486.073050000006"/>
    <n v="0"/>
    <n v="0"/>
    <n v="0"/>
    <n v="-66961.800892300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6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89"/>
    <n v="83.66"/>
    <n v="89"/>
    <n v="83.66"/>
    <m/>
    <n v="739.04"/>
    <n v="252.22"/>
    <m/>
    <n v="88222.14"/>
    <n v="88222.14"/>
    <n v="60339.33"/>
    <n v="0"/>
    <n v="5504.9309394831425"/>
    <n v="0"/>
    <n v="0"/>
    <n v="0"/>
    <n v="10991.284699764914"/>
    <n v="45121.911534764084"/>
    <n v="22447.826305449351"/>
    <n v="0"/>
    <n v="0"/>
    <n v="0"/>
    <n v="0"/>
    <n v="0"/>
    <n v="850.9315973759351"/>
    <m/>
    <n v="208.55356998729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6.68806857957"/>
    <n v="0"/>
    <n v="0"/>
    <n v="0"/>
    <n v="24317.81"/>
    <n v="28"/>
    <m/>
    <m/>
    <m/>
    <m/>
    <n v="3620.359800000002"/>
    <m/>
    <m/>
    <m/>
    <m/>
    <n v="25544.51437402892"/>
    <m/>
    <m/>
    <m/>
    <m/>
    <m/>
    <m/>
    <m/>
    <m/>
    <m/>
    <m/>
    <m/>
    <m/>
    <n v="56718.970199999996"/>
    <n v="-26209.871400000004"/>
    <m/>
    <m/>
    <m/>
    <m/>
    <n v="-27882.809999999998"/>
    <n v="0"/>
    <n v="31"/>
    <n v="-216.46552677085856"/>
    <n v="0"/>
    <n v="0"/>
    <n v="0"/>
    <n v="0"/>
    <n v="0"/>
    <n v="0"/>
    <n v="0"/>
    <n v="-28.248569592171407"/>
    <n v="0"/>
    <n v="0"/>
    <n v="-3.1470408430323005E-6"/>
    <n v="0"/>
    <n v="0"/>
    <n v="0"/>
    <n v="-4.3413319872342981E-7"/>
    <n v="0"/>
    <n v="-160.06736707051095"/>
    <m/>
    <n v="0"/>
    <n v="0"/>
    <n v="0"/>
    <n v="0"/>
    <n v="-21.377200678219651"/>
    <n v="-6.7723858487844382"/>
    <n v="0"/>
    <n v="0"/>
    <m/>
    <m/>
    <m/>
    <n v="45121.911534764084"/>
    <n v="0"/>
    <n v="0"/>
    <n v="-27882.809999999998"/>
    <n v="0"/>
    <n v="0"/>
    <n v="0"/>
    <n v="-27666.279944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7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0.823"/>
    <n v="10.823"/>
    <n v="10.823"/>
    <n v="10.823"/>
    <m/>
    <n v="739.04"/>
    <n v="252.22"/>
    <m/>
    <n v="10728.40698"/>
    <n v="10728.40698"/>
    <n v="7337.6693099999993"/>
    <n v="0"/>
    <n v="669.43671413512425"/>
    <n v="0"/>
    <n v="0"/>
    <n v="0"/>
    <n v="1336.6143180399513"/>
    <n v="5487.1286352893449"/>
    <n v="2729.8070124031274"/>
    <n v="0"/>
    <n v="0"/>
    <n v="0"/>
    <n v="0"/>
    <n v="0"/>
    <n v="103.47901885842411"/>
    <m/>
    <n v="25.361520089579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5781456880527"/>
    <n v="0"/>
    <n v="0"/>
    <n v="0"/>
    <n v="2958.08"/>
    <n v="11"/>
    <m/>
    <m/>
    <m/>
    <m/>
    <m/>
    <m/>
    <m/>
    <m/>
    <m/>
    <n v="3106.3851580911801"/>
    <m/>
    <m/>
    <m/>
    <m/>
    <m/>
    <m/>
    <m/>
    <m/>
    <m/>
    <m/>
    <m/>
    <m/>
    <n v="7335.6353999999992"/>
    <n v="-3392.8015800000012"/>
    <m/>
    <m/>
    <m/>
    <m/>
    <n v="-3390.7376699999995"/>
    <n v="0"/>
    <n v="31"/>
    <n v="-26.323667373492754"/>
    <n v="0"/>
    <n v="0"/>
    <n v="0"/>
    <n v="0"/>
    <n v="0"/>
    <n v="0"/>
    <n v="0"/>
    <n v="-3.4352165022028203"/>
    <n v="0"/>
    <n v="0"/>
    <n v="-3.8270127333817072E-7"/>
    <n v="0"/>
    <n v="0"/>
    <n v="0"/>
    <n v="-5.2793609484069748E-8"/>
    <n v="0"/>
    <n v="-19.465270941619565"/>
    <m/>
    <n v="0"/>
    <n v="0"/>
    <n v="0"/>
    <n v="0"/>
    <n v="-2.5996117184311345"/>
    <n v="-0.8235677757459996"/>
    <n v="0"/>
    <n v="0"/>
    <m/>
    <m/>
    <m/>
    <n v="5487.1286352893449"/>
    <n v="0"/>
    <n v="0"/>
    <n v="-3390.7376700000004"/>
    <n v="0"/>
    <n v="0"/>
    <n v="0"/>
    <n v="-3364.406155498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28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90.95"/>
    <n v="3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29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3.5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30"/>
    <s v="Regular"/>
    <s v="Convencional"/>
    <s v="B2"/>
    <s v="Rural"/>
    <s v="Agropecuária rural"/>
    <s v="IRRIG./AQUIC."/>
    <s v="Não se aplica"/>
    <s v="Não se aplica"/>
    <s v="CATIVO"/>
    <x v="6"/>
    <n v="0"/>
    <n v="0"/>
    <n v="243.178"/>
    <n v="243.178"/>
    <n v="243.178"/>
    <n v="243.178"/>
    <m/>
    <n v="739.04"/>
    <n v="252.22"/>
    <m/>
    <n v="241052.62427999999"/>
    <n v="241052.62427999999"/>
    <n v="164867.38866"/>
    <n v="0"/>
    <n v="15041.326921366648"/>
    <n v="0"/>
    <n v="0"/>
    <n v="0"/>
    <n v="30031.894727184634"/>
    <n v="123288.27194607707"/>
    <n v="61335.028149511934"/>
    <n v="0"/>
    <n v="0"/>
    <n v="0"/>
    <n v="0"/>
    <n v="0"/>
    <n v="2325.0319549065744"/>
    <m/>
    <n v="569.83865216147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61.1956307982327"/>
    <n v="0"/>
    <n v="0"/>
    <n v="0"/>
    <n v="0"/>
    <n v="0"/>
    <m/>
    <m/>
    <m/>
    <m/>
    <m/>
    <n v="23923.851640000001"/>
    <m/>
    <m/>
    <m/>
    <n v="69796.22378031016"/>
    <m/>
    <m/>
    <m/>
    <m/>
    <m/>
    <m/>
    <m/>
    <m/>
    <m/>
    <m/>
    <m/>
    <m/>
    <n v="140944.69620000001"/>
    <n v="-63993.593300000008"/>
    <m/>
    <m/>
    <m/>
    <m/>
    <n v="-76185.235619999992"/>
    <n v="0"/>
    <n v="31"/>
    <n v="-591.45678504589887"/>
    <n v="0"/>
    <n v="0"/>
    <n v="0"/>
    <n v="0"/>
    <n v="0"/>
    <n v="0"/>
    <n v="0"/>
    <n v="-77.184614115561999"/>
    <n v="0"/>
    <n v="0"/>
    <n v="-8.598777640145272E-6"/>
    <n v="0"/>
    <n v="0"/>
    <n v="0"/>
    <n v="-1.1861993698403239E-6"/>
    <n v="0"/>
    <n v="-437.35800212890717"/>
    <m/>
    <n v="0"/>
    <n v="0"/>
    <n v="0"/>
    <n v="0"/>
    <n v="-58.409718050877018"/>
    <n v="-18.504440965569643"/>
    <n v="0"/>
    <n v="0"/>
    <m/>
    <m/>
    <m/>
    <n v="123288.27194607707"/>
    <n v="0"/>
    <n v="0"/>
    <n v="-76185.235619999978"/>
    <n v="0"/>
    <n v="0"/>
    <n v="0"/>
    <n v="-75593.60252071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1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3.8889999999999998"/>
    <n v="3.8889999999999998"/>
    <n v="3.8889999999999998"/>
    <n v="3.8889999999999998"/>
    <m/>
    <n v="739.04"/>
    <n v="252.22"/>
    <m/>
    <n v="3855.0101399999994"/>
    <n v="3855.0101399999994"/>
    <n v="2636.6253299999998"/>
    <n v="0"/>
    <n v="240.54692610842631"/>
    <n v="0"/>
    <n v="0"/>
    <n v="0"/>
    <n v="480.28209210545788"/>
    <n v="1971.6754377381742"/>
    <n v="980.89434271789355"/>
    <n v="0"/>
    <n v="0"/>
    <n v="0"/>
    <n v="0"/>
    <n v="0"/>
    <n v="37.182842496573159"/>
    <m/>
    <n v="9.1130880188832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31483032253874"/>
    <n v="0"/>
    <n v="0"/>
    <n v="0"/>
    <n v="0"/>
    <n v="0"/>
    <m/>
    <m/>
    <m/>
    <m/>
    <m/>
    <n v="382.59981999999997"/>
    <m/>
    <m/>
    <m/>
    <n v="1116.2091730404322"/>
    <m/>
    <m/>
    <m/>
    <m/>
    <m/>
    <m/>
    <m/>
    <m/>
    <m/>
    <m/>
    <m/>
    <m/>
    <n v="2254.6051000000002"/>
    <n v="-1022.8796500000003"/>
    <m/>
    <m/>
    <m/>
    <m/>
    <n v="-1218.3848099999998"/>
    <n v="0"/>
    <n v="31"/>
    <n v="-9.4588138608078225"/>
    <n v="0"/>
    <n v="0"/>
    <n v="0"/>
    <n v="0"/>
    <n v="0"/>
    <n v="0"/>
    <n v="0"/>
    <n v="-1.234367271280405"/>
    <n v="0"/>
    <n v="0"/>
    <n v="-1.3751514416071586E-7"/>
    <n v="0"/>
    <n v="0"/>
    <n v="0"/>
    <n v="-1.8970183646160876E-8"/>
    <n v="0"/>
    <n v="-6.9944043880586264"/>
    <m/>
    <n v="0"/>
    <n v="0"/>
    <n v="0"/>
    <n v="0"/>
    <n v="-0.93411161165838053"/>
    <n v="-0.29593043332497437"/>
    <n v="0"/>
    <n v="0"/>
    <m/>
    <m/>
    <m/>
    <n v="1971.6754377381742"/>
    <n v="0"/>
    <n v="0"/>
    <n v="-1218.3848099999998"/>
    <n v="0"/>
    <n v="0"/>
    <n v="0"/>
    <n v="-1208.923176451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2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273.72500000000002"/>
    <n v="109.49"/>
    <n v="273.72500000000002"/>
    <n v="109.49"/>
    <m/>
    <n v="739.04"/>
    <n v="252.22"/>
    <m/>
    <n v="271332.64350000001"/>
    <n v="271332.64350000001"/>
    <n v="185577.33825000003"/>
    <n v="0"/>
    <n v="16930.755296741838"/>
    <n v="0"/>
    <n v="0"/>
    <n v="0"/>
    <n v="33804.375330821924"/>
    <n v="138775.22735790224"/>
    <n v="69039.677027630605"/>
    <n v="0"/>
    <n v="0"/>
    <n v="0"/>
    <n v="0"/>
    <n v="0"/>
    <n v="2617.0927133902005"/>
    <m/>
    <n v="641.41939263790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24.0555232802581"/>
    <n v="0"/>
    <n v="0"/>
    <n v="0"/>
    <n v="0"/>
    <n v="0"/>
    <m/>
    <m/>
    <m/>
    <m/>
    <m/>
    <m/>
    <n v="122118.02915000002"/>
    <m/>
    <m/>
    <n v="78563.732550910863"/>
    <m/>
    <m/>
    <m/>
    <m/>
    <m/>
    <m/>
    <m/>
    <m/>
    <m/>
    <m/>
    <m/>
    <m/>
    <n v="63459.309099999999"/>
    <n v="-28813.41839999998"/>
    <m/>
    <m/>
    <m/>
    <m/>
    <n v="-85755.30524999999"/>
    <n v="0"/>
    <n v="31"/>
    <n v="-665.75310466691735"/>
    <n v="0"/>
    <n v="0"/>
    <n v="0"/>
    <n v="0"/>
    <n v="0"/>
    <n v="0"/>
    <n v="0"/>
    <n v="-86.880221478837484"/>
    <n v="0"/>
    <n v="0"/>
    <n v="-9.6789153758436441E-6"/>
    <n v="0"/>
    <n v="0"/>
    <n v="0"/>
    <n v="-1.3352055248105898E-6"/>
    <n v="0"/>
    <n v="-492.29707922894158"/>
    <m/>
    <n v="0"/>
    <n v="0"/>
    <n v="0"/>
    <n v="0"/>
    <n v="-65.74690174882744"/>
    <n v="-20.828891196163227"/>
    <n v="0"/>
    <n v="0"/>
    <m/>
    <m/>
    <m/>
    <n v="138775.22735790224"/>
    <n v="0"/>
    <n v="0"/>
    <n v="-85755.305250000005"/>
    <n v="0"/>
    <n v="0"/>
    <n v="0"/>
    <n v="-85089.353683239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3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26.376999999999999"/>
    <n v="26.376999999999999"/>
    <n v="26.376999999999999"/>
    <n v="26.376999999999999"/>
    <m/>
    <n v="739.04"/>
    <n v="252.22"/>
    <m/>
    <n v="26146.465019999996"/>
    <n v="26146.465019999996"/>
    <n v="17882.814689999999"/>
    <n v="0"/>
    <n v="1631.5007122555826"/>
    <n v="0"/>
    <n v="0"/>
    <n v="0"/>
    <n v="3257.4956912999901"/>
    <n v="13372.816410701935"/>
    <n v="6652.8799377397472"/>
    <n v="0"/>
    <n v="0"/>
    <n v="0"/>
    <n v="0"/>
    <n v="0"/>
    <n v="252.19126678634873"/>
    <m/>
    <n v="61.809185568033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7.76787848228446"/>
    <n v="0"/>
    <n v="0"/>
    <n v="0"/>
    <n v="0"/>
    <n v="0"/>
    <m/>
    <m/>
    <m/>
    <m/>
    <m/>
    <n v="2594.9692599999998"/>
    <m/>
    <m/>
    <m/>
    <n v="7570.6478162220319"/>
    <m/>
    <m/>
    <m/>
    <m/>
    <m/>
    <m/>
    <m/>
    <m/>
    <m/>
    <m/>
    <m/>
    <m/>
    <n v="15289.584199999999"/>
    <n v="-6939.6625499999991"/>
    <m/>
    <m/>
    <m/>
    <m/>
    <n v="-8263.6503299999986"/>
    <n v="0"/>
    <n v="31"/>
    <n v="-64.154058422866001"/>
    <n v="0"/>
    <n v="0"/>
    <n v="0"/>
    <n v="0"/>
    <n v="0"/>
    <n v="0"/>
    <n v="0"/>
    <n v="-8.3720507880075274"/>
    <n v="0"/>
    <n v="0"/>
    <n v="-9.3269136414164677E-7"/>
    <n v="0"/>
    <n v="0"/>
    <n v="0"/>
    <n v="-1.2866451015725033E-7"/>
    <n v="0"/>
    <n v="-47.439291474369384"/>
    <m/>
    <n v="0"/>
    <n v="0"/>
    <n v="0"/>
    <n v="0"/>
    <n v="-6.3355777785325529"/>
    <n v="-2.0071373205998526"/>
    <n v="0"/>
    <n v="0"/>
    <m/>
    <m/>
    <m/>
    <n v="13372.816410701935"/>
    <n v="0"/>
    <n v="0"/>
    <n v="-8263.6503299999986"/>
    <n v="0"/>
    <n v="0"/>
    <n v="0"/>
    <n v="-8199.477147146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4"/>
    <s v="Regular"/>
    <s v="Verde"/>
    <s v="A4"/>
    <s v="Rural"/>
    <s v="Agropecuária rural"/>
    <s v="Não se aplica"/>
    <s v="Não se aplica"/>
    <s v="Ponta"/>
    <s v="CATIVO"/>
    <x v="6"/>
    <n v="0"/>
    <n v="0"/>
    <n v="78.616"/>
    <n v="75.471360000000004"/>
    <n v="78.616"/>
    <n v="75.471360000000004"/>
    <m/>
    <n v="2641.06"/>
    <n v="252.22"/>
    <m/>
    <n v="227458.10047999999"/>
    <n v="227458.10047999999"/>
    <n v="135010.40143999999"/>
    <n v="0"/>
    <n v="4230.5035521619529"/>
    <n v="0"/>
    <n v="0"/>
    <n v="0"/>
    <n v="50924.849728232657"/>
    <n v="150320.89422449007"/>
    <n v="19828.745087968608"/>
    <n v="0"/>
    <n v="0"/>
    <n v="0"/>
    <n v="0"/>
    <n v="0"/>
    <n v="751.64987032928661"/>
    <m/>
    <n v="189.142716916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2.482089473923"/>
    <n v="0"/>
    <n v="0"/>
    <n v="0"/>
    <n v="0"/>
    <n v="0"/>
    <m/>
    <m/>
    <m/>
    <m/>
    <m/>
    <n v="5400.4160575999913"/>
    <m/>
    <m/>
    <m/>
    <n v="21041.227177442532"/>
    <m/>
    <m/>
    <m/>
    <m/>
    <m/>
    <m/>
    <m/>
    <m/>
    <m/>
    <m/>
    <m/>
    <m/>
    <n v="129607.64979999998"/>
    <n v="-88752.156660800043"/>
    <m/>
    <m/>
    <m/>
    <m/>
    <n v="-92447.699040000007"/>
    <n v="0"/>
    <n v="31"/>
    <n v="-278.9171683723398"/>
    <n v="0"/>
    <n v="0"/>
    <n v="0"/>
    <n v="0"/>
    <n v="0"/>
    <n v="0"/>
    <n v="0"/>
    <n v="-130.88134834240918"/>
    <n v="0"/>
    <n v="0"/>
    <n v="-2.779863280011341E-6"/>
    <n v="0"/>
    <n v="0"/>
    <n v="0"/>
    <n v="-1.6998365026665851E-7"/>
    <n v="0"/>
    <n v="-123.01072845803628"/>
    <m/>
    <n v="0"/>
    <n v="0"/>
    <n v="0"/>
    <n v="0"/>
    <n v="-18.883033803583203"/>
    <n v="-6.1420548184569839"/>
    <n v="0"/>
    <n v="0"/>
    <m/>
    <m/>
    <m/>
    <n v="150320.89422449007"/>
    <n v="0"/>
    <n v="0"/>
    <n v="-92447.699039999992"/>
    <n v="0"/>
    <n v="0"/>
    <n v="0"/>
    <n v="-92168.523000586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5"/>
    <s v="Regular"/>
    <s v="Verde"/>
    <s v="A4"/>
    <s v="Rural"/>
    <s v="Agropecuária rural"/>
    <s v="Não se aplica"/>
    <s v="Não se aplica"/>
    <s v="Fora ponta"/>
    <s v="CATIVO"/>
    <x v="6"/>
    <n v="0"/>
    <n v="0"/>
    <n v="578.43700000000001"/>
    <n v="555.29952000000003"/>
    <n v="578.43700000000001"/>
    <n v="555.29952000000003"/>
    <m/>
    <n v="81.2"/>
    <n v="252.22"/>
    <m/>
    <n v="192862.46453999999"/>
    <n v="192862.46453999999"/>
    <n v="191775.00297999999"/>
    <n v="0"/>
    <n v="31126.994291262643"/>
    <n v="0"/>
    <n v="0"/>
    <n v="0"/>
    <n v="0"/>
    <n v="0"/>
    <n v="145894.98095106974"/>
    <n v="0"/>
    <n v="0"/>
    <n v="0"/>
    <n v="0"/>
    <n v="0"/>
    <n v="5530.4530381049863"/>
    <m/>
    <n v="1391.6651285374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21.142037104757"/>
    <n v="0"/>
    <n v="0"/>
    <n v="0"/>
    <n v="0"/>
    <n v="0"/>
    <m/>
    <m/>
    <m/>
    <m/>
    <m/>
    <n v="7671.0001191999936"/>
    <m/>
    <m/>
    <m/>
    <n v="154816.12298817449"/>
    <m/>
    <m/>
    <m/>
    <m/>
    <m/>
    <m/>
    <m/>
    <m/>
    <m/>
    <m/>
    <m/>
    <m/>
    <n v="184104.16199999995"/>
    <n v="-1043.8339584000641"/>
    <m/>
    <m/>
    <m/>
    <m/>
    <n v="-1087.4615600000056"/>
    <n v="0"/>
    <n v="31"/>
    <n v="-1089.2107920862036"/>
    <n v="0"/>
    <n v="0"/>
    <n v="0"/>
    <n v="0"/>
    <n v="0"/>
    <n v="0"/>
    <n v="0"/>
    <n v="0"/>
    <n v="0"/>
    <n v="0"/>
    <n v="-2.0453531760722399E-5"/>
    <n v="0"/>
    <n v="0"/>
    <n v="0"/>
    <n v="-1.2506970961112529E-6"/>
    <n v="0"/>
    <n v="-905.08238446476025"/>
    <m/>
    <n v="0"/>
    <n v="0"/>
    <n v="0"/>
    <n v="0"/>
    <n v="-138.93667223266675"/>
    <n v="-45.191713684539764"/>
    <n v="0"/>
    <n v="0"/>
    <m/>
    <m/>
    <m/>
    <n v="0"/>
    <n v="0"/>
    <n v="0"/>
    <n v="-1087.46156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6"/>
    <s v="Sistema de Compensação"/>
    <s v="Verde"/>
    <s v="A4"/>
    <s v="Rural"/>
    <s v="Agropecuária rural"/>
    <s v="Não se aplica"/>
    <s v="Não se aplica"/>
    <s v="Fora ponta"/>
    <s v="CATIVO"/>
    <x v="6"/>
    <n v="0"/>
    <n v="0"/>
    <n v="31.791"/>
    <n v="30.519359999999999"/>
    <n v="31.791"/>
    <n v="30.519359999999999"/>
    <m/>
    <n v="81.2"/>
    <n v="252.22"/>
    <m/>
    <n v="10599.755220000001"/>
    <n v="10599.755220000001"/>
    <n v="10539.988140000001"/>
    <n v="0"/>
    <n v="1710.7451209267917"/>
    <n v="0"/>
    <n v="0"/>
    <n v="0"/>
    <n v="0"/>
    <n v="0"/>
    <n v="8018.4140008600043"/>
    <n v="0"/>
    <n v="0"/>
    <n v="0"/>
    <n v="0"/>
    <n v="0"/>
    <n v="303.95467878852082"/>
    <m/>
    <n v="76.48616202167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0.30754689205105"/>
    <n v="0"/>
    <n v="0"/>
    <n v="0"/>
    <n v="0"/>
    <n v="0"/>
    <m/>
    <m/>
    <m/>
    <m/>
    <m/>
    <n v="421.59952560000045"/>
    <m/>
    <m/>
    <m/>
    <n v="8508.7215477520549"/>
    <m/>
    <m/>
    <m/>
    <m/>
    <m/>
    <m/>
    <m/>
    <m/>
    <m/>
    <m/>
    <m/>
    <m/>
    <n v="10118.6008"/>
    <n v="-57.1942111999997"/>
    <m/>
    <m/>
    <m/>
    <m/>
    <n v="-59.767080000000306"/>
    <n v="0"/>
    <n v="31"/>
    <n v="-59.863218105363558"/>
    <n v="0"/>
    <n v="0"/>
    <n v="0"/>
    <n v="0"/>
    <n v="0"/>
    <n v="0"/>
    <n v="0"/>
    <n v="0"/>
    <n v="0"/>
    <n v="0"/>
    <n v="-1.1241309039178304E-6"/>
    <n v="0"/>
    <n v="0"/>
    <n v="0"/>
    <n v="-6.87384726916207E-8"/>
    <n v="0"/>
    <n v="-49.743488200995444"/>
    <m/>
    <n v="0"/>
    <n v="0"/>
    <n v="0"/>
    <n v="0"/>
    <n v="-7.6359841209132924"/>
    <n v="-2.4837445905867241"/>
    <n v="0"/>
    <n v="0"/>
    <m/>
    <m/>
    <m/>
    <n v="0"/>
    <n v="0"/>
    <n v="0"/>
    <n v="-59.7670800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37"/>
    <s v="Regular"/>
    <s v="Verde"/>
    <s v="A4"/>
    <s v="Rural"/>
    <s v="Agropecuária rural"/>
    <s v="Não se aplica"/>
    <s v="Não se aplica"/>
    <s v="Não se aplica"/>
    <s v="CATIVO"/>
    <x v="6"/>
    <n v="4701"/>
    <n v="4512.96"/>
    <n v="0"/>
    <n v="0"/>
    <n v="0"/>
    <n v="0"/>
    <n v="74.44"/>
    <m/>
    <m/>
    <n v="349942.44"/>
    <m/>
    <n v="349942.44"/>
    <n v="213519.42"/>
    <n v="0"/>
    <n v="0"/>
    <n v="0"/>
    <n v="0"/>
    <n v="0"/>
    <n v="127947.55198565392"/>
    <n v="221988.449828571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7.43"/>
    <n v="24"/>
    <m/>
    <m/>
    <m/>
    <m/>
    <m/>
    <n v="8540.7767999999978"/>
    <m/>
    <m/>
    <m/>
    <n v="0"/>
    <m/>
    <m/>
    <m/>
    <m/>
    <m/>
    <m/>
    <m/>
    <m/>
    <m/>
    <m/>
    <m/>
    <m/>
    <n v="204978.64320000002"/>
    <n v="-130966.1292"/>
    <m/>
    <m/>
    <m/>
    <m/>
    <n v="-136423.01999999999"/>
    <n v="0"/>
    <n v="31"/>
    <n v="-328.83647591217596"/>
    <n v="0"/>
    <n v="0"/>
    <n v="0"/>
    <n v="0"/>
    <m/>
    <m/>
    <m/>
    <n v="-328.836475912175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1988.44982857173"/>
    <m/>
    <n v="0"/>
    <n v="0"/>
    <n v="-136423.01999999999"/>
    <m/>
    <n v="0"/>
    <m/>
    <n v="-136111.1351116211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38"/>
    <s v="Sistema de Compensação"/>
    <s v="Verde"/>
    <s v="A4"/>
    <s v="Rural"/>
    <s v="Agropecuária rural"/>
    <s v="Não se aplica"/>
    <s v="Não se aplica"/>
    <s v="Não se aplica"/>
    <s v="CATIVO"/>
    <x v="6"/>
    <n v="130"/>
    <n v="124.8"/>
    <n v="0"/>
    <n v="0"/>
    <n v="0"/>
    <n v="0"/>
    <n v="74.44"/>
    <m/>
    <m/>
    <n v="9677.1999999999989"/>
    <m/>
    <n v="9677.1999999999989"/>
    <n v="5904.6"/>
    <n v="0"/>
    <n v="0"/>
    <n v="0"/>
    <n v="0"/>
    <n v="0"/>
    <n v="3538.222028958734"/>
    <n v="6138.79993144316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8.61"/>
    <n v="1"/>
    <m/>
    <m/>
    <m/>
    <m/>
    <m/>
    <n v="236.18400000000014"/>
    <m/>
    <m/>
    <m/>
    <n v="0"/>
    <m/>
    <m/>
    <m/>
    <m/>
    <m/>
    <m/>
    <m/>
    <m/>
    <m/>
    <m/>
    <m/>
    <m/>
    <n v="5668.4160000000002"/>
    <n v="-3621.7259999999997"/>
    <m/>
    <m/>
    <m/>
    <m/>
    <n v="-3772.5999999999995"/>
    <n v="0"/>
    <n v="31"/>
    <n v="-9.0935421971030337"/>
    <n v="0"/>
    <n v="0"/>
    <n v="0"/>
    <n v="0"/>
    <m/>
    <m/>
    <m/>
    <n v="-9.09354219710303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38.7999314431663"/>
    <m/>
    <n v="0"/>
    <n v="0"/>
    <n v="-3772.5999999999985"/>
    <m/>
    <n v="0"/>
    <m/>
    <n v="-3763.975231761485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39"/>
    <s v="Regular"/>
    <s v="Verde"/>
    <s v="A4"/>
    <s v="Rural"/>
    <s v="Agropecuária rural"/>
    <s v="IRRIG./AQUIC. PR"/>
    <s v="Não se aplica"/>
    <s v="Fora ponta"/>
    <s v="CATIVO"/>
    <x v="6"/>
    <n v="0"/>
    <n v="0"/>
    <n v="465.23399999999998"/>
    <n v="139.5702"/>
    <n v="465.23399999999998"/>
    <n v="139.5702"/>
    <m/>
    <n v="81.2"/>
    <n v="252.22"/>
    <m/>
    <n v="155118.32027999999"/>
    <n v="155118.32027999999"/>
    <n v="154243.68036"/>
    <n v="0"/>
    <n v="25035.286577624327"/>
    <n v="0"/>
    <n v="0"/>
    <n v="0"/>
    <n v="0"/>
    <n v="0"/>
    <n v="117342.60700437555"/>
    <n v="0"/>
    <n v="0"/>
    <n v="0"/>
    <n v="0"/>
    <n v="0"/>
    <n v="4448.1158513887167"/>
    <m/>
    <n v="1119.3093360383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5.2301365410476"/>
    <n v="0"/>
    <n v="0"/>
    <n v="0"/>
    <n v="0"/>
    <n v="0"/>
    <m/>
    <m/>
    <m/>
    <m/>
    <m/>
    <m/>
    <n v="107970.57625199998"/>
    <m/>
    <m/>
    <n v="124517.8371409166"/>
    <m/>
    <m/>
    <m/>
    <m/>
    <m/>
    <m/>
    <m/>
    <m/>
    <m/>
    <m/>
    <m/>
    <m/>
    <n v="46273.037799999998"/>
    <n v="-262.48828400000639"/>
    <m/>
    <m/>
    <m/>
    <m/>
    <n v="-874.63992000000451"/>
    <n v="0"/>
    <n v="31"/>
    <n v="-876.04681866033934"/>
    <n v="0"/>
    <n v="0"/>
    <n v="0"/>
    <n v="0"/>
    <n v="0"/>
    <n v="0"/>
    <n v="0"/>
    <n v="0"/>
    <n v="0"/>
    <n v="0"/>
    <n v="-1.6450692783109844E-5"/>
    <n v="0"/>
    <n v="0"/>
    <n v="0"/>
    <n v="-1.0059284250019118E-6"/>
    <n v="0"/>
    <n v="-727.95325688722733"/>
    <m/>
    <n v="0"/>
    <n v="0"/>
    <n v="0"/>
    <n v="0"/>
    <n v="-111.7460739363014"/>
    <n v="-36.347470380202594"/>
    <n v="0"/>
    <n v="0"/>
    <m/>
    <m/>
    <m/>
    <n v="0"/>
    <n v="0"/>
    <n v="0"/>
    <n v="-874.63992000000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0"/>
    <s v="Regular"/>
    <s v="Convencional"/>
    <s v="B1"/>
    <s v="Residencial"/>
    <s v="Residencial"/>
    <s v="Não se aplica"/>
    <s v="Não se aplica"/>
    <s v="Não se aplica"/>
    <s v="CATIVO"/>
    <x v="7"/>
    <n v="0"/>
    <n v="0"/>
    <n v="1460.9549999999999"/>
    <n v="1460.9549999999999"/>
    <n v="1460.9549999999999"/>
    <n v="1460.9549999999999"/>
    <m/>
    <n v="739.04"/>
    <n v="252.22"/>
    <m/>
    <n v="1448186.2532999997"/>
    <n v="1448186.2532999997"/>
    <n v="990483.66134999995"/>
    <n v="0"/>
    <n v="90364.678434748261"/>
    <n v="0"/>
    <n v="0"/>
    <n v="0"/>
    <n v="180424.40829825899"/>
    <n v="740686.31759855337"/>
    <n v="368486.11325930065"/>
    <n v="0"/>
    <n v="0"/>
    <n v="0"/>
    <n v="0"/>
    <n v="0"/>
    <n v="13968.233391509653"/>
    <m/>
    <n v="3423.453717312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32.830530692874"/>
    <n v="0"/>
    <n v="0"/>
    <n v="0"/>
    <n v="390802.87"/>
    <n v="8201"/>
    <m/>
    <m/>
    <m/>
    <m/>
    <m/>
    <m/>
    <m/>
    <m/>
    <m/>
    <n v="419318.94378999353"/>
    <m/>
    <m/>
    <m/>
    <m/>
    <m/>
    <m/>
    <m/>
    <m/>
    <m/>
    <m/>
    <m/>
    <m/>
    <n v="990487.05119999999"/>
    <n v="-457699.23209999979"/>
    <m/>
    <m/>
    <m/>
    <m/>
    <n v="-457702.59194999991"/>
    <n v="0"/>
    <n v="29"/>
    <n v="-3553.3302658823086"/>
    <n v="0"/>
    <n v="0"/>
    <n v="0"/>
    <n v="0"/>
    <n v="0"/>
    <n v="0"/>
    <n v="0"/>
    <n v="-463.70661784865661"/>
    <n v="0"/>
    <n v="0"/>
    <n v="-5.1659415476024151E-5"/>
    <n v="0"/>
    <n v="0"/>
    <n v="0"/>
    <n v="-7.1264003054238856E-6"/>
    <n v="0"/>
    <n v="-2627.5418006573018"/>
    <m/>
    <n v="0"/>
    <n v="0"/>
    <n v="0"/>
    <n v="0"/>
    <n v="-350.91155299829552"/>
    <n v="-111.17023559225709"/>
    <n v="0"/>
    <n v="0"/>
    <m/>
    <m/>
    <m/>
    <n v="740686.31759855337"/>
    <n v="0"/>
    <n v="0"/>
    <n v="-457702.59194999991"/>
    <n v="0"/>
    <n v="0"/>
    <n v="0"/>
    <n v="-454148.20243052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45.277999999999999"/>
    <n v="45.277999999999999"/>
    <n v="45.277999999999999"/>
    <n v="45.277999999999999"/>
    <m/>
    <n v="739.04"/>
    <n v="252.22"/>
    <m/>
    <n v="44882.270279999997"/>
    <n v="44882.270279999997"/>
    <n v="30697.125659999998"/>
    <n v="0"/>
    <n v="2800.5872255945815"/>
    <n v="0"/>
    <n v="0"/>
    <n v="0"/>
    <n v="5591.7234678197283"/>
    <n v="22955.392252483685"/>
    <n v="11420.142465821749"/>
    <n v="0"/>
    <n v="0"/>
    <n v="0"/>
    <n v="0"/>
    <n v="0"/>
    <n v="432.90427939311894"/>
    <m/>
    <n v="106.0998712571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5.413959203885"/>
    <n v="0"/>
    <n v="0"/>
    <n v="0"/>
    <n v="35332.339999999997"/>
    <n v="506"/>
    <m/>
    <m/>
    <m/>
    <m/>
    <m/>
    <m/>
    <m/>
    <m/>
    <m/>
    <n v="12995.556425025634"/>
    <m/>
    <m/>
    <m/>
    <m/>
    <m/>
    <m/>
    <m/>
    <m/>
    <m/>
    <m/>
    <m/>
    <m/>
    <n v="30698.481599999999"/>
    <n v="-14183.818680000004"/>
    <m/>
    <m/>
    <m/>
    <m/>
    <n v="-14185.144619999997"/>
    <n v="0"/>
    <n v="29"/>
    <n v="-110.12501259697819"/>
    <n v="0"/>
    <n v="0"/>
    <n v="0"/>
    <n v="0"/>
    <n v="0"/>
    <n v="0"/>
    <n v="0"/>
    <n v="-14.371221730273646"/>
    <n v="0"/>
    <n v="0"/>
    <n v="-1.6010308172553778E-6"/>
    <n v="0"/>
    <n v="0"/>
    <n v="0"/>
    <n v="-2.2086169337853789E-7"/>
    <n v="0"/>
    <n v="-81.43292411481616"/>
    <m/>
    <n v="0"/>
    <n v="0"/>
    <n v="0"/>
    <n v="0"/>
    <n v="-10.875470700094695"/>
    <n v="-3.4453942299018081"/>
    <n v="0"/>
    <n v="0"/>
    <m/>
    <m/>
    <m/>
    <n v="22955.392252483685"/>
    <n v="0"/>
    <n v="0"/>
    <n v="-14185.144619999995"/>
    <n v="0"/>
    <n v="0"/>
    <n v="0"/>
    <n v="-14074.986778955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9.33"/>
    <n v="9.33"/>
    <n v="9.33"/>
    <n v="9.33"/>
    <m/>
    <n v="667.62"/>
    <n v="252.22"/>
    <m/>
    <n v="8582.1072000000004"/>
    <n v="8582.1072000000004"/>
    <n v="5678.1446999999998"/>
    <n v="0"/>
    <n v="0"/>
    <n v="0"/>
    <n v="0"/>
    <n v="0"/>
    <n v="1152.2324297618725"/>
    <n v="4730.1958945994256"/>
    <n v="2353.2384205600274"/>
    <n v="0"/>
    <n v="0"/>
    <n v="0"/>
    <n v="0"/>
    <n v="0"/>
    <n v="0"/>
    <m/>
    <n v="21.86297537057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63033348143136"/>
    <n v="0"/>
    <n v="0"/>
    <n v="0"/>
    <n v="625.46"/>
    <n v="8"/>
    <m/>
    <m/>
    <m/>
    <m/>
    <m/>
    <m/>
    <m/>
    <n v="3690.7613999999999"/>
    <m/>
    <n v="2677.8687540414589"/>
    <m/>
    <m/>
    <m/>
    <m/>
    <m/>
    <m/>
    <m/>
    <m/>
    <m/>
    <m/>
    <m/>
    <m/>
    <n v="1987.3833"/>
    <n v="-1016.4402000000005"/>
    <m/>
    <m/>
    <m/>
    <m/>
    <n v="-2903.9625000000001"/>
    <n v="0"/>
    <n v="29"/>
    <n v="-3.6712982884992016"/>
    <n v="0"/>
    <n v="0"/>
    <n v="0"/>
    <n v="0"/>
    <n v="0"/>
    <n v="0"/>
    <n v="0"/>
    <n v="-2.9613388123027562"/>
    <n v="0"/>
    <n v="0"/>
    <n v="-3.2990874387905933E-7"/>
    <n v="0"/>
    <n v="0"/>
    <n v="0"/>
    <n v="-4.5510887503041886E-8"/>
    <n v="0"/>
    <n v="0"/>
    <m/>
    <n v="0"/>
    <n v="0"/>
    <n v="0"/>
    <n v="0"/>
    <n v="0"/>
    <n v="-0.70995910077706625"/>
    <n v="0"/>
    <n v="0"/>
    <m/>
    <m/>
    <m/>
    <n v="4730.1958945994256"/>
    <n v="0"/>
    <n v="0"/>
    <n v="-2903.9625000000005"/>
    <n v="0"/>
    <n v="0"/>
    <n v="0"/>
    <n v="-2900.296538002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3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09"/>
    <n v="-8.5500000000000007E-2"/>
    <n v="0.09"/>
    <n v="-8.5500000000000007E-2"/>
    <m/>
    <n v="667.62"/>
    <n v="252.22"/>
    <m/>
    <n v="82.785600000000002"/>
    <n v="82.785600000000002"/>
    <n v="54.773099999999999"/>
    <n v="0"/>
    <n v="0"/>
    <n v="0"/>
    <n v="0"/>
    <n v="0"/>
    <n v="11.114782280661149"/>
    <n v="45.628899304817608"/>
    <n v="22.700049072926308"/>
    <n v="0"/>
    <n v="0"/>
    <n v="0"/>
    <n v="0"/>
    <n v="0"/>
    <n v="0"/>
    <m/>
    <n v="0.21089686852648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314823165411383"/>
    <n v="0"/>
    <n v="0"/>
    <n v="0"/>
    <n v="6.36"/>
    <n v="0"/>
    <m/>
    <m/>
    <m/>
    <m/>
    <m/>
    <m/>
    <m/>
    <n v="72.985454999999988"/>
    <m/>
    <n v="25.831531389467447"/>
    <m/>
    <m/>
    <m/>
    <m/>
    <m/>
    <m/>
    <m/>
    <m/>
    <m/>
    <m/>
    <m/>
    <m/>
    <n v="-19.1709"/>
    <n v="8.3258249999999983"/>
    <m/>
    <m/>
    <m/>
    <m/>
    <n v="-28.012499999999999"/>
    <n v="0"/>
    <n v="29"/>
    <n v="-3.541445294372636E-2"/>
    <n v="0"/>
    <n v="0"/>
    <n v="0"/>
    <n v="0"/>
    <n v="0"/>
    <n v="0"/>
    <n v="0"/>
    <n v="-2.8565969250509582E-2"/>
    <n v="0"/>
    <n v="0"/>
    <n v="-3.1824001212044095E-9"/>
    <n v="0"/>
    <n v="0"/>
    <n v="0"/>
    <n v="-4.39011493824637E-10"/>
    <n v="0"/>
    <n v="0"/>
    <m/>
    <n v="0"/>
    <n v="0"/>
    <n v="0"/>
    <n v="0"/>
    <n v="0"/>
    <n v="-6.8484800718044692E-3"/>
    <n v="0"/>
    <n v="0"/>
    <m/>
    <m/>
    <m/>
    <n v="45.628899304817608"/>
    <n v="0"/>
    <n v="0"/>
    <n v="-28.012500000000003"/>
    <n v="0"/>
    <n v="0"/>
    <n v="0"/>
    <n v="-27.977137022528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4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8.997"/>
    <n v="18.997"/>
    <n v="18.997"/>
    <n v="18.997"/>
    <m/>
    <n v="667.62"/>
    <n v="252.22"/>
    <m/>
    <n v="17474.20048"/>
    <n v="17474.20048"/>
    <n v="11561.38423"/>
    <n v="0"/>
    <n v="0"/>
    <n v="0"/>
    <n v="0"/>
    <n v="0"/>
    <n v="2346.083544285776"/>
    <n v="9631.2466677068896"/>
    <n v="4791.4759137597903"/>
    <n v="0"/>
    <n v="0"/>
    <n v="0"/>
    <n v="0"/>
    <n v="0"/>
    <n v="0"/>
    <m/>
    <n v="44.515642348862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.98632852591118"/>
    <n v="0"/>
    <n v="0"/>
    <n v="0"/>
    <n v="2291.16"/>
    <n v="70"/>
    <m/>
    <m/>
    <m/>
    <m/>
    <m/>
    <m/>
    <m/>
    <n v="4624.62968"/>
    <m/>
    <n v="5452.462242285701"/>
    <m/>
    <m/>
    <m/>
    <m/>
    <m/>
    <m/>
    <m/>
    <m/>
    <m/>
    <m/>
    <m/>
    <m/>
    <n v="6937.85"/>
    <n v="-3546.6242999999995"/>
    <m/>
    <m/>
    <m/>
    <m/>
    <n v="-5912.8162499999999"/>
    <n v="0"/>
    <n v="29"/>
    <n v="-7.4752040285775365"/>
    <n v="0"/>
    <n v="0"/>
    <n v="0"/>
    <n v="0"/>
    <n v="0"/>
    <n v="0"/>
    <n v="0"/>
    <n v="-6.02964130946566"/>
    <n v="0"/>
    <n v="0"/>
    <n v="-6.7173459683544934E-7"/>
    <n v="0"/>
    <n v="0"/>
    <n v="0"/>
    <n v="-9.2665572992700618E-8"/>
    <n v="0"/>
    <n v="0"/>
    <m/>
    <n v="0"/>
    <n v="0"/>
    <n v="0"/>
    <n v="0"/>
    <n v="0"/>
    <n v="-1.4455619547118914"/>
    <n v="0"/>
    <n v="0"/>
    <m/>
    <m/>
    <m/>
    <n v="9631.2466677068896"/>
    <n v="0"/>
    <n v="0"/>
    <n v="-5912.8162499999999"/>
    <n v="0"/>
    <n v="0"/>
    <n v="0"/>
    <n v="-5905.3519112996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5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14000000000000001"/>
    <n v="-2.8000000000000001E-2"/>
    <n v="0.14000000000000001"/>
    <n v="-2.8000000000000001E-2"/>
    <m/>
    <n v="667.62"/>
    <n v="252.22"/>
    <m/>
    <n v="128.77760000000001"/>
    <n v="128.77760000000001"/>
    <n v="85.202600000000004"/>
    <n v="0"/>
    <n v="0"/>
    <n v="0"/>
    <n v="0"/>
    <n v="0"/>
    <n v="17.289661325472899"/>
    <n v="70.97828780749407"/>
    <n v="35.311187446774262"/>
    <n v="0"/>
    <n v="0"/>
    <n v="0"/>
    <n v="0"/>
    <n v="0"/>
    <n v="0"/>
    <m/>
    <n v="0.32806179548563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711947146195493"/>
    <n v="0"/>
    <n v="0"/>
    <n v="0"/>
    <n v="21.14"/>
    <n v="0"/>
    <m/>
    <m/>
    <m/>
    <m/>
    <m/>
    <m/>
    <m/>
    <n v="95.426800000000014"/>
    <m/>
    <n v="40.182382161393811"/>
    <m/>
    <m/>
    <m/>
    <m/>
    <m/>
    <m/>
    <m/>
    <m/>
    <m/>
    <m/>
    <m/>
    <m/>
    <n v="-10.954499999999999"/>
    <n v="4.4687000000000037"/>
    <m/>
    <m/>
    <m/>
    <m/>
    <n v="-43.575000000000003"/>
    <n v="0"/>
    <n v="29"/>
    <n v="-5.5089149023565653E-2"/>
    <n v="0"/>
    <n v="0"/>
    <n v="0"/>
    <n v="0"/>
    <n v="0"/>
    <n v="0"/>
    <n v="0"/>
    <n v="-4.4435952167457771E-2"/>
    <n v="0"/>
    <n v="0"/>
    <n v="-4.9504009780321212E-9"/>
    <n v="0"/>
    <n v="0"/>
    <n v="0"/>
    <n v="-6.8290706423113079E-10"/>
    <n v="0"/>
    <n v="0"/>
    <m/>
    <n v="0"/>
    <n v="0"/>
    <n v="0"/>
    <n v="0"/>
    <n v="0"/>
    <n v="-1.0653191222807001E-2"/>
    <n v="0"/>
    <n v="0"/>
    <m/>
    <m/>
    <m/>
    <n v="70.97828780749407"/>
    <n v="0"/>
    <n v="0"/>
    <n v="-43.575000000000003"/>
    <n v="0"/>
    <n v="0"/>
    <n v="0"/>
    <n v="-43.51999092393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6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8.715"/>
    <n v="18.715"/>
    <n v="18.715"/>
    <n v="18.715"/>
    <m/>
    <n v="667.62"/>
    <n v="252.22"/>
    <m/>
    <n v="17214.8056"/>
    <n v="17214.8056"/>
    <n v="11389.761849999999"/>
    <n v="0"/>
    <n v="0"/>
    <n v="0"/>
    <n v="0"/>
    <n v="0"/>
    <n v="2311.2572264730379"/>
    <n v="9488.276116551795"/>
    <n v="4720.3490933312878"/>
    <n v="0"/>
    <n v="0"/>
    <n v="0"/>
    <n v="0"/>
    <n v="0"/>
    <n v="0"/>
    <m/>
    <n v="43.854832160812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.17435060074888"/>
    <n v="0"/>
    <n v="0"/>
    <n v="0"/>
    <n v="3416.71"/>
    <n v="138"/>
    <m/>
    <m/>
    <m/>
    <m/>
    <m/>
    <m/>
    <m/>
    <n v="1138.8077499999999"/>
    <m/>
    <n v="5371.5234439320366"/>
    <m/>
    <m/>
    <m/>
    <m/>
    <m/>
    <m/>
    <m/>
    <m/>
    <m/>
    <m/>
    <m/>
    <m/>
    <n v="10253.692800000001"/>
    <n v="-5239.7371000000003"/>
    <m/>
    <m/>
    <m/>
    <m/>
    <n v="-5825.0437499999998"/>
    <n v="0"/>
    <n v="29"/>
    <n v="-7.364238742687121"/>
    <n v="0"/>
    <n v="0"/>
    <n v="0"/>
    <n v="0"/>
    <n v="0"/>
    <n v="0"/>
    <n v="0"/>
    <n v="-5.9401346058143645"/>
    <n v="0"/>
    <n v="0"/>
    <n v="-6.6176289692521095E-7"/>
    <n v="0"/>
    <n v="0"/>
    <n v="0"/>
    <n v="-9.1289962256269064E-8"/>
    <n v="0"/>
    <n v="0"/>
    <m/>
    <n v="0"/>
    <n v="0"/>
    <n v="0"/>
    <n v="0"/>
    <n v="0"/>
    <n v="-1.4241033838202384"/>
    <n v="0"/>
    <n v="0"/>
    <m/>
    <m/>
    <m/>
    <n v="9488.276116551795"/>
    <n v="0"/>
    <n v="0"/>
    <n v="-5825.0437499999998"/>
    <n v="0"/>
    <n v="0"/>
    <n v="0"/>
    <n v="-5817.6902152957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7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.24"/>
    <n v="0.16800000000000001"/>
    <n v="0.24"/>
    <n v="0.16800000000000001"/>
    <m/>
    <n v="667.62"/>
    <n v="252.22"/>
    <m/>
    <n v="220.76159999999999"/>
    <n v="220.76159999999999"/>
    <n v="146.0616"/>
    <n v="0"/>
    <n v="0"/>
    <n v="0"/>
    <n v="0"/>
    <n v="0"/>
    <n v="29.639419415096398"/>
    <n v="121.67706481284695"/>
    <n v="60.533464194470156"/>
    <n v="0"/>
    <n v="0"/>
    <n v="0"/>
    <n v="0"/>
    <n v="0"/>
    <n v="0"/>
    <m/>
    <n v="0.56239164940395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3506195107763688"/>
    <n v="0"/>
    <n v="0"/>
    <n v="0"/>
    <n v="56.64"/>
    <n v="0"/>
    <m/>
    <m/>
    <m/>
    <m/>
    <m/>
    <m/>
    <m/>
    <n v="54.041279999999979"/>
    <m/>
    <n v="68.884083705246525"/>
    <m/>
    <m/>
    <m/>
    <m/>
    <m/>
    <m/>
    <m/>
    <m/>
    <m/>
    <m/>
    <m/>
    <m/>
    <n v="93.115800000000007"/>
    <n v="-45.994680000000017"/>
    <m/>
    <m/>
    <m/>
    <m/>
    <n v="-74.7"/>
    <n v="0"/>
    <n v="29"/>
    <n v="-9.4438541183265556E-2"/>
    <n v="0"/>
    <n v="0"/>
    <n v="0"/>
    <n v="0"/>
    <n v="0"/>
    <n v="0"/>
    <n v="0"/>
    <n v="-7.6175918001361254E-2"/>
    <n v="0"/>
    <n v="0"/>
    <n v="-8.4864026916875446E-9"/>
    <n v="0"/>
    <n v="0"/>
    <n v="0"/>
    <n v="-1.1706973168656987E-9"/>
    <n v="0"/>
    <n v="0"/>
    <m/>
    <n v="0"/>
    <n v="0"/>
    <n v="0"/>
    <n v="0"/>
    <n v="0"/>
    <n v="-1.8262613524811955E-2"/>
    <n v="0"/>
    <n v="0"/>
    <m/>
    <m/>
    <m/>
    <n v="121.67706481284695"/>
    <n v="0"/>
    <n v="0"/>
    <n v="-74.7"/>
    <n v="0"/>
    <n v="0"/>
    <n v="0"/>
    <n v="-74.605698726741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8.9809999999999999"/>
    <n v="8.9809999999999999"/>
    <n v="8.9809999999999999"/>
    <n v="8.9809999999999999"/>
    <m/>
    <n v="667.62"/>
    <n v="252.22"/>
    <m/>
    <n v="8261.0830400000013"/>
    <n v="8261.0830400000013"/>
    <n v="5465.7467900000001"/>
    <n v="0"/>
    <n v="0"/>
    <n v="0"/>
    <n v="0"/>
    <n v="0"/>
    <n v="1109.1317740290865"/>
    <n v="4553.257162850744"/>
    <n v="2265.212674710569"/>
    <n v="0"/>
    <n v="0"/>
    <n v="0"/>
    <n v="0"/>
    <n v="0"/>
    <n v="0"/>
    <m/>
    <n v="21.045164180403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.48714094284401"/>
    <n v="0"/>
    <n v="0"/>
    <n v="0"/>
    <n v="1821.48"/>
    <n v="95"/>
    <m/>
    <m/>
    <m/>
    <m/>
    <m/>
    <m/>
    <m/>
    <m/>
    <m/>
    <n v="2577.6998156534128"/>
    <m/>
    <m/>
    <m/>
    <m/>
    <m/>
    <m/>
    <m/>
    <m/>
    <m/>
    <m/>
    <m/>
    <m/>
    <n v="5465.1382000000003"/>
    <n v="-2795.9748400000017"/>
    <m/>
    <m/>
    <m/>
    <m/>
    <n v="-2795.3362499999998"/>
    <n v="0"/>
    <n v="29"/>
    <n v="-3.5339689098623239"/>
    <n v="0"/>
    <n v="0"/>
    <n v="0"/>
    <n v="0"/>
    <n v="0"/>
    <n v="0"/>
    <n v="0"/>
    <n v="-2.8505663315424954"/>
    <n v="0"/>
    <n v="0"/>
    <n v="-3.1756871976540424E-7"/>
    <n v="0"/>
    <n v="0"/>
    <n v="0"/>
    <n v="-4.3808427108160686E-8"/>
    <n v="0"/>
    <n v="0"/>
    <m/>
    <n v="0"/>
    <n v="0"/>
    <n v="0"/>
    <n v="0"/>
    <n v="0"/>
    <n v="-0.68340221694306535"/>
    <n v="0"/>
    <n v="0"/>
    <m/>
    <m/>
    <m/>
    <n v="4553.257162850744"/>
    <n v="0"/>
    <n v="0"/>
    <n v="-2795.3362500000003"/>
    <n v="0"/>
    <n v="0"/>
    <n v="0"/>
    <n v="-2791.807417770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49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7.6999999999999999E-2"/>
    <n v="7.6999999999999999E-2"/>
    <n v="7.6999999999999999E-2"/>
    <n v="7.6999999999999999E-2"/>
    <m/>
    <n v="667.62"/>
    <n v="252.22"/>
    <m/>
    <n v="70.827680000000001"/>
    <n v="70.827680000000001"/>
    <n v="46.861429999999999"/>
    <n v="0"/>
    <n v="0"/>
    <n v="0"/>
    <n v="0"/>
    <n v="0"/>
    <n v="9.5093137290100938"/>
    <n v="39.038058294121733"/>
    <n v="19.421153095725842"/>
    <n v="0"/>
    <n v="0"/>
    <n v="0"/>
    <n v="0"/>
    <n v="0"/>
    <n v="0"/>
    <m/>
    <n v="0.18043398751710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791570930407516"/>
    <n v="0"/>
    <n v="0"/>
    <n v="0"/>
    <n v="81.650000000000006"/>
    <n v="3"/>
    <m/>
    <m/>
    <m/>
    <m/>
    <m/>
    <m/>
    <m/>
    <m/>
    <m/>
    <n v="22.100310188766592"/>
    <m/>
    <m/>
    <m/>
    <m/>
    <m/>
    <m/>
    <m/>
    <m/>
    <m/>
    <m/>
    <m/>
    <m/>
    <n v="48.687200000000004"/>
    <n v="-22.170479999999998"/>
    <m/>
    <m/>
    <m/>
    <m/>
    <n v="-23.966249999999999"/>
    <n v="0"/>
    <n v="29"/>
    <n v="-3.029903196296857E-2"/>
    <n v="0"/>
    <n v="0"/>
    <n v="0"/>
    <n v="0"/>
    <n v="0"/>
    <n v="0"/>
    <n v="0"/>
    <n v="-2.4439773692101596E-2"/>
    <n v="0"/>
    <n v="0"/>
    <n v="-2.7227216037317703E-9"/>
    <n v="0"/>
    <n v="0"/>
    <n v="0"/>
    <n v="-3.7559866328251701E-10"/>
    <n v="0"/>
    <n v="0"/>
    <m/>
    <n v="0"/>
    <n v="0"/>
    <n v="0"/>
    <n v="0"/>
    <n v="0"/>
    <n v="-5.859255172543848E-3"/>
    <n v="0"/>
    <n v="0"/>
    <m/>
    <m/>
    <m/>
    <n v="39.038058294121733"/>
    <n v="0"/>
    <n v="0"/>
    <n v="-23.966249999999999"/>
    <n v="0"/>
    <n v="0"/>
    <n v="0"/>
    <n v="-23.935995008163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0"/>
    <s v="Regular"/>
    <s v="Convencional"/>
    <s v="B3"/>
    <s v="Industrial"/>
    <s v="Não se aplica"/>
    <s v="Não se aplica"/>
    <s v="Não se aplica"/>
    <s v="Não se aplica"/>
    <s v="CATIVO"/>
    <x v="7"/>
    <n v="0"/>
    <n v="0"/>
    <n v="55.802999999999997"/>
    <n v="55.802999999999997"/>
    <n v="55.802999999999997"/>
    <n v="55.802999999999997"/>
    <m/>
    <n v="739.04"/>
    <n v="252.22"/>
    <m/>
    <n v="55315.28177999999"/>
    <n v="55315.28177999999"/>
    <n v="37832.759909999993"/>
    <n v="0"/>
    <n v="3451.5916990559303"/>
    <n v="0"/>
    <n v="0"/>
    <n v="0"/>
    <n v="6891.5355067526007"/>
    <n v="28291.438532297077"/>
    <n v="14074.787093516743"/>
    <n v="0"/>
    <n v="0"/>
    <n v="0"/>
    <n v="0"/>
    <n v="0"/>
    <n v="533.53411155471122"/>
    <m/>
    <n v="130.76308838203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1.6234189993904"/>
    <n v="0"/>
    <n v="0"/>
    <n v="0"/>
    <n v="9371.75"/>
    <n v="17"/>
    <m/>
    <m/>
    <m/>
    <m/>
    <m/>
    <m/>
    <m/>
    <m/>
    <m/>
    <n v="16016.410512516133"/>
    <m/>
    <m/>
    <m/>
    <m/>
    <m/>
    <m/>
    <m/>
    <m/>
    <m/>
    <m/>
    <m/>
    <m/>
    <n v="37830.725999999995"/>
    <n v="-17484.585780000001"/>
    <m/>
    <m/>
    <m/>
    <m/>
    <n v="-17482.521869999997"/>
    <n v="0"/>
    <n v="29"/>
    <n v="-135.72388528533338"/>
    <n v="0"/>
    <n v="0"/>
    <n v="0"/>
    <n v="0"/>
    <n v="0"/>
    <n v="0"/>
    <n v="0"/>
    <n v="-17.711853134291232"/>
    <n v="0"/>
    <n v="0"/>
    <n v="-1.97319604922086E-6"/>
    <n v="0"/>
    <n v="0"/>
    <n v="0"/>
    <n v="-2.7220175979891792E-7"/>
    <n v="0"/>
    <n v="-100.36223915321079"/>
    <m/>
    <n v="0"/>
    <n v="0"/>
    <n v="0"/>
    <n v="0"/>
    <n v="-13.403504825243658"/>
    <n v="-4.2462859271878557"/>
    <n v="0"/>
    <n v="0"/>
    <m/>
    <m/>
    <m/>
    <n v="28291.438532297077"/>
    <n v="0"/>
    <n v="0"/>
    <n v="-17482.521869999997"/>
    <n v="0"/>
    <n v="0"/>
    <n v="0"/>
    <n v="-17346.75752520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1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14.053000000000001"/>
    <n v="14.053000000000001"/>
    <n v="14.053000000000001"/>
    <n v="14.053000000000001"/>
    <m/>
    <n v="739.04"/>
    <n v="252.22"/>
    <m/>
    <n v="13930.17678"/>
    <n v="13930.17678"/>
    <n v="9527.5124100000012"/>
    <n v="0"/>
    <n v="869.22241002872602"/>
    <n v="0"/>
    <n v="0"/>
    <n v="0"/>
    <n v="1735.5115043347905"/>
    <n v="7124.6991325622439"/>
    <n v="3544.4865513537052"/>
    <n v="0"/>
    <n v="0"/>
    <n v="0"/>
    <n v="0"/>
    <n v="0"/>
    <n v="134.36114312274177"/>
    <m/>
    <n v="32.930374371140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8.96356660391797"/>
    <n v="0"/>
    <n v="0"/>
    <n v="0"/>
    <n v="3839.98"/>
    <n v="13"/>
    <m/>
    <m/>
    <m/>
    <m/>
    <m/>
    <m/>
    <m/>
    <m/>
    <m/>
    <n v="4033.4501179576232"/>
    <m/>
    <m/>
    <m/>
    <m/>
    <m/>
    <m/>
    <m/>
    <m/>
    <m/>
    <m/>
    <m/>
    <m/>
    <n v="9525.4785000000011"/>
    <n v="-4404.7282799999994"/>
    <m/>
    <m/>
    <m/>
    <m/>
    <n v="-4402.6643699999995"/>
    <n v="0"/>
    <n v="29"/>
    <n v="-34.179663457425704"/>
    <n v="0"/>
    <n v="0"/>
    <n v="0"/>
    <n v="0"/>
    <n v="0"/>
    <n v="0"/>
    <n v="0"/>
    <n v="-4.460417398637901"/>
    <n v="0"/>
    <n v="0"/>
    <n v="-4.9691425374476239E-7"/>
    <n v="0"/>
    <n v="0"/>
    <n v="0"/>
    <n v="-6.8549184106814209E-8"/>
    <n v="0"/>
    <n v="-25.274457409459615"/>
    <m/>
    <n v="0"/>
    <n v="0"/>
    <n v="0"/>
    <n v="0"/>
    <n v="-3.3754359677642753"/>
    <n v="-1.0693521161007595"/>
    <n v="0"/>
    <n v="0"/>
    <m/>
    <m/>
    <m/>
    <n v="7124.6991325622439"/>
    <n v="0"/>
    <n v="0"/>
    <n v="-4402.6643699999995"/>
    <n v="0"/>
    <n v="0"/>
    <n v="0"/>
    <n v="-4368.4745175287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2"/>
    <s v="Regular"/>
    <s v="Verde"/>
    <s v="A4"/>
    <s v="Industrial"/>
    <s v="Não se aplica"/>
    <s v="Não se aplica"/>
    <s v="Não se aplica"/>
    <s v="Ponta"/>
    <s v="CATIVO"/>
    <x v="7"/>
    <n v="0"/>
    <n v="0"/>
    <n v="25.806000000000001"/>
    <n v="25.806000000000001"/>
    <n v="25.806000000000001"/>
    <n v="25.806000000000001"/>
    <m/>
    <n v="2641.06"/>
    <n v="252.22"/>
    <m/>
    <n v="74663.98367999999"/>
    <n v="74663.98367999999"/>
    <n v="44317.676039999991"/>
    <n v="0"/>
    <n v="1388.6788270465474"/>
    <n v="0"/>
    <n v="0"/>
    <n v="0"/>
    <n v="16716.274957855549"/>
    <n v="49343.403332110393"/>
    <n v="6508.8607375104048"/>
    <n v="0"/>
    <n v="0"/>
    <n v="0"/>
    <n v="0"/>
    <n v="0"/>
    <n v="246.73191912228518"/>
    <m/>
    <n v="62.086813787910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00184187651439"/>
    <n v="0"/>
    <n v="0"/>
    <n v="0"/>
    <n v="0"/>
    <n v="0"/>
    <m/>
    <m/>
    <m/>
    <m/>
    <m/>
    <m/>
    <m/>
    <m/>
    <m/>
    <n v="6906.8625793869196"/>
    <m/>
    <m/>
    <m/>
    <m/>
    <m/>
    <m/>
    <m/>
    <m/>
    <m/>
    <m/>
    <m/>
    <m/>
    <n v="44324.545399999995"/>
    <n v="-30339.468279999979"/>
    <m/>
    <m/>
    <m/>
    <m/>
    <n v="-30346.307640000003"/>
    <n v="0"/>
    <n v="29"/>
    <n v="-91.555617775215069"/>
    <n v="0"/>
    <n v="0"/>
    <n v="0"/>
    <n v="0"/>
    <n v="0"/>
    <n v="0"/>
    <n v="0"/>
    <n v="-42.962298709218885"/>
    <n v="0"/>
    <n v="0"/>
    <n v="-9.1250058176228777E-7"/>
    <n v="0"/>
    <n v="0"/>
    <n v="0"/>
    <n v="-5.5797727327444591E-8"/>
    <n v="0"/>
    <n v="-40.378737897986412"/>
    <m/>
    <n v="0"/>
    <n v="0"/>
    <n v="0"/>
    <n v="0"/>
    <n v="-6.1984274236194778"/>
    <n v="-2.0161527760901166"/>
    <n v="0"/>
    <n v="0"/>
    <m/>
    <m/>
    <m/>
    <n v="49343.403332110393"/>
    <n v="0"/>
    <n v="0"/>
    <n v="-30346.307639999999"/>
    <n v="0"/>
    <n v="0"/>
    <n v="0"/>
    <n v="-30254.66704682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3"/>
    <s v="Regular"/>
    <s v="Verde"/>
    <s v="A4"/>
    <s v="Industrial"/>
    <s v="Não se aplica"/>
    <s v="Não se aplica"/>
    <s v="Não se aplica"/>
    <s v="Fora ponta"/>
    <s v="CATIVO"/>
    <x v="7"/>
    <n v="0"/>
    <n v="0"/>
    <n v="403.423"/>
    <n v="403.423"/>
    <n v="403.423"/>
    <n v="403.423"/>
    <m/>
    <n v="81.2"/>
    <n v="252.22"/>
    <m/>
    <n v="134509.29665999999"/>
    <n v="134509.29665999999"/>
    <n v="133750.86142"/>
    <n v="0"/>
    <n v="21709.097823901389"/>
    <n v="0"/>
    <n v="0"/>
    <n v="0"/>
    <n v="0"/>
    <n v="0"/>
    <n v="101752.46552385723"/>
    <n v="0"/>
    <n v="0"/>
    <n v="0"/>
    <n v="0"/>
    <n v="0"/>
    <n v="3857.1390764965377"/>
    <m/>
    <n v="970.59787176471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21.9288946504321"/>
    <n v="0"/>
    <n v="0"/>
    <n v="0"/>
    <n v="0"/>
    <n v="0"/>
    <m/>
    <m/>
    <m/>
    <m/>
    <m/>
    <m/>
    <m/>
    <m/>
    <m/>
    <n v="107974.39441850767"/>
    <m/>
    <m/>
    <m/>
    <m/>
    <m/>
    <m/>
    <m/>
    <m/>
    <m/>
    <m/>
    <m/>
    <m/>
    <n v="133749.86680000002"/>
    <n v="-759.45985999997356"/>
    <m/>
    <m/>
    <m/>
    <m/>
    <n v="-758.43524000000389"/>
    <n v="0"/>
    <n v="29"/>
    <n v="-759.65521807179903"/>
    <n v="0"/>
    <n v="0"/>
    <n v="0"/>
    <n v="0"/>
    <n v="0"/>
    <n v="0"/>
    <n v="0"/>
    <n v="0"/>
    <n v="0"/>
    <n v="0"/>
    <n v="-1.4265038771554828E-5"/>
    <n v="0"/>
    <n v="0"/>
    <n v="0"/>
    <n v="-8.7228090706048533E-7"/>
    <n v="0"/>
    <n v="-631.23737034098303"/>
    <m/>
    <n v="0"/>
    <n v="0"/>
    <n v="0"/>
    <n v="0"/>
    <n v="-96.899487968644735"/>
    <n v="-31.518344624839301"/>
    <n v="0"/>
    <n v="0"/>
    <m/>
    <m/>
    <m/>
    <n v="0"/>
    <n v="0"/>
    <n v="0"/>
    <n v="-758.4352400000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4"/>
    <s v="Regular"/>
    <s v="Verde"/>
    <s v="A4"/>
    <s v="Industrial"/>
    <s v="Não se aplica"/>
    <s v="Não se aplica"/>
    <s v="Não se aplica"/>
    <s v="Não se aplica"/>
    <s v="CATIVO"/>
    <x v="7"/>
    <n v="2251"/>
    <n v="2251"/>
    <n v="0"/>
    <n v="0"/>
    <n v="0"/>
    <n v="0"/>
    <n v="74.44"/>
    <m/>
    <m/>
    <n v="167564.44"/>
    <m/>
    <n v="167564.44"/>
    <n v="102240.42"/>
    <n v="0"/>
    <n v="0"/>
    <n v="0"/>
    <n v="0"/>
    <n v="0"/>
    <n v="61265.675286047001"/>
    <n v="106295.681889835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9180.09"/>
    <n v="9"/>
    <m/>
    <m/>
    <m/>
    <m/>
    <m/>
    <m/>
    <m/>
    <m/>
    <m/>
    <n v="0"/>
    <m/>
    <m/>
    <m/>
    <m/>
    <m/>
    <m/>
    <m/>
    <m/>
    <m/>
    <m/>
    <m/>
    <m/>
    <n v="102240.42"/>
    <n v="-65324.050000000032"/>
    <m/>
    <m/>
    <m/>
    <m/>
    <n v="-65324.01999999999"/>
    <n v="0"/>
    <n v="29"/>
    <n v="-157.45818065906496"/>
    <n v="0"/>
    <n v="0"/>
    <n v="0"/>
    <n v="0"/>
    <m/>
    <m/>
    <m/>
    <n v="-157.458180659064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295.68188983513"/>
    <m/>
    <n v="0"/>
    <n v="0"/>
    <n v="-65324.020000000004"/>
    <m/>
    <n v="0"/>
    <m/>
    <n v="-65174.67882073156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55"/>
    <s v="Sistema de Compensação"/>
    <s v="Verde"/>
    <s v="A4"/>
    <s v="Industrial"/>
    <s v="Não se aplica"/>
    <s v="Não se aplica"/>
    <s v="Não se aplica"/>
    <s v="Não se aplica"/>
    <s v="CATIVO"/>
    <x v="7"/>
    <n v="78"/>
    <n v="78"/>
    <n v="0"/>
    <n v="0"/>
    <n v="0"/>
    <n v="0"/>
    <n v="74.44"/>
    <m/>
    <m/>
    <n v="5806.32"/>
    <m/>
    <n v="5806.32"/>
    <n v="3542.76"/>
    <n v="0"/>
    <n v="0"/>
    <n v="0"/>
    <n v="0"/>
    <n v="0"/>
    <n v="2122.9332173752405"/>
    <n v="3683.27995886589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00.6099999999999"/>
    <n v="1"/>
    <m/>
    <m/>
    <m/>
    <m/>
    <m/>
    <m/>
    <m/>
    <m/>
    <m/>
    <n v="0"/>
    <m/>
    <m/>
    <m/>
    <m/>
    <m/>
    <m/>
    <m/>
    <m/>
    <m/>
    <m/>
    <m/>
    <m/>
    <n v="3542.76"/>
    <n v="-2263.59"/>
    <m/>
    <m/>
    <m/>
    <m/>
    <n v="-2263.5599999999995"/>
    <n v="0"/>
    <n v="29"/>
    <n v="-5.4561253182619112"/>
    <n v="0"/>
    <n v="0"/>
    <n v="0"/>
    <n v="0"/>
    <m/>
    <m/>
    <m/>
    <n v="-5.45612531826191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83.2799588658995"/>
    <m/>
    <n v="0"/>
    <n v="0"/>
    <n v="-2263.5599999999995"/>
    <m/>
    <n v="0"/>
    <m/>
    <n v="-2258.385139056890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56"/>
    <s v="Regular"/>
    <s v="Convencional"/>
    <s v="B3"/>
    <s v="Comercial"/>
    <s v="Não se aplica"/>
    <s v="Não se aplica"/>
    <s v="Não se aplica"/>
    <s v="Não se aplica"/>
    <s v="CATIVO"/>
    <x v="7"/>
    <n v="0"/>
    <n v="0"/>
    <n v="452.63900000000001"/>
    <n v="452.63900000000001"/>
    <n v="452.63900000000001"/>
    <n v="452.63900000000001"/>
    <m/>
    <n v="739.04"/>
    <n v="252.22"/>
    <m/>
    <n v="448682.93514000002"/>
    <n v="448682.93514000002"/>
    <n v="306875.66283000004"/>
    <n v="0"/>
    <n v="27997.150960861916"/>
    <n v="0"/>
    <n v="0"/>
    <n v="0"/>
    <n v="55899.821519290912"/>
    <n v="229482.43724925932"/>
    <n v="114165.86124800325"/>
    <n v="0"/>
    <n v="0"/>
    <n v="0"/>
    <n v="0"/>
    <n v="0"/>
    <n v="4327.6946888162456"/>
    <m/>
    <n v="1060.6683074773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49.233603076271"/>
    <n v="0"/>
    <n v="0"/>
    <n v="0"/>
    <n v="123709.36"/>
    <n v="845"/>
    <m/>
    <m/>
    <m/>
    <m/>
    <m/>
    <m/>
    <m/>
    <m/>
    <m/>
    <n v="129915.09485107951"/>
    <m/>
    <m/>
    <m/>
    <m/>
    <m/>
    <m/>
    <m/>
    <m/>
    <m/>
    <m/>
    <m/>
    <m/>
    <n v="306876.34080000001"/>
    <n v="-141806.62434000004"/>
    <m/>
    <m/>
    <m/>
    <m/>
    <n v="-141807.27231"/>
    <n v="0"/>
    <n v="29"/>
    <n v="-1100.9071862026467"/>
    <n v="0"/>
    <n v="0"/>
    <n v="0"/>
    <n v="0"/>
    <n v="0"/>
    <n v="0"/>
    <n v="0"/>
    <n v="-143.6674639509074"/>
    <n v="0"/>
    <n v="0"/>
    <n v="-1.6005316865630448E-5"/>
    <n v="0"/>
    <n v="0"/>
    <n v="0"/>
    <n v="-2.2079293557908386E-6"/>
    <n v="0"/>
    <n v="-814.07565127448834"/>
    <m/>
    <n v="0"/>
    <n v="0"/>
    <n v="0"/>
    <n v="0"/>
    <n v="-108.7208397504337"/>
    <n v="-34.443213013572404"/>
    <n v="0"/>
    <n v="0"/>
    <m/>
    <m/>
    <m/>
    <n v="229482.43724925932"/>
    <n v="0"/>
    <n v="0"/>
    <n v="-141807.27231"/>
    <n v="0"/>
    <n v="0"/>
    <n v="0"/>
    <n v="-140706.0369415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7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71.272999999999996"/>
    <n v="71.272999999999996"/>
    <n v="71.272999999999996"/>
    <n v="71.272999999999996"/>
    <m/>
    <n v="739.04"/>
    <n v="252.22"/>
    <m/>
    <n v="70650.073979999986"/>
    <n v="70650.073979999986"/>
    <n v="48320.955809999999"/>
    <n v="0"/>
    <n v="4408.4600320200225"/>
    <n v="0"/>
    <n v="0"/>
    <n v="0"/>
    <n v="8802.043083217357"/>
    <n v="36134.539335025169"/>
    <n v="17976.673306385299"/>
    <n v="0"/>
    <n v="0"/>
    <n v="0"/>
    <n v="0"/>
    <n v="0"/>
    <n v="681.44323303117994"/>
    <m/>
    <n v="167.0139167831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9.8904349648506"/>
    <n v="0"/>
    <n v="0"/>
    <n v="0"/>
    <n v="34166.06"/>
    <n v="118"/>
    <m/>
    <m/>
    <m/>
    <m/>
    <m/>
    <m/>
    <m/>
    <m/>
    <m/>
    <n v="20456.56374135015"/>
    <m/>
    <m/>
    <m/>
    <m/>
    <m/>
    <m/>
    <m/>
    <m/>
    <m/>
    <m/>
    <m/>
    <m/>
    <n v="48318.921900000001"/>
    <n v="-22331.182079999984"/>
    <m/>
    <m/>
    <m/>
    <m/>
    <n v="-22329.118169999998"/>
    <n v="0"/>
    <n v="29"/>
    <n v="-173.34997179258062"/>
    <n v="0"/>
    <n v="0"/>
    <n v="0"/>
    <n v="0"/>
    <n v="0"/>
    <n v="0"/>
    <n v="0"/>
    <n v="-22.622025848795602"/>
    <n v="0"/>
    <n v="0"/>
    <n v="-2.5202134565915912E-6"/>
    <n v="0"/>
    <n v="0"/>
    <n v="0"/>
    <n v="-3.4766298995236866E-7"/>
    <n v="0"/>
    <n v="-128.18518486760149"/>
    <m/>
    <n v="0"/>
    <n v="0"/>
    <n v="0"/>
    <n v="0"/>
    <n v="-17.119294650997176"/>
    <n v="-5.423463557307997"/>
    <n v="0"/>
    <n v="0"/>
    <m/>
    <m/>
    <m/>
    <n v="36134.539335025169"/>
    <n v="0"/>
    <n v="0"/>
    <n v="-22329.118169999994"/>
    <n v="0"/>
    <n v="0"/>
    <n v="0"/>
    <n v="-22155.71652229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8"/>
    <s v="Regular"/>
    <s v="Verde"/>
    <s v="A4"/>
    <s v="Comercial"/>
    <s v="Não se aplica"/>
    <s v="Não se aplica"/>
    <s v="Não se aplica"/>
    <s v="Ponta"/>
    <s v="CATIVO"/>
    <x v="7"/>
    <n v="0"/>
    <n v="0"/>
    <n v="12.782999999999999"/>
    <n v="12.782999999999999"/>
    <n v="12.782999999999999"/>
    <n v="12.782999999999999"/>
    <m/>
    <n v="2641.06"/>
    <n v="252.22"/>
    <m/>
    <n v="36984.798239999996"/>
    <n v="36984.798239999996"/>
    <n v="21952.75722"/>
    <n v="0"/>
    <n v="687.88194397179007"/>
    <n v="0"/>
    <n v="0"/>
    <n v="0"/>
    <n v="8280.4054400630666"/>
    <n v="24442.250825171166"/>
    <n v="3224.1636366579669"/>
    <n v="0"/>
    <n v="0"/>
    <n v="0"/>
    <n v="0"/>
    <n v="0"/>
    <n v="122.21863605906267"/>
    <m/>
    <n v="30.754698157438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15017998556471"/>
    <n v="0"/>
    <n v="0"/>
    <n v="0"/>
    <n v="0"/>
    <n v="0"/>
    <m/>
    <m/>
    <m/>
    <m/>
    <m/>
    <m/>
    <m/>
    <m/>
    <m/>
    <n v="3421.3138166435315"/>
    <m/>
    <m/>
    <m/>
    <m/>
    <m/>
    <m/>
    <m/>
    <m/>
    <m/>
    <m/>
    <m/>
    <m/>
    <n v="21947.605199999995"/>
    <n v="-15037.223040000008"/>
    <m/>
    <m/>
    <m/>
    <m/>
    <n v="-15032.041020000001"/>
    <n v="0"/>
    <n v="29"/>
    <n v="-45.352067814483235"/>
    <n v="0"/>
    <n v="0"/>
    <n v="0"/>
    <n v="0"/>
    <n v="0"/>
    <n v="0"/>
    <n v="0"/>
    <n v="-21.281371169494378"/>
    <n v="0"/>
    <n v="0"/>
    <n v="-4.5200704335002229E-7"/>
    <n v="0"/>
    <n v="0"/>
    <n v="0"/>
    <n v="-2.7639373456622707E-8"/>
    <n v="0"/>
    <n v="-20.00160453189028"/>
    <m/>
    <n v="0"/>
    <n v="0"/>
    <n v="0"/>
    <n v="0"/>
    <n v="-3.0703905198840573"/>
    <n v="-0.99870111356893432"/>
    <n v="0"/>
    <n v="0"/>
    <m/>
    <m/>
    <m/>
    <n v="24442.250825171166"/>
    <n v="0"/>
    <n v="0"/>
    <n v="-15032.041020000001"/>
    <n v="0"/>
    <n v="0"/>
    <n v="0"/>
    <n v="-14986.646859627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59"/>
    <s v="Sistema de Compensação"/>
    <s v="Verde"/>
    <s v="A4"/>
    <s v="Comercial"/>
    <s v="Não se aplica"/>
    <s v="Não se aplica"/>
    <s v="Não se aplica"/>
    <s v="Ponta"/>
    <s v="CATIVO"/>
    <x v="7"/>
    <n v="0"/>
    <n v="0"/>
    <n v="1.1479999999999999"/>
    <n v="1.1479999999999999"/>
    <n v="1.1479999999999999"/>
    <n v="1.1479999999999999"/>
    <m/>
    <n v="2641.06"/>
    <n v="252.22"/>
    <m/>
    <n v="3321.4854399999995"/>
    <n v="3321.4854399999995"/>
    <n v="1971.5063199999997"/>
    <n v="0"/>
    <n v="61.776458709193065"/>
    <n v="0"/>
    <n v="0"/>
    <n v="0"/>
    <n v="743.63650513904395"/>
    <n v="2195.0797111238753"/>
    <n v="289.5517370635489"/>
    <n v="0"/>
    <n v="0"/>
    <n v="0"/>
    <n v="0"/>
    <n v="0"/>
    <n v="10.976061503231161"/>
    <m/>
    <n v="2.7619802460095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05421780757906"/>
    <n v="0"/>
    <n v="0"/>
    <n v="0"/>
    <n v="0"/>
    <n v="0"/>
    <m/>
    <m/>
    <m/>
    <m/>
    <m/>
    <m/>
    <m/>
    <m/>
    <m/>
    <n v="307.25715884430679"/>
    <m/>
    <m/>
    <m/>
    <m/>
    <m/>
    <m/>
    <m/>
    <m/>
    <m/>
    <m/>
    <m/>
    <m/>
    <n v="1974.9409999999998"/>
    <n v="-1346.5744400000003"/>
    <m/>
    <m/>
    <m/>
    <m/>
    <n v="-1349.97912"/>
    <n v="0"/>
    <n v="29"/>
    <n v="-4.0729229328817382"/>
    <n v="0"/>
    <n v="0"/>
    <n v="0"/>
    <n v="0"/>
    <n v="0"/>
    <n v="0"/>
    <n v="0"/>
    <n v="-1.9112113042774581"/>
    <n v="0"/>
    <n v="0"/>
    <n v="-4.0593306493974524E-8"/>
    <n v="0"/>
    <n v="0"/>
    <n v="0"/>
    <n v="-2.4822064403906552E-9"/>
    <n v="0"/>
    <n v="-1.7962795902847546"/>
    <m/>
    <n v="0"/>
    <n v="0"/>
    <n v="0"/>
    <n v="0"/>
    <n v="-0.2757418694224274"/>
    <n v="-8.9690125821570543E-2"/>
    <n v="0"/>
    <n v="0"/>
    <m/>
    <m/>
    <m/>
    <n v="2195.0797111238753"/>
    <n v="0"/>
    <n v="0"/>
    <n v="-1349.97912"/>
    <n v="0"/>
    <n v="0"/>
    <n v="0"/>
    <n v="-1345.9024168702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60"/>
    <s v="Regular"/>
    <s v="Verde"/>
    <s v="A4"/>
    <s v="Comercial"/>
    <s v="Não se aplica"/>
    <s v="Não se aplica"/>
    <s v="Não se aplica"/>
    <s v="Fora ponta"/>
    <s v="CATIVO"/>
    <x v="7"/>
    <n v="0"/>
    <n v="0"/>
    <n v="275.154"/>
    <n v="275.154"/>
    <n v="275.154"/>
    <n v="275.154"/>
    <m/>
    <n v="81.2"/>
    <n v="252.22"/>
    <m/>
    <n v="91741.846679999988"/>
    <n v="91741.846679999988"/>
    <n v="91224.557159999997"/>
    <n v="0"/>
    <n v="14806.654808074312"/>
    <n v="0"/>
    <n v="0"/>
    <n v="0"/>
    <n v="0"/>
    <n v="0"/>
    <n v="69400.103362355178"/>
    <n v="0"/>
    <n v="0"/>
    <n v="0"/>
    <n v="0"/>
    <n v="0"/>
    <n v="2630.7554240941354"/>
    <m/>
    <n v="661.99469739590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3.6564674761848"/>
    <n v="0"/>
    <n v="0"/>
    <n v="0"/>
    <n v="0"/>
    <n v="0"/>
    <m/>
    <m/>
    <m/>
    <m/>
    <m/>
    <m/>
    <m/>
    <m/>
    <m/>
    <n v="73643.759829831368"/>
    <m/>
    <m/>
    <m/>
    <m/>
    <m/>
    <m/>
    <m/>
    <m/>
    <m/>
    <m/>
    <m/>
    <m/>
    <n v="91223.231"/>
    <n v="-518.6456799999869"/>
    <m/>
    <m/>
    <m/>
    <m/>
    <n v="-517.28952000000265"/>
    <n v="0"/>
    <n v="29"/>
    <n v="-518.12160405660688"/>
    <n v="0"/>
    <n v="0"/>
    <n v="0"/>
    <n v="0"/>
    <n v="0"/>
    <n v="0"/>
    <n v="0"/>
    <n v="0"/>
    <n v="0"/>
    <n v="0"/>
    <n v="-9.7294541774317622E-6"/>
    <n v="0"/>
    <n v="0"/>
    <n v="0"/>
    <n v="-5.9493777371244505E-7"/>
    <n v="0"/>
    <n v="-430.53442019617796"/>
    <m/>
    <n v="0"/>
    <n v="0"/>
    <n v="0"/>
    <n v="0"/>
    <n v="-66.090137926009447"/>
    <n v="-21.497035610024682"/>
    <n v="0"/>
    <n v="0"/>
    <m/>
    <m/>
    <m/>
    <n v="0"/>
    <n v="0"/>
    <n v="0"/>
    <n v="-517.28952000000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61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6.8579999999999997"/>
    <n v="6.8579999999999997"/>
    <n v="6.8579999999999997"/>
    <n v="6.8579999999999997"/>
    <m/>
    <n v="81.2"/>
    <n v="252.22"/>
    <m/>
    <n v="2286.5943600000001"/>
    <n v="2286.5943600000001"/>
    <n v="2273.7013199999997"/>
    <n v="0"/>
    <n v="369.04438486728753"/>
    <n v="0"/>
    <n v="0"/>
    <n v="0"/>
    <n v="0"/>
    <n v="0"/>
    <n v="1729.7437393569849"/>
    <n v="0"/>
    <n v="0"/>
    <n v="0"/>
    <n v="0"/>
    <n v="0"/>
    <n v="65.569538143866993"/>
    <m/>
    <n v="16.499704291927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7698454463743"/>
    <n v="0"/>
    <n v="0"/>
    <n v="0"/>
    <n v="0"/>
    <n v="0"/>
    <m/>
    <m/>
    <m/>
    <m/>
    <m/>
    <m/>
    <m/>
    <m/>
    <m/>
    <n v="1835.5135848033592"/>
    <m/>
    <m/>
    <m/>
    <m/>
    <m/>
    <m/>
    <m/>
    <m/>
    <m/>
    <m/>
    <m/>
    <m/>
    <n v="2274.3643999999999"/>
    <n v="-12.259959999999865"/>
    <m/>
    <m/>
    <m/>
    <m/>
    <n v="-12.893040000000065"/>
    <n v="0"/>
    <n v="29"/>
    <n v="-12.913779049623372"/>
    <n v="0"/>
    <n v="0"/>
    <n v="0"/>
    <n v="0"/>
    <n v="0"/>
    <n v="0"/>
    <n v="0"/>
    <n v="0"/>
    <n v="0"/>
    <n v="0"/>
    <n v="-2.4249902708106674E-7"/>
    <n v="0"/>
    <n v="0"/>
    <n v="0"/>
    <n v="-1.4828358985141676E-8"/>
    <n v="0"/>
    <n v="-10.730736437432824"/>
    <m/>
    <n v="0"/>
    <n v="0"/>
    <n v="0"/>
    <n v="0"/>
    <n v="-1.6472454185531475"/>
    <n v="-0.53579693631039227"/>
    <n v="0"/>
    <n v="0"/>
    <m/>
    <m/>
    <m/>
    <n v="0"/>
    <n v="0"/>
    <n v="0"/>
    <n v="-12.89304000000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62"/>
    <s v="Regular"/>
    <s v="Verde"/>
    <s v="A4"/>
    <s v="Comercial"/>
    <s v="Não se aplica"/>
    <s v="Não se aplica"/>
    <s v="Não se aplica"/>
    <s v="Não se aplica"/>
    <s v="CATIVO"/>
    <x v="7"/>
    <n v="2680"/>
    <n v="2680"/>
    <n v="0"/>
    <n v="0"/>
    <n v="0"/>
    <n v="0"/>
    <n v="74.44"/>
    <m/>
    <m/>
    <n v="199499.19999999998"/>
    <m/>
    <n v="199499.19999999998"/>
    <n v="121725.6"/>
    <n v="0"/>
    <n v="0"/>
    <n v="0"/>
    <n v="0"/>
    <n v="0"/>
    <n v="72941.807981610822"/>
    <n v="126553.721663597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8008.58"/>
    <n v="15"/>
    <m/>
    <m/>
    <m/>
    <m/>
    <m/>
    <m/>
    <m/>
    <m/>
    <m/>
    <n v="0"/>
    <m/>
    <m/>
    <m/>
    <m/>
    <m/>
    <m/>
    <m/>
    <m/>
    <m/>
    <m/>
    <m/>
    <m/>
    <n v="121725.6"/>
    <n v="-77773.63"/>
    <m/>
    <m/>
    <m/>
    <m/>
    <n v="-77773.599999999991"/>
    <n v="0"/>
    <n v="29"/>
    <n v="-187.46686990950548"/>
    <n v="0"/>
    <n v="0"/>
    <n v="0"/>
    <n v="0"/>
    <m/>
    <m/>
    <m/>
    <n v="-187.466869909505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553.72166359758"/>
    <m/>
    <n v="0"/>
    <n v="0"/>
    <n v="-77773.599999999977"/>
    <m/>
    <n v="0"/>
    <m/>
    <n v="-77595.79708554447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63"/>
    <s v="Sistema de Compensação"/>
    <s v="Verde"/>
    <s v="A4"/>
    <s v="Comercial"/>
    <s v="Não se aplica"/>
    <s v="Não se aplica"/>
    <s v="Não se aplica"/>
    <s v="Não se aplica"/>
    <s v="CATIVO"/>
    <x v="7"/>
    <n v="144"/>
    <n v="144"/>
    <n v="0"/>
    <n v="0"/>
    <n v="0"/>
    <n v="0"/>
    <n v="74.44"/>
    <m/>
    <m/>
    <n v="10719.36"/>
    <m/>
    <n v="10719.36"/>
    <n v="6540.4800000000005"/>
    <n v="0"/>
    <n v="0"/>
    <n v="0"/>
    <n v="0"/>
    <n v="0"/>
    <n v="3919.2613243850592"/>
    <n v="6799.901462521660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09.0200000000004"/>
    <n v="1"/>
    <m/>
    <m/>
    <m/>
    <m/>
    <m/>
    <m/>
    <m/>
    <m/>
    <m/>
    <n v="0"/>
    <m/>
    <m/>
    <m/>
    <m/>
    <m/>
    <m/>
    <m/>
    <m/>
    <m/>
    <m/>
    <m/>
    <m/>
    <n v="6540.4800000000005"/>
    <n v="-4178.9100000000008"/>
    <m/>
    <m/>
    <m/>
    <m/>
    <n v="-4178.8799999999992"/>
    <n v="0"/>
    <n v="29"/>
    <n v="-10.072846741406465"/>
    <n v="0"/>
    <n v="0"/>
    <n v="0"/>
    <n v="0"/>
    <m/>
    <m/>
    <m/>
    <n v="-10.0728467414064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799.9014625216605"/>
    <m/>
    <n v="0"/>
    <n v="0"/>
    <n v="-4178.88"/>
    <m/>
    <n v="0"/>
    <m/>
    <n v="-4169.326410566567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64"/>
    <s v="Regular"/>
    <s v="Convencional"/>
    <s v="B2"/>
    <s v="Rural"/>
    <s v="Não se aplica"/>
    <s v="Não se aplica"/>
    <s v="Não se aplica"/>
    <s v="Não se aplica"/>
    <s v="CATIVO"/>
    <x v="7"/>
    <n v="0"/>
    <n v="0"/>
    <n v="5582.9470000000001"/>
    <n v="5582.9470000000001"/>
    <n v="5582.9470000000001"/>
    <n v="5582.9470000000001"/>
    <m/>
    <n v="739.04"/>
    <n v="252.22"/>
    <m/>
    <n v="5534152.0432200003"/>
    <n v="5534152.0432200003"/>
    <n v="3785070.5775899999"/>
    <n v="0"/>
    <n v="345322.8952111752"/>
    <n v="0"/>
    <n v="0"/>
    <n v="0"/>
    <n v="689480.44877189246"/>
    <n v="2830485.8498570397"/>
    <n v="1408146.3430171858"/>
    <n v="0"/>
    <n v="0"/>
    <n v="0"/>
    <n v="0"/>
    <n v="0"/>
    <n v="53378.719199721178"/>
    <m/>
    <n v="13082.511549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254.44227429331"/>
    <n v="0"/>
    <n v="0"/>
    <n v="0"/>
    <n v="125235.05"/>
    <n v="12170"/>
    <m/>
    <m/>
    <m/>
    <m/>
    <m/>
    <n v="454172.73844999983"/>
    <m/>
    <m/>
    <m/>
    <n v="1602400.7852914792"/>
    <m/>
    <m/>
    <m/>
    <m/>
    <m/>
    <m/>
    <m/>
    <m/>
    <m/>
    <m/>
    <m/>
    <m/>
    <n v="3330899.6289999997"/>
    <n v="-1539160.8985700002"/>
    <m/>
    <m/>
    <m/>
    <m/>
    <n v="-1749081.4656299998"/>
    <n v="0"/>
    <n v="29"/>
    <n v="-13578.826553806663"/>
    <n v="0"/>
    <n v="0"/>
    <n v="0"/>
    <n v="0"/>
    <n v="0"/>
    <n v="0"/>
    <n v="0"/>
    <n v="-1772.0254703246756"/>
    <n v="0"/>
    <n v="0"/>
    <n v="-1.9741291180253029E-4"/>
    <n v="0"/>
    <n v="0"/>
    <n v="0"/>
    <n v="-2.7233065338805318E-5"/>
    <n v="0"/>
    <n v="-10040.984570609115"/>
    <m/>
    <n v="0"/>
    <n v="0"/>
    <n v="0"/>
    <n v="0"/>
    <n v="-1340.9862740995959"/>
    <n v="-424.83001412711747"/>
    <n v="0"/>
    <n v="0"/>
    <m/>
    <m/>
    <m/>
    <n v="2830485.8498570397"/>
    <n v="0"/>
    <n v="0"/>
    <n v="-1749081.46563"/>
    <n v="0"/>
    <n v="0"/>
    <n v="0"/>
    <n v="-1735498.5912056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65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167.898"/>
    <n v="167.898"/>
    <n v="167.898"/>
    <n v="167.898"/>
    <m/>
    <n v="739.04"/>
    <n v="252.22"/>
    <m/>
    <n v="166430.57147999998"/>
    <n v="166430.57147999998"/>
    <n v="113829.80705999999"/>
    <n v="0"/>
    <n v="10385.021290756637"/>
    <n v="0"/>
    <n v="0"/>
    <n v="0"/>
    <n v="20734.996837316063"/>
    <n v="85122.232616447407"/>
    <n v="42347.698213846459"/>
    <n v="0"/>
    <n v="0"/>
    <n v="0"/>
    <n v="0"/>
    <n v="0"/>
    <n v="1605.2776779351095"/>
    <m/>
    <n v="393.43513813177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41.8846442513777"/>
    <n v="0"/>
    <n v="0"/>
    <n v="0"/>
    <n v="8295.4"/>
    <n v="889"/>
    <m/>
    <m/>
    <m/>
    <m/>
    <m/>
    <n v="13658.502299999993"/>
    <m/>
    <m/>
    <m/>
    <n v="48189.582858097834"/>
    <m/>
    <m/>
    <m/>
    <m/>
    <m/>
    <m/>
    <m/>
    <m/>
    <m/>
    <m/>
    <m/>
    <m/>
    <n v="100172.49800000001"/>
    <n v="-46286.636379999996"/>
    <m/>
    <m/>
    <m/>
    <m/>
    <n v="-52600.764419999992"/>
    <n v="0"/>
    <n v="29"/>
    <n v="-408.36100015476404"/>
    <n v="0"/>
    <n v="0"/>
    <n v="0"/>
    <n v="0"/>
    <n v="0"/>
    <n v="0"/>
    <n v="0"/>
    <n v="-53.290767835802399"/>
    <n v="0"/>
    <n v="0"/>
    <n v="-5.9368758229538798E-6"/>
    <n v="0"/>
    <n v="0"/>
    <n v="0"/>
    <n v="-8.1898997450480238E-7"/>
    <n v="0"/>
    <n v="-301.96618872364888"/>
    <m/>
    <n v="0"/>
    <n v="0"/>
    <n v="0"/>
    <n v="0"/>
    <n v="-40.327968982828224"/>
    <n v="-12.77606785662033"/>
    <n v="0"/>
    <n v="0"/>
    <m/>
    <m/>
    <m/>
    <n v="85122.232616447407"/>
    <n v="0"/>
    <n v="0"/>
    <n v="-52600.764419999992"/>
    <n v="0"/>
    <n v="0"/>
    <n v="0"/>
    <n v="-52192.2816867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66"/>
    <s v="Sistema de Compensação"/>
    <s v="Azul"/>
    <s v="A4"/>
    <s v="Rural"/>
    <s v="Não se aplica"/>
    <s v="Não se aplica"/>
    <s v="Não se aplica"/>
    <s v="Ponta"/>
    <s v="CATIVO"/>
    <x v="7"/>
    <n v="75"/>
    <n v="72"/>
    <n v="0"/>
    <n v="0"/>
    <n v="0"/>
    <n v="0"/>
    <n v="106.38"/>
    <m/>
    <m/>
    <n v="7978.5"/>
    <m/>
    <n v="7978.5"/>
    <n v="4317"/>
    <n v="0"/>
    <n v="0"/>
    <n v="0"/>
    <n v="0"/>
    <n v="0"/>
    <n v="2015.76868981248"/>
    <n v="5962.87515891261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172.68"/>
    <m/>
    <m/>
    <m/>
    <n v="0"/>
    <m/>
    <m/>
    <m/>
    <m/>
    <m/>
    <m/>
    <m/>
    <m/>
    <m/>
    <m/>
    <m/>
    <m/>
    <n v="4144.32"/>
    <n v="-3515.0700000000006"/>
    <m/>
    <m/>
    <m/>
    <m/>
    <n v="-3661.4999999999995"/>
    <n v="0"/>
    <n v="29"/>
    <n v="-5.1807030453073821"/>
    <n v="0"/>
    <n v="0"/>
    <n v="0"/>
    <n v="0"/>
    <m/>
    <m/>
    <m/>
    <n v="-5.18070304530738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2.8751589126168"/>
    <m/>
    <n v="0"/>
    <n v="0"/>
    <n v="-3661.5"/>
    <m/>
    <n v="0"/>
    <m/>
    <n v="-3656.107815677991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67"/>
    <s v="Sistema de Compensação"/>
    <s v="Azul"/>
    <s v="A4"/>
    <s v="Rural"/>
    <s v="Não se aplica"/>
    <s v="Não se aplica"/>
    <s v="Não se aplica"/>
    <s v="Fora ponta"/>
    <s v="CATIVO"/>
    <x v="7"/>
    <n v="75"/>
    <n v="72"/>
    <n v="0"/>
    <n v="0"/>
    <n v="0"/>
    <n v="0"/>
    <n v="74.44"/>
    <m/>
    <m/>
    <n v="5583"/>
    <m/>
    <n v="5583"/>
    <n v="3406.5"/>
    <n v="0"/>
    <n v="0"/>
    <n v="0"/>
    <n v="0"/>
    <n v="0"/>
    <n v="2041.281939783885"/>
    <n v="3541.61534506336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136.26"/>
    <m/>
    <m/>
    <m/>
    <n v="0"/>
    <m/>
    <m/>
    <m/>
    <m/>
    <m/>
    <m/>
    <m/>
    <m/>
    <m/>
    <m/>
    <m/>
    <m/>
    <n v="3270.2400000000002"/>
    <n v="-2089.4700000000007"/>
    <m/>
    <m/>
    <m/>
    <m/>
    <n v="-2176.4999999999995"/>
    <n v="0"/>
    <n v="29"/>
    <n v="-5.2462743444825719"/>
    <n v="0"/>
    <n v="0"/>
    <n v="0"/>
    <n v="0"/>
    <m/>
    <m/>
    <m/>
    <n v="-5.24627434448257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41.6153450633651"/>
    <m/>
    <n v="0"/>
    <n v="0"/>
    <n v="-2176.5"/>
    <m/>
    <n v="0"/>
    <m/>
    <n v="-2171.524172170087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68"/>
    <s v="Sistema de Compensação"/>
    <s v="Azul"/>
    <s v="A4"/>
    <s v="Rur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69"/>
    <s v="Regular"/>
    <s v="Verde"/>
    <s v="A4"/>
    <s v="Rural"/>
    <s v="Não se aplica"/>
    <s v="Não se aplica"/>
    <s v="Não se aplica"/>
    <s v="Ponta"/>
    <s v="CATIVO"/>
    <x v="7"/>
    <n v="0"/>
    <n v="0"/>
    <n v="3.2709999999999999"/>
    <n v="3.1401599999999998"/>
    <n v="3.2709999999999999"/>
    <n v="3.1401599999999998"/>
    <m/>
    <n v="2641.06"/>
    <n v="252.22"/>
    <m/>
    <n v="9463.9188799999993"/>
    <n v="9463.9188799999993"/>
    <n v="5617.41914"/>
    <n v="0"/>
    <n v="176.01985752419037"/>
    <n v="0"/>
    <n v="0"/>
    <n v="0"/>
    <n v="2118.8458260538441"/>
    <n v="6254.4475044304845"/>
    <n v="825.02067241713291"/>
    <n v="0"/>
    <n v="0"/>
    <n v="0"/>
    <n v="0"/>
    <n v="0"/>
    <n v="31.274126460861613"/>
    <m/>
    <n v="7.8697189762170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448113802142082"/>
    <n v="0"/>
    <n v="0"/>
    <n v="0"/>
    <n v="0"/>
    <n v="0"/>
    <m/>
    <m/>
    <m/>
    <m/>
    <m/>
    <n v="224.69676560000011"/>
    <m/>
    <m/>
    <m/>
    <n v="875.46878621927499"/>
    <m/>
    <m/>
    <m/>
    <m/>
    <m/>
    <m/>
    <m/>
    <m/>
    <m/>
    <m/>
    <m/>
    <m/>
    <n v="5392.4475999999995"/>
    <n v="-3692.9445248000011"/>
    <m/>
    <m/>
    <m/>
    <m/>
    <n v="-3846.4997400000002"/>
    <n v="0"/>
    <n v="29"/>
    <n v="-11.604992084892274"/>
    <n v="0"/>
    <n v="0"/>
    <n v="0"/>
    <n v="0"/>
    <n v="0"/>
    <n v="0"/>
    <n v="0"/>
    <n v="-5.4456203626232309"/>
    <n v="0"/>
    <n v="0"/>
    <n v="-1.1566260127437999E-7"/>
    <n v="0"/>
    <n v="0"/>
    <n v="0"/>
    <n v="-7.0725576506447396E-9"/>
    <n v="0"/>
    <n v="-5.1181450695308968"/>
    <m/>
    <n v="0"/>
    <n v="0"/>
    <n v="0"/>
    <n v="0"/>
    <n v="-0.78567217324108185"/>
    <n v="-0.2555543567616354"/>
    <n v="0"/>
    <n v="0"/>
    <m/>
    <m/>
    <m/>
    <n v="6254.4475044304845"/>
    <n v="0"/>
    <n v="0"/>
    <n v="-3846.4997400000002"/>
    <n v="0"/>
    <n v="0"/>
    <n v="0"/>
    <n v="-3834.883976988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0"/>
    <s v="Regular"/>
    <s v="Verde"/>
    <s v="A4"/>
    <s v="Rural"/>
    <s v="Não se aplica"/>
    <s v="Não se aplica"/>
    <s v="Não se aplica"/>
    <s v="Fora ponta"/>
    <s v="CATIVO"/>
    <x v="7"/>
    <n v="0"/>
    <n v="0"/>
    <n v="32.28"/>
    <n v="30.988800000000001"/>
    <n v="32.28"/>
    <n v="30.988800000000001"/>
    <m/>
    <n v="81.2"/>
    <n v="252.22"/>
    <m/>
    <n v="10762.7976"/>
    <n v="10762.7976"/>
    <n v="10702.111199999999"/>
    <n v="0"/>
    <n v="1737.0593093490875"/>
    <n v="0"/>
    <n v="0"/>
    <n v="0"/>
    <n v="0"/>
    <n v="0"/>
    <n v="8141.7509341562372"/>
    <n v="0"/>
    <n v="0"/>
    <n v="0"/>
    <n v="0"/>
    <n v="0"/>
    <n v="308.63002205949647"/>
    <m/>
    <n v="77.662650122985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.84931627427284"/>
    <n v="0"/>
    <n v="0"/>
    <n v="0"/>
    <n v="0"/>
    <n v="0"/>
    <m/>
    <m/>
    <m/>
    <m/>
    <m/>
    <n v="428.08444799999995"/>
    <m/>
    <m/>
    <m/>
    <n v="8639.6002504305106"/>
    <m/>
    <m/>
    <m/>
    <m/>
    <m/>
    <m/>
    <m/>
    <m/>
    <m/>
    <m/>
    <m/>
    <m/>
    <n v="10274.424599999998"/>
    <n v="-57.891096000003017"/>
    <m/>
    <m/>
    <m/>
    <m/>
    <n v="-60.686400000000312"/>
    <n v="0"/>
    <n v="29"/>
    <n v="-60.784016873993096"/>
    <n v="0"/>
    <n v="0"/>
    <n v="0"/>
    <n v="0"/>
    <n v="0"/>
    <n v="0"/>
    <n v="0"/>
    <n v="0"/>
    <n v="0"/>
    <n v="0"/>
    <n v="-1.1414213076932356E-6"/>
    <n v="0"/>
    <n v="0"/>
    <n v="0"/>
    <n v="-6.979581712585059E-8"/>
    <n v="0"/>
    <n v="-50.508628200689827"/>
    <m/>
    <n v="0"/>
    <n v="0"/>
    <n v="0"/>
    <n v="0"/>
    <n v="-7.7534386280104286"/>
    <n v="-2.5219488340769232"/>
    <n v="0"/>
    <n v="0"/>
    <m/>
    <m/>
    <m/>
    <n v="0"/>
    <n v="0"/>
    <n v="0"/>
    <n v="-60.68640000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1"/>
    <s v="Regular"/>
    <s v="Verde"/>
    <s v="A4"/>
    <s v="Rural"/>
    <s v="Não se aplica"/>
    <s v="Não se aplica"/>
    <s v="Não se aplica"/>
    <s v="Não se aplica"/>
    <s v="CATIVO"/>
    <x v="7"/>
    <n v="106"/>
    <n v="101.76"/>
    <n v="0"/>
    <n v="0"/>
    <n v="0"/>
    <n v="0"/>
    <n v="74.44"/>
    <m/>
    <m/>
    <n v="7890.6399999999994"/>
    <m/>
    <n v="7890.6399999999994"/>
    <n v="4814.5200000000004"/>
    <n v="0"/>
    <n v="0"/>
    <n v="0"/>
    <n v="0"/>
    <n v="0"/>
    <n v="2885.0118082278909"/>
    <n v="5005.48302102288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489999999999998"/>
    <n v="2"/>
    <m/>
    <m/>
    <m/>
    <m/>
    <m/>
    <n v="192.58079999999978"/>
    <m/>
    <m/>
    <m/>
    <n v="0"/>
    <m/>
    <m/>
    <m/>
    <m/>
    <m/>
    <m/>
    <m/>
    <m/>
    <m/>
    <m/>
    <m/>
    <m/>
    <n v="4621.9392000000007"/>
    <n v="-2953.1052"/>
    <m/>
    <m/>
    <m/>
    <m/>
    <n v="-3076.1199999999994"/>
    <n v="0"/>
    <n v="29"/>
    <n v="-7.4147344068687744"/>
    <n v="0"/>
    <n v="0"/>
    <n v="0"/>
    <n v="0"/>
    <m/>
    <m/>
    <m/>
    <n v="-7.41473440686877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05.4830210228893"/>
    <m/>
    <n v="0"/>
    <n v="0"/>
    <n v="-3076.119999999999"/>
    <m/>
    <n v="0"/>
    <m/>
    <n v="-3069.087496667057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72"/>
    <s v="Sistema de Compensação"/>
    <s v="Verde"/>
    <s v="A4"/>
    <s v="Rural"/>
    <s v="Não se aplica"/>
    <s v="Não se aplica"/>
    <s v="Não se aplica"/>
    <s v="Não se aplica"/>
    <s v="CATIVO"/>
    <x v="7"/>
    <n v="333"/>
    <n v="319.68"/>
    <n v="0"/>
    <n v="0"/>
    <n v="0"/>
    <n v="0"/>
    <n v="74.44"/>
    <m/>
    <m/>
    <n v="24788.52"/>
    <m/>
    <n v="24788.52"/>
    <n v="15124.86"/>
    <n v="0"/>
    <n v="0"/>
    <n v="0"/>
    <n v="0"/>
    <n v="0"/>
    <n v="9063.2918126404493"/>
    <n v="15724.7721320813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.74"/>
    <n v="3"/>
    <m/>
    <m/>
    <m/>
    <m/>
    <m/>
    <n v="604.9943999999997"/>
    <m/>
    <m/>
    <m/>
    <n v="0"/>
    <m/>
    <m/>
    <m/>
    <m/>
    <m/>
    <m/>
    <m/>
    <m/>
    <m/>
    <m/>
    <m/>
    <m/>
    <n v="14519.865600000001"/>
    <n v="-9277.1435999999958"/>
    <m/>
    <m/>
    <m/>
    <m/>
    <n v="-9663.659999999998"/>
    <n v="0"/>
    <n v="29"/>
    <n v="-23.293458089501655"/>
    <n v="0"/>
    <n v="0"/>
    <n v="0"/>
    <n v="0"/>
    <m/>
    <m/>
    <m/>
    <n v="-23.2934580895016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724.772132081342"/>
    <m/>
    <n v="0"/>
    <n v="0"/>
    <n v="-9663.66"/>
    <m/>
    <n v="0"/>
    <m/>
    <n v="-9641.567324435189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73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25.506"/>
    <n v="225.506"/>
    <n v="225.506"/>
    <n v="225.506"/>
    <m/>
    <n v="739.04"/>
    <n v="252.22"/>
    <m/>
    <n v="223535.07756000001"/>
    <n v="223535.07756000001"/>
    <n v="152886.30281999998"/>
    <n v="0"/>
    <n v="13948.257937517816"/>
    <n v="0"/>
    <n v="0"/>
    <n v="0"/>
    <n v="27849.445477586367"/>
    <n v="114328.78407369112"/>
    <n v="56877.747402659115"/>
    <n v="0"/>
    <n v="0"/>
    <n v="0"/>
    <n v="0"/>
    <n v="0"/>
    <n v="2156.0694471669394"/>
    <m/>
    <n v="528.42788037703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46.311680821399"/>
    <n v="0"/>
    <n v="0"/>
    <n v="0"/>
    <n v="57909.440000000002"/>
    <n v="372"/>
    <m/>
    <m/>
    <m/>
    <m/>
    <m/>
    <m/>
    <m/>
    <m/>
    <m/>
    <n v="64724.059083480512"/>
    <m/>
    <m/>
    <m/>
    <m/>
    <m/>
    <m/>
    <m/>
    <m/>
    <m/>
    <m/>
    <m/>
    <m/>
    <n v="152889.0147"/>
    <n v="-70646.092860000033"/>
    <m/>
    <m/>
    <m/>
    <m/>
    <n v="-70648.774739999993"/>
    <n v="0"/>
    <n v="29"/>
    <n v="-548.47500089876121"/>
    <n v="0"/>
    <n v="0"/>
    <n v="0"/>
    <n v="0"/>
    <n v="0"/>
    <n v="0"/>
    <n v="0"/>
    <n v="-71.575527353394136"/>
    <n v="0"/>
    <n v="0"/>
    <n v="-7.9738965723663568E-6"/>
    <n v="0"/>
    <n v="0"/>
    <n v="0"/>
    <n v="-1.099996552511584E-6"/>
    <n v="0"/>
    <n v="-405.57473796182785"/>
    <m/>
    <n v="0"/>
    <n v="0"/>
    <n v="0"/>
    <n v="0"/>
    <n v="-54.165022653287451"/>
    <n v="-17.159703856359386"/>
    <n v="0"/>
    <n v="0"/>
    <m/>
    <m/>
    <m/>
    <n v="114328.78407369112"/>
    <n v="0"/>
    <n v="0"/>
    <n v="-70648.774739999993"/>
    <n v="0"/>
    <n v="0"/>
    <n v="0"/>
    <n v="-70100.136237802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0.247"/>
    <n v="0.247"/>
    <n v="0.247"/>
    <n v="0.247"/>
    <m/>
    <n v="739.04"/>
    <n v="252.22"/>
    <m/>
    <n v="244.84121999999999"/>
    <n v="244.84121999999999"/>
    <n v="167.45859000000002"/>
    <n v="0"/>
    <n v="15.277729685981306"/>
    <n v="0"/>
    <n v="0"/>
    <n v="0"/>
    <n v="30.503902481370044"/>
    <n v="125.22597920322167"/>
    <n v="62.299023566808877"/>
    <n v="0"/>
    <n v="0"/>
    <n v="0"/>
    <n v="0"/>
    <n v="0"/>
    <n v="2.36157420844782"/>
    <m/>
    <n v="0.57879473917823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941792465073465"/>
    <n v="0"/>
    <n v="0"/>
    <n v="0"/>
    <n v="181.45"/>
    <n v="2"/>
    <m/>
    <m/>
    <m/>
    <m/>
    <m/>
    <m/>
    <m/>
    <m/>
    <m/>
    <n v="70.893202813316222"/>
    <m/>
    <m/>
    <m/>
    <m/>
    <m/>
    <m/>
    <m/>
    <m/>
    <m/>
    <m/>
    <m/>
    <m/>
    <n v="169.49250000000001"/>
    <n v="-75.378719999999959"/>
    <m/>
    <m/>
    <m/>
    <m/>
    <n v="-77.382629999999992"/>
    <n v="0"/>
    <n v="29"/>
    <n v="-0.60075264171241827"/>
    <n v="0"/>
    <n v="0"/>
    <n v="0"/>
    <n v="0"/>
    <n v="0"/>
    <n v="0"/>
    <n v="0"/>
    <n v="-7.8397715609735741E-2"/>
    <n v="0"/>
    <n v="0"/>
    <n v="-8.7339273591169331E-9"/>
    <n v="0"/>
    <n v="0"/>
    <n v="0"/>
    <n v="-1.2048424480326503E-9"/>
    <n v="0"/>
    <n v="-0.44423190636422838"/>
    <m/>
    <n v="0"/>
    <n v="0"/>
    <n v="0"/>
    <n v="0"/>
    <n v="-5.932773671371061E-2"/>
    <n v="-1.8795273085952302E-2"/>
    <n v="0"/>
    <n v="0"/>
    <m/>
    <m/>
    <m/>
    <n v="125.22597920322167"/>
    <n v="0"/>
    <n v="0"/>
    <n v="-77.382629999999992"/>
    <n v="0"/>
    <n v="0"/>
    <n v="0"/>
    <n v="-76.781698272938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5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16.22199999999998"/>
    <n v="416.22199999999998"/>
    <n v="416.22199999999998"/>
    <n v="416.22199999999998"/>
    <m/>
    <n v="406.47"/>
    <n v="138.72"/>
    <m/>
    <n v="226920.07217999999"/>
    <n v="226920.07217999999"/>
    <n v="155200.85936"/>
    <n v="0"/>
    <n v="14159.554505859009"/>
    <n v="0"/>
    <n v="0"/>
    <n v="0"/>
    <n v="28271.325563686103"/>
    <n v="116060.70499497098"/>
    <n v="57739.365598636963"/>
    <n v="0"/>
    <n v="0"/>
    <n v="0"/>
    <n v="0"/>
    <n v="0"/>
    <n v="2188.7308789623999"/>
    <m/>
    <n v="536.43282251673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65.1723112829077"/>
    <n v="0"/>
    <n v="0"/>
    <n v="0"/>
    <n v="53575.79"/>
    <n v="38"/>
    <m/>
    <m/>
    <m/>
    <m/>
    <m/>
    <m/>
    <m/>
    <m/>
    <m/>
    <n v="65704.537909919876"/>
    <m/>
    <m/>
    <m/>
    <m/>
    <m/>
    <m/>
    <m/>
    <m/>
    <m/>
    <m/>
    <m/>
    <m/>
    <n v="155200.11360000001"/>
    <n v="-71719.988580000005"/>
    <m/>
    <m/>
    <m/>
    <m/>
    <n v="-71719.212820000015"/>
    <n v="0"/>
    <n v="29"/>
    <n v="-556.7836288309918"/>
    <n v="0"/>
    <n v="0"/>
    <n v="0"/>
    <n v="0"/>
    <n v="0"/>
    <n v="0"/>
    <n v="0"/>
    <n v="-72.659796326308424"/>
    <n v="0"/>
    <n v="0"/>
    <n v="-8.0942627391777933E-6"/>
    <n v="0"/>
    <n v="0"/>
    <n v="0"/>
    <n v="-1.1166403055540286E-6"/>
    <n v="0"/>
    <n v="-411.71862709271772"/>
    <m/>
    <n v="0"/>
    <n v="0"/>
    <n v="0"/>
    <n v="0"/>
    <n v="-54.98554686943362"/>
    <n v="-17.419649331619212"/>
    <n v="0"/>
    <n v="0"/>
    <m/>
    <m/>
    <m/>
    <n v="116060.70499497098"/>
    <n v="0"/>
    <n v="0"/>
    <n v="-71719.212820000001"/>
    <n v="0"/>
    <n v="0"/>
    <n v="0"/>
    <n v="-71162.055102054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6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93.42"/>
    <n v="87.814800000000005"/>
    <n v="93.42"/>
    <n v="87.814800000000005"/>
    <m/>
    <n v="739.04"/>
    <n v="252.22"/>
    <m/>
    <n v="92603.5092"/>
    <n v="92603.5092"/>
    <n v="63335.957399999999"/>
    <n v="0"/>
    <n v="5778.3218917585982"/>
    <n v="0"/>
    <n v="0"/>
    <n v="0"/>
    <n v="11537.144007326273"/>
    <n v="47362.79747840068"/>
    <n v="23562.650937697512"/>
    <n v="0"/>
    <n v="0"/>
    <n v="0"/>
    <n v="0"/>
    <n v="0"/>
    <n v="893.19134636921183"/>
    <m/>
    <n v="218.91094953048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0.4786445697018"/>
    <n v="0"/>
    <n v="0"/>
    <n v="0"/>
    <n v="25527.200000000001"/>
    <n v="28"/>
    <m/>
    <m/>
    <m/>
    <m/>
    <n v="3800.1574439999977"/>
    <m/>
    <m/>
    <m/>
    <m/>
    <n v="26813.129582267215"/>
    <m/>
    <m/>
    <m/>
    <m/>
    <m/>
    <m/>
    <m/>
    <m/>
    <m/>
    <m/>
    <m/>
    <m/>
    <n v="59532.545700000002"/>
    <n v="-27514.782948000007"/>
    <m/>
    <m/>
    <m/>
    <m/>
    <n v="-29267.551799999997"/>
    <n v="0"/>
    <n v="29"/>
    <n v="-227.21583720150375"/>
    <n v="0"/>
    <n v="0"/>
    <n v="0"/>
    <n v="0"/>
    <n v="0"/>
    <n v="0"/>
    <n v="0"/>
    <n v="-29.651476082028239"/>
    <n v="0"/>
    <n v="0"/>
    <n v="-3.3033320505637676E-6"/>
    <n v="0"/>
    <n v="0"/>
    <n v="0"/>
    <n v="-4.5569413487100974E-7"/>
    <n v="0"/>
    <n v="-168.01678013176661"/>
    <m/>
    <n v="0"/>
    <n v="0"/>
    <n v="0"/>
    <n v="0"/>
    <n v="-22.438854914149147"/>
    <n v="-7.108722314533054"/>
    <n v="0"/>
    <n v="0"/>
    <m/>
    <m/>
    <m/>
    <n v="47362.79747840068"/>
    <n v="0"/>
    <n v="0"/>
    <n v="-29267.551800000001"/>
    <n v="0"/>
    <n v="0"/>
    <n v="0"/>
    <n v="-29040.268229384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7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9.9870000000000001"/>
    <n v="9.9870000000000001"/>
    <n v="9.9870000000000001"/>
    <n v="9.9870000000000001"/>
    <m/>
    <n v="739.04"/>
    <n v="252.22"/>
    <m/>
    <n v="9899.7136200000004"/>
    <n v="9899.7136200000004"/>
    <n v="6770.8863899999997"/>
    <n v="0"/>
    <n v="617.72747519795678"/>
    <n v="0"/>
    <n v="0"/>
    <n v="0"/>
    <n v="1233.3703404106989"/>
    <n v="5063.2868595245945"/>
    <n v="2518.9487787923895"/>
    <n v="0"/>
    <n v="0"/>
    <n v="0"/>
    <n v="0"/>
    <n v="0"/>
    <n v="95.485998460600712"/>
    <m/>
    <n v="23.402522510822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49015439218164"/>
    <n v="0"/>
    <n v="0"/>
    <n v="0"/>
    <n v="2729.59"/>
    <n v="11"/>
    <m/>
    <m/>
    <m/>
    <m/>
    <m/>
    <m/>
    <m/>
    <m/>
    <m/>
    <n v="2866.4389331845709"/>
    <m/>
    <m/>
    <m/>
    <m/>
    <m/>
    <m/>
    <m/>
    <m/>
    <m/>
    <m/>
    <m/>
    <m/>
    <n v="6772.9202999999998"/>
    <n v="-3126.8233200000013"/>
    <m/>
    <m/>
    <m/>
    <m/>
    <n v="-3128.8272299999999"/>
    <n v="0"/>
    <n v="29"/>
    <n v="-24.290350740006033"/>
    <n v="0"/>
    <n v="0"/>
    <n v="0"/>
    <n v="0"/>
    <n v="0"/>
    <n v="0"/>
    <n v="0"/>
    <n v="-3.1698703878316792"/>
    <n v="0"/>
    <n v="0"/>
    <n v="-3.5314042179379612E-7"/>
    <n v="0"/>
    <n v="0"/>
    <n v="0"/>
    <n v="-4.871560577157652E-8"/>
    <n v="0"/>
    <n v="-17.961716797002282"/>
    <m/>
    <n v="0"/>
    <n v="0"/>
    <n v="0"/>
    <n v="0"/>
    <n v="-2.3988101480154995"/>
    <n v="-0.75995300530123799"/>
    <n v="0"/>
    <n v="0"/>
    <m/>
    <m/>
    <m/>
    <n v="5063.2868595245945"/>
    <n v="0"/>
    <n v="0"/>
    <n v="-3128.8272299999999"/>
    <n v="0"/>
    <n v="0"/>
    <n v="0"/>
    <n v="-3104.529638266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78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13.29"/>
    <n v="3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79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210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80"/>
    <s v="Regular"/>
    <s v="Convencional"/>
    <s v="B2"/>
    <s v="Rural"/>
    <s v="Agropecuária rural"/>
    <s v="IRRIG./AQUIC."/>
    <s v="Não se aplica"/>
    <s v="Não se aplica"/>
    <s v="CATIVO"/>
    <x v="7"/>
    <n v="0"/>
    <n v="0"/>
    <n v="220.43299999999999"/>
    <n v="220.43299999999999"/>
    <n v="220.43299999999999"/>
    <n v="220.43299999999999"/>
    <m/>
    <n v="739.04"/>
    <n v="252.22"/>
    <m/>
    <n v="218506.41558"/>
    <n v="218506.41558"/>
    <n v="149446.96101"/>
    <n v="0"/>
    <n v="13634.476873967276"/>
    <n v="0"/>
    <n v="0"/>
    <n v="0"/>
    <n v="27222.942249699769"/>
    <n v="111756.83511620955"/>
    <n v="55598.221303248501"/>
    <n v="0"/>
    <n v="0"/>
    <n v="0"/>
    <n v="0"/>
    <n v="0"/>
    <n v="2107.5663461165113"/>
    <m/>
    <n v="516.54032688775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69.8004609123636"/>
    <n v="0"/>
    <n v="0"/>
    <n v="0"/>
    <n v="0"/>
    <n v="0"/>
    <m/>
    <m/>
    <m/>
    <m/>
    <m/>
    <n v="21686.198539999998"/>
    <m/>
    <m/>
    <m/>
    <n v="63268.021764160861"/>
    <m/>
    <m/>
    <m/>
    <m/>
    <m/>
    <m/>
    <m/>
    <m/>
    <m/>
    <m/>
    <m/>
    <m/>
    <n v="127759.02370000001"/>
    <n v="-58010.917050000004"/>
    <m/>
    <m/>
    <m/>
    <m/>
    <n v="-69059.454569999987"/>
    <n v="0"/>
    <n v="29"/>
    <n v="-536.13646587281255"/>
    <n v="0"/>
    <n v="0"/>
    <n v="0"/>
    <n v="0"/>
    <n v="0"/>
    <n v="0"/>
    <n v="0"/>
    <n v="-69.965358886642207"/>
    <n v="0"/>
    <n v="0"/>
    <n v="-7.7945151133462787E-6"/>
    <n v="0"/>
    <n v="0"/>
    <n v="0"/>
    <n v="-1.0752510206657462E-6"/>
    <n v="0"/>
    <n v="-396.4508980388091"/>
    <m/>
    <n v="0"/>
    <n v="0"/>
    <n v="0"/>
    <n v="0"/>
    <n v="-52.946522214629113"/>
    <n v="-16.773677862978673"/>
    <n v="0"/>
    <n v="0"/>
    <m/>
    <m/>
    <m/>
    <n v="111756.83511620955"/>
    <n v="0"/>
    <n v="0"/>
    <n v="-69059.454570000002"/>
    <n v="0"/>
    <n v="0"/>
    <n v="0"/>
    <n v="-68523.158280966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1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.1"/>
    <n v="0.1"/>
    <n v="0.1"/>
    <n v="0.1"/>
    <m/>
    <n v="739.04"/>
    <n v="252.22"/>
    <m/>
    <n v="99.126000000000005"/>
    <n v="99.126000000000005"/>
    <n v="67.796999999999997"/>
    <n v="0"/>
    <n v="6.18531566234061"/>
    <n v="0"/>
    <n v="0"/>
    <n v="0"/>
    <n v="12.349758089623499"/>
    <n v="50.698777005352902"/>
    <n v="25.222276747695901"/>
    <n v="0"/>
    <n v="0"/>
    <n v="0"/>
    <n v="0"/>
    <n v="0"/>
    <n v="0.95610291839992712"/>
    <m/>
    <n v="0.23432985391831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794247961568203"/>
    <n v="0"/>
    <n v="0"/>
    <n v="0"/>
    <n v="0"/>
    <n v="0"/>
    <m/>
    <m/>
    <m/>
    <m/>
    <m/>
    <n v="9.838000000000001"/>
    <m/>
    <m/>
    <m/>
    <n v="28.701701543852721"/>
    <m/>
    <m/>
    <m/>
    <m/>
    <m/>
    <m/>
    <m/>
    <m/>
    <m/>
    <m/>
    <m/>
    <m/>
    <n v="57.959000000000003"/>
    <n v="-26.346000000000004"/>
    <m/>
    <m/>
    <m/>
    <m/>
    <n v="-31.328999999999997"/>
    <n v="0"/>
    <n v="29"/>
    <n v="-0.24321969300097379"/>
    <n v="0"/>
    <n v="0"/>
    <n v="0"/>
    <n v="0"/>
    <n v="0"/>
    <n v="0"/>
    <n v="0"/>
    <n v="-3.173996583389993E-2"/>
    <n v="0"/>
    <n v="0"/>
    <n v="-3.5360017136554234E-9"/>
    <n v="0"/>
    <n v="0"/>
    <n v="0"/>
    <n v="-4.8779025263456788E-10"/>
    <n v="0"/>
    <n v="-0.17985097423652974"/>
    <m/>
    <n v="0"/>
    <n v="0"/>
    <n v="0"/>
    <n v="0"/>
    <n v="-2.4019326604741154E-2"/>
    <n v="-7.6094223020049812E-3"/>
    <n v="0"/>
    <n v="0"/>
    <m/>
    <m/>
    <m/>
    <n v="50.698777005352902"/>
    <n v="0"/>
    <n v="0"/>
    <n v="-31.328999999999994"/>
    <n v="0"/>
    <n v="0"/>
    <n v="0"/>
    <n v="-31.085707802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2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01.414"/>
    <n v="40.565600000000003"/>
    <n v="101.414"/>
    <n v="40.565600000000003"/>
    <m/>
    <n v="739.04"/>
    <n v="252.22"/>
    <m/>
    <n v="100527.64163999999"/>
    <n v="100527.64163999999"/>
    <n v="68755.649579999998"/>
    <n v="0"/>
    <n v="6272.7760258061062"/>
    <n v="0"/>
    <n v="0"/>
    <n v="0"/>
    <n v="12524.383669010776"/>
    <n v="51415.657712208595"/>
    <n v="25578.919740908321"/>
    <n v="0"/>
    <n v="0"/>
    <n v="0"/>
    <n v="0"/>
    <n v="0"/>
    <n v="969.62221366610208"/>
    <m/>
    <n v="237.64327805271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8.6238627744779"/>
    <n v="0"/>
    <n v="0"/>
    <n v="0"/>
    <n v="0"/>
    <n v="0"/>
    <m/>
    <m/>
    <m/>
    <m/>
    <m/>
    <m/>
    <n v="45244.233476000001"/>
    <m/>
    <m/>
    <n v="29107.5436036828"/>
    <m/>
    <m/>
    <m/>
    <m/>
    <m/>
    <m/>
    <m/>
    <m/>
    <m/>
    <m/>
    <m/>
    <m/>
    <n v="23513.9663"/>
    <n v="-10672.723099999996"/>
    <m/>
    <m/>
    <m/>
    <m/>
    <n v="-31771.992059999997"/>
    <n v="0"/>
    <n v="29"/>
    <n v="-246.65881946000445"/>
    <n v="0"/>
    <n v="0"/>
    <n v="0"/>
    <n v="0"/>
    <n v="0"/>
    <n v="0"/>
    <n v="0"/>
    <n v="-32.1887689507912"/>
    <n v="0"/>
    <n v="0"/>
    <n v="-3.5859993658959866E-6"/>
    <n v="0"/>
    <n v="0"/>
    <n v="0"/>
    <n v="-4.9468781071482226E-7"/>
    <n v="0"/>
    <n v="-182.39406701223379"/>
    <m/>
    <n v="0"/>
    <n v="0"/>
    <n v="0"/>
    <n v="0"/>
    <n v="-24.358959882932254"/>
    <n v="-7.7170195333553409"/>
    <n v="0"/>
    <n v="0"/>
    <m/>
    <m/>
    <m/>
    <n v="51415.657712208595"/>
    <n v="0"/>
    <n v="0"/>
    <n v="-31771.99205999999"/>
    <n v="0"/>
    <n v="0"/>
    <n v="0"/>
    <n v="-31525.259711140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3"/>
    <s v="Regular"/>
    <s v="Verde"/>
    <s v="A4"/>
    <s v="Rural"/>
    <s v="Agropecuária rural"/>
    <s v="Não se aplica"/>
    <s v="Não se aplica"/>
    <s v="Ponta"/>
    <s v="CATIVO"/>
    <x v="7"/>
    <n v="0"/>
    <n v="0"/>
    <n v="51.834000000000003"/>
    <n v="49.760640000000002"/>
    <n v="51.834000000000003"/>
    <n v="49.760640000000002"/>
    <m/>
    <n v="2641.06"/>
    <n v="252.22"/>
    <m/>
    <n v="149970.27552000002"/>
    <n v="149970.27552000002"/>
    <n v="89016.601559999996"/>
    <n v="0"/>
    <n v="2789.3039727633395"/>
    <n v="0"/>
    <n v="0"/>
    <n v="0"/>
    <n v="33576.354187610814"/>
    <n v="99111.290719856246"/>
    <n v="13073.714929400694"/>
    <n v="0"/>
    <n v="0"/>
    <n v="0"/>
    <n v="0"/>
    <n v="0"/>
    <n v="495.58638672341823"/>
    <m/>
    <n v="124.70773873837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9.42755451550988"/>
    <n v="0"/>
    <n v="0"/>
    <n v="0"/>
    <n v="0"/>
    <n v="0"/>
    <m/>
    <m/>
    <m/>
    <m/>
    <m/>
    <n v="3560.6640624000015"/>
    <m/>
    <m/>
    <m/>
    <n v="13873.142483916205"/>
    <m/>
    <m/>
    <m/>
    <m/>
    <m/>
    <m/>
    <m/>
    <m/>
    <m/>
    <m/>
    <m/>
    <m/>
    <n v="85454.838399999993"/>
    <n v="-58516.65609920006"/>
    <m/>
    <m/>
    <m/>
    <m/>
    <n v="-60953.673960000007"/>
    <n v="0"/>
    <n v="29"/>
    <n v="-183.89885653570673"/>
    <n v="0"/>
    <n v="0"/>
    <n v="0"/>
    <n v="0"/>
    <n v="0"/>
    <n v="0"/>
    <n v="0"/>
    <n v="-86.294187060906552"/>
    <n v="0"/>
    <n v="0"/>
    <n v="-1.8328519217902794E-6"/>
    <n v="0"/>
    <n v="0"/>
    <n v="0"/>
    <n v="-1.1207544048374984E-7"/>
    <n v="0"/>
    <n v="-81.104839967613316"/>
    <m/>
    <n v="0"/>
    <n v="0"/>
    <n v="0"/>
    <n v="0"/>
    <n v="-12.450177752301556"/>
    <n v="-4.0496498099610534"/>
    <n v="0"/>
    <n v="0"/>
    <m/>
    <m/>
    <m/>
    <n v="99111.290719856246"/>
    <n v="0"/>
    <n v="0"/>
    <n v="-60953.673960000015"/>
    <n v="0"/>
    <n v="0"/>
    <n v="0"/>
    <n v="-60769.604421649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4"/>
    <s v="Sistema de Compensação"/>
    <s v="Verde"/>
    <s v="A4"/>
    <s v="Rural"/>
    <s v="Agropecuária rural"/>
    <s v="Não se aplica"/>
    <s v="Não se aplica"/>
    <s v="Ponta"/>
    <s v="CATIVO"/>
    <x v="7"/>
    <n v="0"/>
    <n v="0"/>
    <n v="5.7590000000000003"/>
    <n v="5.5286400000000002"/>
    <n v="5.7590000000000003"/>
    <n v="5.5286400000000002"/>
    <m/>
    <n v="2641.06"/>
    <n v="252.22"/>
    <m/>
    <n v="16662.399519999999"/>
    <n v="16662.399519999999"/>
    <n v="9890.1610600000004"/>
    <n v="0"/>
    <n v="309.90472622495025"/>
    <n v="0"/>
    <n v="0"/>
    <n v="0"/>
    <n v="3730.4900985154659"/>
    <n v="11011.728272092683"/>
    <n v="1452.550917899807"/>
    <n v="0"/>
    <n v="0"/>
    <n v="0"/>
    <n v="0"/>
    <n v="0"/>
    <n v="55.061967070651804"/>
    <m/>
    <n v="13.855613446662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820142887965844"/>
    <n v="0"/>
    <n v="0"/>
    <n v="0"/>
    <n v="0"/>
    <n v="0"/>
    <m/>
    <m/>
    <m/>
    <m/>
    <m/>
    <n v="395.60644240000022"/>
    <m/>
    <m/>
    <m/>
    <n v="1541.3710607877729"/>
    <m/>
    <m/>
    <m/>
    <m/>
    <m/>
    <m/>
    <m/>
    <m/>
    <m/>
    <m/>
    <m/>
    <m/>
    <n v="9496.8901999999998"/>
    <n v="-6499.0433392000014"/>
    <m/>
    <m/>
    <m/>
    <m/>
    <n v="-6772.2384600000005"/>
    <n v="0"/>
    <n v="29"/>
    <n v="-20.432023667653084"/>
    <n v="0"/>
    <n v="0"/>
    <n v="0"/>
    <n v="0"/>
    <n v="0"/>
    <n v="0"/>
    <n v="0"/>
    <n v="-9.5876880673640699"/>
    <n v="0"/>
    <n v="0"/>
    <n v="-2.0363836483738851E-7"/>
    <n v="0"/>
    <n v="0"/>
    <n v="0"/>
    <n v="-1.2452105124793889E-8"/>
    <n v="0"/>
    <n v="-9.0111273174650819"/>
    <m/>
    <n v="0"/>
    <n v="0"/>
    <n v="0"/>
    <n v="0"/>
    <n v="-1.3832730191670422"/>
    <n v="-0.44993504756657288"/>
    <n v="0"/>
    <n v="0"/>
    <m/>
    <m/>
    <m/>
    <n v="11011.728272092683"/>
    <n v="0"/>
    <n v="0"/>
    <n v="-6772.2384600000005"/>
    <n v="0"/>
    <n v="0"/>
    <n v="0"/>
    <n v="-6751.7874727838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5"/>
    <s v="Regular"/>
    <s v="Verde"/>
    <s v="A4"/>
    <s v="Rural"/>
    <s v="Agropecuária rural"/>
    <s v="Não se aplica"/>
    <s v="Não se aplica"/>
    <s v="Fora ponta"/>
    <s v="CATIVO"/>
    <x v="7"/>
    <n v="0"/>
    <n v="0"/>
    <n v="467.863"/>
    <n v="449.14848000000001"/>
    <n v="467.863"/>
    <n v="449.14848000000001"/>
    <m/>
    <n v="81.2"/>
    <n v="252.22"/>
    <m/>
    <n v="155994.88146"/>
    <n v="155994.88146"/>
    <n v="155115.29902000001"/>
    <n v="0"/>
    <n v="25176.758973048083"/>
    <n v="0"/>
    <n v="0"/>
    <n v="0"/>
    <n v="0"/>
    <n v="0"/>
    <n v="118005.70066007247"/>
    <n v="0"/>
    <n v="0"/>
    <n v="0"/>
    <n v="0"/>
    <n v="0"/>
    <n v="4473.2517971134503"/>
    <m/>
    <n v="1125.634463274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15.7767862462861"/>
    <n v="0"/>
    <n v="0"/>
    <n v="0"/>
    <n v="0"/>
    <n v="0"/>
    <m/>
    <m/>
    <m/>
    <m/>
    <m/>
    <n v="6204.6119607999972"/>
    <m/>
    <m/>
    <m/>
    <n v="125221.47744631875"/>
    <m/>
    <m/>
    <m/>
    <m/>
    <m/>
    <m/>
    <m/>
    <m/>
    <m/>
    <m/>
    <m/>
    <m/>
    <n v="148911.19099999999"/>
    <n v="-843.92520160001004"/>
    <m/>
    <m/>
    <m/>
    <m/>
    <n v="-879.58244000000457"/>
    <n v="0"/>
    <n v="29"/>
    <n v="-880.99728893180145"/>
    <n v="0"/>
    <n v="0"/>
    <n v="0"/>
    <n v="0"/>
    <n v="0"/>
    <n v="0"/>
    <n v="0"/>
    <n v="0"/>
    <n v="0"/>
    <n v="0"/>
    <n v="-1.6543635865673423E-5"/>
    <n v="0"/>
    <n v="0"/>
    <n v="0"/>
    <n v="-1.0116136763826944E-6"/>
    <n v="0"/>
    <n v="-732.06686232526044"/>
    <m/>
    <n v="0"/>
    <n v="0"/>
    <n v="0"/>
    <n v="0"/>
    <n v="-112.37754203273926"/>
    <n v="-36.552867018516963"/>
    <n v="0"/>
    <n v="0"/>
    <m/>
    <m/>
    <m/>
    <n v="0"/>
    <n v="0"/>
    <n v="0"/>
    <n v="-879.5824399999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6"/>
    <s v="Sistema de Compensação"/>
    <s v="Verde"/>
    <s v="A4"/>
    <s v="Rural"/>
    <s v="Agropecuária rural"/>
    <s v="Não se aplica"/>
    <s v="Não se aplica"/>
    <s v="Fora ponta"/>
    <s v="CATIVO"/>
    <x v="7"/>
    <n v="0"/>
    <n v="0"/>
    <n v="53.62"/>
    <n v="51.475199999999994"/>
    <n v="53.62"/>
    <n v="51.475199999999994"/>
    <m/>
    <n v="81.2"/>
    <n v="252.22"/>
    <m/>
    <n v="17877.9804"/>
    <n v="17877.9804"/>
    <n v="17777.174800000001"/>
    <n v="0"/>
    <n v="2885.4126445879201"/>
    <n v="0"/>
    <n v="0"/>
    <n v="0"/>
    <n v="0"/>
    <n v="0"/>
    <n v="13524.184792114542"/>
    <n v="0"/>
    <n v="0"/>
    <n v="0"/>
    <n v="0"/>
    <n v="0"/>
    <n v="512.66238484604082"/>
    <m/>
    <n v="129.0046871002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6.9727490280826"/>
    <n v="0"/>
    <n v="0"/>
    <n v="0"/>
    <n v="0"/>
    <n v="0"/>
    <m/>
    <m/>
    <m/>
    <m/>
    <m/>
    <n v="711.08699200000115"/>
    <m/>
    <m/>
    <m/>
    <n v="14351.157541142624"/>
    <m/>
    <m/>
    <m/>
    <m/>
    <m/>
    <m/>
    <m/>
    <m/>
    <m/>
    <m/>
    <m/>
    <m/>
    <n v="17067.679199999999"/>
    <n v="-95.211983999997756"/>
    <m/>
    <m/>
    <m/>
    <m/>
    <n v="-100.80560000000051"/>
    <n v="0"/>
    <n v="29"/>
    <n v="-100.96775045798131"/>
    <n v="0"/>
    <n v="0"/>
    <n v="0"/>
    <n v="0"/>
    <n v="0"/>
    <n v="0"/>
    <n v="0"/>
    <n v="0"/>
    <n v="0"/>
    <n v="0"/>
    <n v="-1.896005414891988E-6"/>
    <n v="0"/>
    <n v="0"/>
    <n v="0"/>
    <n v="-1.159371549874777E-7"/>
    <n v="0"/>
    <n v="-83.899400375495588"/>
    <m/>
    <n v="0"/>
    <n v="0"/>
    <n v="0"/>
    <n v="0"/>
    <n v="-12.87916292546214"/>
    <n v="-4.1891851450806854"/>
    <n v="0"/>
    <n v="0"/>
    <m/>
    <m/>
    <m/>
    <n v="0"/>
    <n v="0"/>
    <n v="0"/>
    <n v="-100.805599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87"/>
    <s v="Regular"/>
    <s v="Verde"/>
    <s v="A4"/>
    <s v="Rural"/>
    <s v="Agropecuária rural"/>
    <s v="Não se aplica"/>
    <s v="Não se aplica"/>
    <s v="Não se aplica"/>
    <s v="CATIVO"/>
    <x v="7"/>
    <n v="5370"/>
    <n v="5155.2"/>
    <n v="0"/>
    <n v="0"/>
    <n v="0"/>
    <n v="0"/>
    <n v="74.44"/>
    <m/>
    <m/>
    <n v="399742.8"/>
    <m/>
    <n v="399742.8"/>
    <n v="243905.40000000002"/>
    <n v="0"/>
    <n v="0"/>
    <n v="0"/>
    <n v="0"/>
    <n v="0"/>
    <n v="146155.78688852617"/>
    <n v="253579.658706536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79.97"/>
    <n v="25"/>
    <m/>
    <m/>
    <m/>
    <m/>
    <m/>
    <n v="9756.2160000000094"/>
    <m/>
    <m/>
    <m/>
    <n v="0"/>
    <m/>
    <m/>
    <m/>
    <m/>
    <m/>
    <m/>
    <m/>
    <m/>
    <m/>
    <m/>
    <m/>
    <m/>
    <n v="234149.18400000001"/>
    <n v="-149603.93400000001"/>
    <m/>
    <m/>
    <m/>
    <m/>
    <n v="-155837.39999999997"/>
    <n v="0"/>
    <n v="29"/>
    <n v="-375.63324306494906"/>
    <n v="0"/>
    <n v="0"/>
    <n v="0"/>
    <n v="0"/>
    <m/>
    <m/>
    <m/>
    <n v="-375.633243064949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3579.65870653695"/>
    <m/>
    <n v="0"/>
    <n v="0"/>
    <n v="-155837.39999999997"/>
    <m/>
    <n v="0"/>
    <m/>
    <n v="-155481.130727378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88"/>
    <s v="Sistema de Compensação"/>
    <s v="Verde"/>
    <s v="A4"/>
    <s v="Rural"/>
    <s v="Agropecuária rural"/>
    <s v="Não se aplica"/>
    <s v="Não se aplica"/>
    <s v="Não se aplica"/>
    <s v="CATIVO"/>
    <x v="7"/>
    <n v="202"/>
    <n v="193.92"/>
    <n v="0"/>
    <n v="0"/>
    <n v="0"/>
    <n v="0"/>
    <n v="74.44"/>
    <m/>
    <m/>
    <n v="15036.88"/>
    <m/>
    <n v="15036.88"/>
    <n v="9174.84"/>
    <n v="0"/>
    <n v="0"/>
    <n v="0"/>
    <n v="0"/>
    <n v="0"/>
    <n v="5497.8526911512636"/>
    <n v="9538.75066270399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3.62"/>
    <n v="2"/>
    <m/>
    <m/>
    <m/>
    <m/>
    <m/>
    <n v="366.99360000000058"/>
    <m/>
    <m/>
    <m/>
    <n v="0"/>
    <m/>
    <m/>
    <m/>
    <m/>
    <m/>
    <m/>
    <m/>
    <m/>
    <m/>
    <m/>
    <m/>
    <m/>
    <n v="8807.8464000000004"/>
    <n v="-5627.5883999999987"/>
    <m/>
    <m/>
    <m/>
    <m/>
    <n v="-5862.0399999999991"/>
    <n v="0"/>
    <n v="29"/>
    <n v="-14.129965567806721"/>
    <n v="0"/>
    <n v="0"/>
    <n v="0"/>
    <n v="0"/>
    <m/>
    <m/>
    <m/>
    <n v="-14.1299655678067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38.7506627039966"/>
    <m/>
    <n v="0"/>
    <n v="0"/>
    <n v="-5862.0399999999991"/>
    <m/>
    <n v="0"/>
    <m/>
    <n v="-5848.638437044769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389"/>
    <s v="Regular"/>
    <s v="Verde"/>
    <s v="A4"/>
    <s v="Rural"/>
    <s v="Agropecuária rural"/>
    <s v="IRRIG./AQUIC. PR"/>
    <s v="Não se aplica"/>
    <s v="Fora ponta"/>
    <s v="CATIVO"/>
    <x v="7"/>
    <n v="0"/>
    <n v="0"/>
    <n v="333.94200000000001"/>
    <n v="100.18259999999999"/>
    <n v="333.94200000000001"/>
    <n v="100.18259999999999"/>
    <m/>
    <n v="81.2"/>
    <n v="252.22"/>
    <m/>
    <n v="111342.94164"/>
    <n v="111342.94164"/>
    <n v="110715.13068"/>
    <n v="0"/>
    <n v="17970.169141346127"/>
    <n v="0"/>
    <n v="0"/>
    <n v="0"/>
    <n v="0"/>
    <n v="0"/>
    <n v="84227.775416790653"/>
    <n v="0"/>
    <n v="0"/>
    <n v="0"/>
    <n v="0"/>
    <n v="0"/>
    <n v="3192.8292077630845"/>
    <m/>
    <n v="803.43310741542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50.3344602002235"/>
    <n v="0"/>
    <n v="0"/>
    <n v="0"/>
    <n v="0"/>
    <n v="0"/>
    <m/>
    <m/>
    <m/>
    <m/>
    <m/>
    <m/>
    <n v="77500.591476000001"/>
    <m/>
    <m/>
    <n v="89378.109876990871"/>
    <m/>
    <m/>
    <m/>
    <m/>
    <m/>
    <m/>
    <m/>
    <m/>
    <m/>
    <m/>
    <m/>
    <m/>
    <n v="33213.677199999998"/>
    <n v="-189.23529200000485"/>
    <m/>
    <m/>
    <m/>
    <m/>
    <n v="-627.81096000000321"/>
    <n v="0"/>
    <n v="29"/>
    <n v="-628.82082289144455"/>
    <n v="0"/>
    <n v="0"/>
    <n v="0"/>
    <n v="0"/>
    <n v="0"/>
    <n v="0"/>
    <n v="0"/>
    <n v="0"/>
    <n v="0"/>
    <n v="0"/>
    <n v="-1.1808195267803967E-5"/>
    <n v="0"/>
    <n v="0"/>
    <n v="0"/>
    <n v="-7.220487532322295E-7"/>
    <n v="0"/>
    <n v="-522.5202081349089"/>
    <m/>
    <n v="0"/>
    <n v="0"/>
    <n v="0"/>
    <n v="0"/>
    <n v="-80.210619650404624"/>
    <n v="-26.089982575877116"/>
    <n v="0"/>
    <n v="0"/>
    <m/>
    <m/>
    <m/>
    <n v="0"/>
    <n v="0"/>
    <n v="0"/>
    <n v="-627.8109600000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0"/>
    <s v="Regular"/>
    <s v="Convencional"/>
    <s v="B1"/>
    <s v="Residencial"/>
    <s v="Residencial"/>
    <s v="Não se aplica"/>
    <s v="Não se aplica"/>
    <s v="Não se aplica"/>
    <s v="CATIVO"/>
    <x v="8"/>
    <n v="0"/>
    <n v="0"/>
    <n v="1295.683"/>
    <n v="1295.683"/>
    <n v="1295.683"/>
    <n v="1295.683"/>
    <m/>
    <n v="739.04"/>
    <n v="252.22"/>
    <m/>
    <n v="1284358.73058"/>
    <n v="1284358.73058"/>
    <n v="878434.20351000002"/>
    <n v="0"/>
    <n v="80142.083533284691"/>
    <n v="0"/>
    <n v="0"/>
    <n v="0"/>
    <n v="160013.71610837645"/>
    <n v="656895.43486626667"/>
    <n v="326800.75203284866"/>
    <n v="0"/>
    <n v="0"/>
    <n v="0"/>
    <n v="0"/>
    <n v="0"/>
    <n v="12388.062976211726"/>
    <m/>
    <n v="3036.1720811444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82.315581588577"/>
    <n v="0"/>
    <n v="0"/>
    <n v="0"/>
    <n v="344942.89"/>
    <n v="8202"/>
    <m/>
    <m/>
    <m/>
    <m/>
    <m/>
    <m/>
    <m/>
    <m/>
    <m/>
    <n v="371883.06761443726"/>
    <m/>
    <m/>
    <m/>
    <m/>
    <m/>
    <m/>
    <m/>
    <m/>
    <m/>
    <m/>
    <m/>
    <m/>
    <n v="878432.16960000002"/>
    <n v="-405926.59097999998"/>
    <m/>
    <m/>
    <m/>
    <m/>
    <n v="-405924.52706999995"/>
    <n v="0"/>
    <n v="31"/>
    <n v="-3151.3562148658093"/>
    <n v="0"/>
    <n v="0"/>
    <n v="0"/>
    <n v="0"/>
    <n v="0"/>
    <n v="0"/>
    <n v="0"/>
    <n v="-411.24934151564958"/>
    <n v="0"/>
    <n v="0"/>
    <n v="-4.5815366320312023E-5"/>
    <n v="0"/>
    <n v="0"/>
    <n v="0"/>
    <n v="-6.3202169258147478E-6"/>
    <n v="0"/>
    <n v="-2330.2984985171061"/>
    <m/>
    <n v="0"/>
    <n v="0"/>
    <n v="0"/>
    <n v="0"/>
    <n v="-311.21433153210819"/>
    <n v="-98.593991165287207"/>
    <n v="0"/>
    <n v="0"/>
    <m/>
    <m/>
    <m/>
    <n v="656895.43486626667"/>
    <n v="0"/>
    <n v="0"/>
    <n v="-405924.52706999995"/>
    <n v="0"/>
    <n v="0"/>
    <n v="0"/>
    <n v="-402772.23143067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1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2.258"/>
    <n v="-2.258"/>
    <n v="-2.258"/>
    <n v="-2.258"/>
    <m/>
    <n v="739.04"/>
    <n v="252.22"/>
    <m/>
    <n v="-2238.2650799999997"/>
    <n v="-2238.2650799999997"/>
    <n v="-1530.85626"/>
    <n v="0"/>
    <n v="-139.66442765565097"/>
    <n v="0"/>
    <n v="0"/>
    <n v="0"/>
    <n v="-278.85753766369862"/>
    <n v="-1144.7783847808685"/>
    <n v="-569.51900896297343"/>
    <n v="0"/>
    <n v="0"/>
    <n v="0"/>
    <n v="0"/>
    <n v="0"/>
    <n v="-21.588803897470353"/>
    <m/>
    <n v="-5.2911681014755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8.565411897220997"/>
    <n v="0"/>
    <n v="0"/>
    <n v="0"/>
    <n v="-626.85"/>
    <n v="0"/>
    <m/>
    <m/>
    <m/>
    <m/>
    <m/>
    <m/>
    <m/>
    <m/>
    <m/>
    <n v="-648.08442086019443"/>
    <m/>
    <m/>
    <m/>
    <m/>
    <m/>
    <m/>
    <m/>
    <m/>
    <m/>
    <m/>
    <m/>
    <m/>
    <n v="-1532.2121999999999"/>
    <n v="706.02287999999953"/>
    <m/>
    <m/>
    <m/>
    <m/>
    <n v="707.40881999999988"/>
    <n v="0"/>
    <n v="31"/>
    <n v="5.4919006679619997"/>
    <n v="0"/>
    <n v="0"/>
    <n v="0"/>
    <n v="0"/>
    <n v="0"/>
    <n v="0"/>
    <n v="0"/>
    <n v="0.7166884285294941"/>
    <n v="0"/>
    <n v="0"/>
    <n v="7.9842948252917267E-8"/>
    <n v="0"/>
    <n v="0"/>
    <n v="0"/>
    <n v="1.1014307688128611E-8"/>
    <n v="0"/>
    <n v="4.0610349982608227"/>
    <m/>
    <n v="0"/>
    <n v="0"/>
    <n v="0"/>
    <n v="0"/>
    <n v="0.54235639473505515"/>
    <n v="0.17182075557927323"/>
    <n v="0"/>
    <n v="0"/>
    <m/>
    <m/>
    <m/>
    <n v="-1144.7783847808685"/>
    <n v="0"/>
    <n v="0"/>
    <n v="707.40881999999988"/>
    <n v="0"/>
    <n v="0"/>
    <n v="0"/>
    <n v="701.91528218742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2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1.749000000000002"/>
    <n v="41.749000000000002"/>
    <n v="41.749000000000002"/>
    <n v="41.749000000000002"/>
    <m/>
    <n v="739.04"/>
    <n v="252.22"/>
    <m/>
    <n v="41384.113740000001"/>
    <n v="41384.113740000001"/>
    <n v="28304.569530000001"/>
    <n v="0"/>
    <n v="2582.3074358705812"/>
    <n v="0"/>
    <n v="0"/>
    <n v="0"/>
    <n v="5155.9005048369154"/>
    <n v="21166.232411964782"/>
    <n v="10530.048319395562"/>
    <n v="0"/>
    <n v="0"/>
    <n v="0"/>
    <n v="0"/>
    <n v="0"/>
    <n v="399.16340740278554"/>
    <m/>
    <n v="97.83037071235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2.625058147511"/>
    <n v="0"/>
    <n v="0"/>
    <n v="0"/>
    <n v="31288.73"/>
    <n v="517"/>
    <m/>
    <m/>
    <m/>
    <m/>
    <m/>
    <m/>
    <m/>
    <m/>
    <m/>
    <n v="11982.673377543073"/>
    <m/>
    <m/>
    <m/>
    <m/>
    <m/>
    <m/>
    <m/>
    <m/>
    <m/>
    <m/>
    <m/>
    <m/>
    <n v="28305.247499999998"/>
    <n v="-13078.896240000002"/>
    <m/>
    <m/>
    <m/>
    <m/>
    <n v="-13079.54421"/>
    <n v="0"/>
    <n v="31"/>
    <n v="-101.54178963097365"/>
    <n v="0"/>
    <n v="0"/>
    <n v="0"/>
    <n v="0"/>
    <n v="0"/>
    <n v="0"/>
    <n v="0"/>
    <n v="-13.25111833599567"/>
    <n v="0"/>
    <n v="0"/>
    <n v="-1.4762463251827285E-6"/>
    <n v="0"/>
    <n v="0"/>
    <n v="0"/>
    <n v="-2.0364768715808168E-7"/>
    <n v="0"/>
    <n v="-75.085983234008381"/>
    <m/>
    <n v="0"/>
    <n v="0"/>
    <n v="0"/>
    <n v="0"/>
    <n v="-10.027828664213359"/>
    <n v="-3.1768577168640633"/>
    <n v="0"/>
    <n v="0"/>
    <m/>
    <m/>
    <m/>
    <n v="21166.232411964782"/>
    <n v="0"/>
    <n v="0"/>
    <n v="-13079.54421"/>
    <n v="0"/>
    <n v="0"/>
    <n v="0"/>
    <n v="-12977.97215059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61.5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39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9.6300000000000008"/>
    <n v="9.6300000000000008"/>
    <n v="9.6300000000000008"/>
    <n v="9.6300000000000008"/>
    <m/>
    <n v="667.62"/>
    <n v="252.22"/>
    <m/>
    <n v="8858.0591999999997"/>
    <n v="8858.0591999999997"/>
    <n v="5860.7217000000001"/>
    <n v="0"/>
    <n v="0"/>
    <n v="0"/>
    <n v="0"/>
    <n v="0"/>
    <n v="1189.2817040307432"/>
    <n v="4882.2922256154843"/>
    <n v="2428.9052508031155"/>
    <n v="0"/>
    <n v="0"/>
    <n v="0"/>
    <n v="0"/>
    <n v="0"/>
    <n v="0"/>
    <m/>
    <n v="22.565964932333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06860786990183"/>
    <n v="0"/>
    <n v="0"/>
    <n v="0"/>
    <n v="645.41"/>
    <n v="14"/>
    <m/>
    <m/>
    <m/>
    <m/>
    <m/>
    <m/>
    <m/>
    <n v="3809.4354000000003"/>
    <m/>
    <n v="2763.9738586730173"/>
    <m/>
    <m/>
    <m/>
    <m/>
    <m/>
    <m/>
    <m/>
    <m/>
    <m/>
    <m/>
    <m/>
    <m/>
    <n v="2051.2863000000002"/>
    <n v="-1049.1222000000002"/>
    <m/>
    <m/>
    <m/>
    <m/>
    <n v="-2997.3375000000001"/>
    <n v="0"/>
    <n v="31"/>
    <n v="-3.7893464649791895"/>
    <n v="0"/>
    <n v="0"/>
    <n v="0"/>
    <n v="0"/>
    <n v="0"/>
    <n v="0"/>
    <n v="0"/>
    <n v="-3.0565587098046763"/>
    <n v="0"/>
    <n v="0"/>
    <n v="-3.4051709008053876E-7"/>
    <n v="0"/>
    <n v="0"/>
    <n v="0"/>
    <n v="-4.6974207634775667E-8"/>
    <n v="0"/>
    <n v="0"/>
    <m/>
    <n v="0"/>
    <n v="0"/>
    <n v="0"/>
    <n v="0"/>
    <n v="0"/>
    <n v="-0.7327873676830805"/>
    <n v="0"/>
    <n v="0"/>
    <m/>
    <m/>
    <m/>
    <n v="4882.2922256154843"/>
    <n v="0"/>
    <n v="0"/>
    <n v="-2997.3375000000001"/>
    <n v="0"/>
    <n v="0"/>
    <n v="0"/>
    <n v="-2993.5536614105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5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9"/>
    <n v="-0.14399999999999999"/>
    <n v="0.09"/>
    <n v="-0.14399999999999999"/>
    <m/>
    <n v="667.62"/>
    <n v="252.22"/>
    <m/>
    <n v="82.785600000000002"/>
    <n v="82.785600000000002"/>
    <n v="54.773099999999999"/>
    <n v="0"/>
    <n v="0"/>
    <n v="0"/>
    <n v="0"/>
    <n v="0"/>
    <n v="11.114782280661149"/>
    <n v="45.628899304817608"/>
    <n v="22.700049072926308"/>
    <n v="0"/>
    <n v="0"/>
    <n v="0"/>
    <n v="0"/>
    <n v="0"/>
    <n v="0"/>
    <m/>
    <n v="0.21089686852648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314823165411383"/>
    <n v="0"/>
    <n v="0"/>
    <n v="0"/>
    <n v="7.6"/>
    <n v="0"/>
    <m/>
    <m/>
    <m/>
    <m/>
    <m/>
    <m/>
    <m/>
    <n v="85.446539999999999"/>
    <m/>
    <n v="25.831531389467447"/>
    <m/>
    <m/>
    <m/>
    <m/>
    <m/>
    <m/>
    <m/>
    <m/>
    <m/>
    <m/>
    <m/>
    <m/>
    <n v="-29.821400000000004"/>
    <n v="16.509399999999992"/>
    <m/>
    <m/>
    <m/>
    <m/>
    <n v="-28.012499999999999"/>
    <n v="0"/>
    <n v="31"/>
    <n v="-3.541445294372636E-2"/>
    <n v="0"/>
    <n v="0"/>
    <n v="0"/>
    <n v="0"/>
    <n v="0"/>
    <n v="0"/>
    <n v="0"/>
    <n v="-2.8565969250509582E-2"/>
    <n v="0"/>
    <n v="0"/>
    <n v="-3.1824001212044095E-9"/>
    <n v="0"/>
    <n v="0"/>
    <n v="0"/>
    <n v="-4.39011493824637E-10"/>
    <n v="0"/>
    <n v="0"/>
    <m/>
    <n v="0"/>
    <n v="0"/>
    <n v="0"/>
    <n v="0"/>
    <n v="0"/>
    <n v="-6.8484800718044692E-3"/>
    <n v="0"/>
    <n v="0"/>
    <m/>
    <m/>
    <m/>
    <n v="45.628899304817608"/>
    <n v="0"/>
    <n v="0"/>
    <n v="-28.012500000000003"/>
    <n v="0"/>
    <n v="0"/>
    <n v="0"/>
    <n v="-27.977137022528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6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9.401"/>
    <n v="19.401"/>
    <n v="19.401"/>
    <n v="19.401"/>
    <m/>
    <n v="667.62"/>
    <n v="252.22"/>
    <m/>
    <n v="17845.815839999999"/>
    <n v="17845.815839999999"/>
    <n v="11807.25459"/>
    <n v="0"/>
    <n v="0"/>
    <n v="0"/>
    <n v="0"/>
    <n v="0"/>
    <n v="2395.976566967855"/>
    <n v="9836.0697268085169"/>
    <n v="4893.3739118204812"/>
    <n v="0"/>
    <n v="0"/>
    <n v="0"/>
    <n v="0"/>
    <n v="0"/>
    <n v="0"/>
    <m/>
    <n v="45.462334958692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5.04320470238474"/>
    <n v="0"/>
    <n v="0"/>
    <n v="0"/>
    <n v="2344.89"/>
    <n v="73"/>
    <m/>
    <m/>
    <m/>
    <m/>
    <m/>
    <m/>
    <m/>
    <n v="4722.9794400000001"/>
    <m/>
    <n v="5568.4171165228663"/>
    <m/>
    <m/>
    <m/>
    <m/>
    <m/>
    <m/>
    <m/>
    <m/>
    <m/>
    <m/>
    <m/>
    <m/>
    <n v="7083.91"/>
    <n v="-3623.5319"/>
    <m/>
    <m/>
    <m/>
    <m/>
    <n v="-6038.5612499999997"/>
    <n v="0"/>
    <n v="31"/>
    <n v="-7.6341755729026772"/>
    <n v="0"/>
    <n v="0"/>
    <n v="0"/>
    <n v="0"/>
    <n v="0"/>
    <n v="0"/>
    <n v="0"/>
    <n v="-6.1578707714347729"/>
    <n v="0"/>
    <n v="0"/>
    <n v="-6.8601912062149495E-7"/>
    <n v="0"/>
    <n v="0"/>
    <n v="0"/>
    <n v="-9.463622063776711E-8"/>
    <n v="0"/>
    <n v="0"/>
    <m/>
    <n v="0"/>
    <n v="0"/>
    <n v="0"/>
    <n v="0"/>
    <n v="0"/>
    <n v="-1.4763040208119875"/>
    <n v="0"/>
    <n v="0"/>
    <m/>
    <m/>
    <m/>
    <n v="9836.0697268085169"/>
    <n v="0"/>
    <n v="0"/>
    <n v="-6038.5612499999997"/>
    <n v="0"/>
    <n v="0"/>
    <n v="0"/>
    <n v="-6030.938170822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7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14000000000000001"/>
    <n v="-8.4000000000000005E-2"/>
    <n v="0.14000000000000001"/>
    <n v="-8.4000000000000005E-2"/>
    <m/>
    <n v="667.62"/>
    <n v="252.22"/>
    <m/>
    <n v="128.77760000000001"/>
    <n v="128.77760000000001"/>
    <n v="85.202600000000004"/>
    <n v="0"/>
    <n v="0"/>
    <n v="0"/>
    <n v="0"/>
    <n v="0"/>
    <n v="17.289661325472899"/>
    <n v="70.97828780749407"/>
    <n v="35.311187446774262"/>
    <n v="0"/>
    <n v="0"/>
    <n v="0"/>
    <n v="0"/>
    <n v="0"/>
    <n v="0"/>
    <m/>
    <n v="0.32806179548563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711947146195493"/>
    <n v="0"/>
    <n v="0"/>
    <n v="0"/>
    <n v="26.13"/>
    <n v="0"/>
    <m/>
    <m/>
    <m/>
    <m/>
    <m/>
    <m/>
    <m/>
    <n v="115.87520000000002"/>
    <m/>
    <n v="40.182382161393811"/>
    <m/>
    <m/>
    <m/>
    <m/>
    <m/>
    <m/>
    <m/>
    <m/>
    <m/>
    <m/>
    <m/>
    <m/>
    <n v="-29.212"/>
    <n v="17.117600000000007"/>
    <m/>
    <m/>
    <m/>
    <m/>
    <n v="-43.575000000000003"/>
    <n v="0"/>
    <n v="31"/>
    <n v="-5.5089149023565653E-2"/>
    <n v="0"/>
    <n v="0"/>
    <n v="0"/>
    <n v="0"/>
    <n v="0"/>
    <n v="0"/>
    <n v="0"/>
    <n v="-4.4435952167457771E-2"/>
    <n v="0"/>
    <n v="0"/>
    <n v="-4.9504009780321212E-9"/>
    <n v="0"/>
    <n v="0"/>
    <n v="0"/>
    <n v="-6.8290706423113079E-10"/>
    <n v="0"/>
    <n v="0"/>
    <m/>
    <n v="0"/>
    <n v="0"/>
    <n v="0"/>
    <n v="0"/>
    <n v="0"/>
    <n v="-1.0653191222807001E-2"/>
    <n v="0"/>
    <n v="0"/>
    <m/>
    <m/>
    <m/>
    <n v="70.97828780749407"/>
    <n v="0"/>
    <n v="0"/>
    <n v="-43.575000000000003"/>
    <n v="0"/>
    <n v="0"/>
    <n v="0"/>
    <n v="-43.51999092393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8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8.001999999999999"/>
    <n v="18.001999999999999"/>
    <n v="18.001999999999999"/>
    <n v="18.001999999999999"/>
    <m/>
    <n v="667.62"/>
    <n v="252.22"/>
    <m/>
    <n v="16558.95968"/>
    <n v="16558.95968"/>
    <n v="10955.837179999999"/>
    <n v="0"/>
    <n v="0"/>
    <n v="0"/>
    <n v="0"/>
    <n v="0"/>
    <n v="2223.2034512940222"/>
    <n v="9126.793836503628"/>
    <n v="4540.514260120216"/>
    <n v="0"/>
    <n v="0"/>
    <n v="0"/>
    <n v="0"/>
    <n v="0"/>
    <n v="0"/>
    <m/>
    <n v="42.184060302374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6.36605180415074"/>
    <n v="0"/>
    <n v="0"/>
    <n v="0"/>
    <n v="3286.41"/>
    <n v="157"/>
    <m/>
    <m/>
    <m/>
    <m/>
    <m/>
    <m/>
    <m/>
    <n v="1095.4216999999999"/>
    <m/>
    <n v="5166.8803119243667"/>
    <m/>
    <m/>
    <m/>
    <m/>
    <m/>
    <m/>
    <m/>
    <m/>
    <m/>
    <m/>
    <m/>
    <m/>
    <n v="9859.32"/>
    <n v="-5043.8457199999993"/>
    <m/>
    <m/>
    <m/>
    <m/>
    <n v="-5603.1224999999995"/>
    <n v="0"/>
    <n v="31"/>
    <n v="-7.0836775765883431"/>
    <n v="0"/>
    <n v="0"/>
    <n v="0"/>
    <n v="0"/>
    <n v="0"/>
    <n v="0"/>
    <n v="0"/>
    <n v="-5.7138286494187014"/>
    <n v="0"/>
    <n v="0"/>
    <n v="-6.3655170379206538E-7"/>
    <n v="0"/>
    <n v="0"/>
    <n v="0"/>
    <n v="-8.7812054516689386E-8"/>
    <n v="0"/>
    <n v="0"/>
    <m/>
    <n v="0"/>
    <n v="0"/>
    <n v="0"/>
    <n v="0"/>
    <n v="0"/>
    <n v="-1.3698482028069421"/>
    <n v="0"/>
    <n v="0"/>
    <m/>
    <m/>
    <m/>
    <n v="9126.793836503628"/>
    <n v="0"/>
    <n v="0"/>
    <n v="-5603.1225000000004"/>
    <n v="0"/>
    <n v="0"/>
    <n v="0"/>
    <n v="-5596.0491186616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399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22800000000000001"/>
    <n v="0.1368"/>
    <n v="0.22800000000000001"/>
    <n v="0.1368"/>
    <m/>
    <n v="667.62"/>
    <n v="252.22"/>
    <m/>
    <n v="209.72352000000001"/>
    <n v="209.72352000000001"/>
    <n v="138.75852"/>
    <n v="0"/>
    <n v="0"/>
    <n v="0"/>
    <n v="0"/>
    <n v="0"/>
    <n v="28.157448444341579"/>
    <n v="115.59321157220462"/>
    <n v="57.506790984746658"/>
    <n v="0"/>
    <n v="0"/>
    <n v="0"/>
    <n v="0"/>
    <n v="0"/>
    <n v="0"/>
    <m/>
    <n v="0.53427206693375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330885352375509"/>
    <n v="0"/>
    <n v="0"/>
    <n v="0"/>
    <n v="68.540000000000006"/>
    <n v="0"/>
    <m/>
    <m/>
    <m/>
    <m/>
    <m/>
    <m/>
    <m/>
    <n v="63.827688000000009"/>
    <m/>
    <n v="65.439879519984203"/>
    <m/>
    <m/>
    <m/>
    <m/>
    <m/>
    <m/>
    <m/>
    <m/>
    <m/>
    <m/>
    <m/>
    <m/>
    <n v="76.683600000000013"/>
    <n v="-36.597648000000007"/>
    <m/>
    <m/>
    <m/>
    <m/>
    <n v="-70.965000000000003"/>
    <n v="0"/>
    <n v="31"/>
    <n v="-8.9716614124114358E-2"/>
    <n v="0"/>
    <n v="0"/>
    <n v="0"/>
    <n v="0"/>
    <n v="0"/>
    <n v="0"/>
    <n v="0"/>
    <n v="-7.2367122101290704E-2"/>
    <n v="0"/>
    <n v="0"/>
    <n v="-8.0620878861736855E-9"/>
    <n v="0"/>
    <n v="0"/>
    <n v="0"/>
    <n v="-1.1121628062937816E-9"/>
    <n v="0"/>
    <n v="0"/>
    <m/>
    <n v="0"/>
    <n v="0"/>
    <n v="0"/>
    <n v="0"/>
    <n v="0"/>
    <n v="-1.7349482848571296E-2"/>
    <n v="0"/>
    <n v="0"/>
    <m/>
    <m/>
    <m/>
    <n v="115.59321157220462"/>
    <n v="0"/>
    <n v="0"/>
    <n v="-70.965000000000003"/>
    <n v="0"/>
    <n v="0"/>
    <n v="0"/>
    <n v="-70.875413790404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0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5.7720000000000002"/>
    <n v="5.7720000000000002"/>
    <n v="5.7720000000000002"/>
    <n v="5.7720000000000002"/>
    <m/>
    <n v="667.62"/>
    <n v="252.22"/>
    <m/>
    <n v="5309.3164800000004"/>
    <n v="5309.3164800000004"/>
    <n v="3512.7814800000006"/>
    <n v="0"/>
    <n v="0"/>
    <n v="0"/>
    <n v="0"/>
    <n v="0"/>
    <n v="712.82803693306846"/>
    <n v="2926.3334087489698"/>
    <n v="1455.8298138770074"/>
    <n v="0"/>
    <n v="0"/>
    <n v="0"/>
    <n v="0"/>
    <n v="0"/>
    <n v="0"/>
    <m/>
    <n v="13.525519168165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83239923417167"/>
    <n v="0"/>
    <n v="0"/>
    <n v="0"/>
    <n v="1170.5899999999999"/>
    <n v="77"/>
    <m/>
    <m/>
    <m/>
    <m/>
    <m/>
    <m/>
    <m/>
    <m/>
    <m/>
    <n v="1656.662213111179"/>
    <m/>
    <m/>
    <m/>
    <m/>
    <m/>
    <m/>
    <m/>
    <m/>
    <m/>
    <m/>
    <m/>
    <m/>
    <n v="3511.5643"/>
    <n v="-1797.7821800000011"/>
    <m/>
    <m/>
    <m/>
    <m/>
    <n v="-1796.5350000000001"/>
    <n v="0"/>
    <n v="31"/>
    <n v="-2.2712469154575956"/>
    <n v="0"/>
    <n v="0"/>
    <n v="0"/>
    <n v="0"/>
    <n v="0"/>
    <n v="0"/>
    <n v="0"/>
    <n v="-1.8320308279327264"/>
    <n v="0"/>
    <n v="0"/>
    <n v="-2.0409788703545928E-7"/>
    <n v="0"/>
    <n v="0"/>
    <n v="0"/>
    <n v="-2.815525590449397E-8"/>
    <n v="0"/>
    <n v="0"/>
    <m/>
    <n v="0"/>
    <n v="0"/>
    <n v="0"/>
    <n v="0"/>
    <n v="0"/>
    <n v="-0.43921585527172802"/>
    <n v="0"/>
    <n v="0"/>
    <m/>
    <m/>
    <m/>
    <n v="2926.3334087489698"/>
    <n v="0"/>
    <n v="0"/>
    <n v="-1796.5349999999999"/>
    <n v="0"/>
    <n v="0"/>
    <n v="0"/>
    <n v="-1794.267054378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1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7.8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02"/>
    <s v="Regular"/>
    <s v="Convencional"/>
    <s v="B3"/>
    <s v="Industrial"/>
    <s v="Não se aplica"/>
    <s v="Não se aplica"/>
    <s v="Não se aplica"/>
    <s v="Não se aplica"/>
    <s v="CATIVO"/>
    <x v="8"/>
    <n v="0"/>
    <n v="0"/>
    <n v="41.457999999999998"/>
    <n v="41.457999999999998"/>
    <n v="41.457999999999998"/>
    <n v="41.457999999999998"/>
    <m/>
    <n v="739.04"/>
    <n v="252.22"/>
    <m/>
    <n v="41095.657079999997"/>
    <n v="41095.657079999997"/>
    <n v="28107.28026"/>
    <n v="0"/>
    <n v="2564.3081672931698"/>
    <n v="0"/>
    <n v="0"/>
    <n v="0"/>
    <n v="5119.9627087961098"/>
    <n v="21018.698970879206"/>
    <n v="10456.651494059766"/>
    <n v="0"/>
    <n v="0"/>
    <n v="0"/>
    <n v="0"/>
    <n v="0"/>
    <n v="396.38114791024174"/>
    <m/>
    <n v="97.14847083745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2.4999319906944"/>
    <n v="0"/>
    <n v="0"/>
    <n v="0"/>
    <n v="6962.56"/>
    <n v="16"/>
    <m/>
    <m/>
    <m/>
    <m/>
    <m/>
    <m/>
    <m/>
    <m/>
    <m/>
    <n v="11899.151426050461"/>
    <m/>
    <m/>
    <m/>
    <m/>
    <m/>
    <m/>
    <m/>
    <m/>
    <m/>
    <m/>
    <m/>
    <m/>
    <n v="28108.636200000001"/>
    <n v="-12987.050879999995"/>
    <m/>
    <m/>
    <m/>
    <m/>
    <n v="-12988.376819999998"/>
    <n v="0"/>
    <n v="31"/>
    <n v="-100.83402032434242"/>
    <n v="0"/>
    <n v="0"/>
    <n v="0"/>
    <n v="0"/>
    <n v="0"/>
    <n v="0"/>
    <n v="0"/>
    <n v="-13.158755035417926"/>
    <n v="0"/>
    <n v="0"/>
    <n v="-1.4659563021268696E-6"/>
    <n v="0"/>
    <n v="0"/>
    <n v="0"/>
    <n v="-2.0222819330228958E-7"/>
    <n v="0"/>
    <n v="-74.562616898980195"/>
    <m/>
    <n v="0"/>
    <n v="0"/>
    <n v="0"/>
    <n v="0"/>
    <n v="-9.9579324237935793"/>
    <n v="-3.1547142979652278"/>
    <n v="0"/>
    <n v="0"/>
    <m/>
    <m/>
    <m/>
    <n v="21018.698970879206"/>
    <n v="0"/>
    <n v="0"/>
    <n v="-12988.376819999998"/>
    <n v="0"/>
    <n v="0"/>
    <n v="0"/>
    <n v="-12887.51274088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3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11.82"/>
    <n v="11.82"/>
    <n v="11.82"/>
    <n v="11.82"/>
    <m/>
    <n v="739.04"/>
    <n v="252.22"/>
    <m/>
    <n v="11716.6932"/>
    <n v="11716.6932"/>
    <n v="8013.6054000000004"/>
    <n v="0"/>
    <n v="731.10431128866014"/>
    <n v="0"/>
    <n v="0"/>
    <n v="0"/>
    <n v="1459.7414061934976"/>
    <n v="5992.5954420327125"/>
    <n v="2981.2731115776555"/>
    <n v="0"/>
    <n v="0"/>
    <n v="0"/>
    <n v="0"/>
    <n v="0"/>
    <n v="113.01136495487138"/>
    <m/>
    <n v="27.697788733144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.26801090573616"/>
    <n v="0"/>
    <n v="0"/>
    <n v="0"/>
    <n v="3443.43"/>
    <n v="13"/>
    <m/>
    <m/>
    <m/>
    <m/>
    <m/>
    <m/>
    <m/>
    <m/>
    <m/>
    <n v="3392.5411224833915"/>
    <m/>
    <m/>
    <m/>
    <m/>
    <m/>
    <m/>
    <m/>
    <m/>
    <m/>
    <m/>
    <m/>
    <m/>
    <n v="8013.6054000000004"/>
    <n v="-3703.1178"/>
    <m/>
    <m/>
    <m/>
    <m/>
    <n v="-3703.0877999999998"/>
    <n v="0"/>
    <n v="31"/>
    <n v="-28.748567712714248"/>
    <n v="0"/>
    <n v="0"/>
    <n v="0"/>
    <n v="0"/>
    <n v="0"/>
    <n v="0"/>
    <n v="0"/>
    <n v="-3.7516639615669192"/>
    <n v="0"/>
    <n v="0"/>
    <n v="-4.1795556171564385E-7"/>
    <n v="0"/>
    <n v="0"/>
    <n v="0"/>
    <n v="-5.7656791341287317E-8"/>
    <n v="0"/>
    <n v="-21.258385154757889"/>
    <m/>
    <n v="0"/>
    <n v="0"/>
    <n v="0"/>
    <n v="0"/>
    <n v="-2.8390844046804062"/>
    <n v="-0.89943371609698985"/>
    <n v="0"/>
    <n v="0"/>
    <m/>
    <m/>
    <m/>
    <n v="5992.5954420327125"/>
    <n v="0"/>
    <n v="0"/>
    <n v="-3703.0877999999993"/>
    <n v="0"/>
    <n v="0"/>
    <n v="0"/>
    <n v="-3674.3306622920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4"/>
    <s v="Regular"/>
    <s v="Verde"/>
    <s v="A4"/>
    <s v="Industrial"/>
    <s v="Não se aplica"/>
    <s v="Não se aplica"/>
    <s v="Não se aplica"/>
    <s v="Ponta"/>
    <s v="CATIVO"/>
    <x v="8"/>
    <n v="0"/>
    <n v="0"/>
    <n v="47.436"/>
    <n v="47.436"/>
    <n v="47.436"/>
    <n v="47.436"/>
    <m/>
    <n v="2641.06"/>
    <n v="252.22"/>
    <m/>
    <n v="137245.63008"/>
    <n v="137245.63008"/>
    <n v="81463.740239999985"/>
    <n v="0"/>
    <n v="2552.6377137014656"/>
    <n v="0"/>
    <n v="0"/>
    <n v="0"/>
    <n v="30727.474963219247"/>
    <n v="90701.91740145658"/>
    <n v="11964.439198037027"/>
    <n v="0"/>
    <n v="0"/>
    <n v="0"/>
    <n v="0"/>
    <n v="0"/>
    <n v="453.53698037218942"/>
    <m/>
    <n v="114.12656354504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1.59789859933096"/>
    <n v="0"/>
    <n v="0"/>
    <n v="0"/>
    <n v="0"/>
    <n v="0"/>
    <m/>
    <m/>
    <m/>
    <m/>
    <m/>
    <m/>
    <m/>
    <m/>
    <m/>
    <n v="12696.037096636359"/>
    <m/>
    <m/>
    <m/>
    <m/>
    <m/>
    <m/>
    <m/>
    <m/>
    <m/>
    <m/>
    <m/>
    <m/>
    <n v="81470.609599999996"/>
    <n v="-55775.050480000005"/>
    <m/>
    <m/>
    <m/>
    <m/>
    <n v="-55781.889840000003"/>
    <n v="0"/>
    <n v="31"/>
    <n v="-168.29544620573142"/>
    <n v="0"/>
    <n v="0"/>
    <n v="0"/>
    <n v="0"/>
    <n v="0"/>
    <n v="0"/>
    <n v="0"/>
    <n v="-78.972316576400772"/>
    <n v="0"/>
    <n v="0"/>
    <n v="-1.6773374227341264E-6"/>
    <n v="0"/>
    <n v="0"/>
    <n v="0"/>
    <n v="-1.0256599125568755E-7"/>
    <n v="0"/>
    <n v="-74.223274080790816"/>
    <m/>
    <n v="0"/>
    <n v="0"/>
    <n v="0"/>
    <n v="0"/>
    <n v="-11.393807768225031"/>
    <n v="-3.7060460004111633"/>
    <n v="0"/>
    <n v="0"/>
    <m/>
    <m/>
    <m/>
    <n v="90701.91740145658"/>
    <n v="0"/>
    <n v="0"/>
    <n v="-55781.889840000003"/>
    <n v="0"/>
    <n v="0"/>
    <n v="0"/>
    <n v="-55613.438193953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5"/>
    <s v="Regular"/>
    <s v="Verde"/>
    <s v="A4"/>
    <s v="Industrial"/>
    <s v="Não se aplica"/>
    <s v="Não se aplica"/>
    <s v="Não se aplica"/>
    <s v="Fora ponta"/>
    <s v="CATIVO"/>
    <x v="8"/>
    <n v="0"/>
    <n v="0"/>
    <n v="542.94899999999996"/>
    <n v="542.94899999999996"/>
    <n v="542.94899999999996"/>
    <n v="542.94899999999996"/>
    <m/>
    <n v="81.2"/>
    <n v="252.22"/>
    <m/>
    <n v="181030.05557999999"/>
    <n v="181030.05557999999"/>
    <n v="180009.31146"/>
    <n v="0"/>
    <n v="29217.305295903891"/>
    <n v="0"/>
    <n v="0"/>
    <n v="0"/>
    <n v="0"/>
    <n v="0"/>
    <n v="136944.0993788474"/>
    <n v="0"/>
    <n v="0"/>
    <n v="0"/>
    <n v="0"/>
    <n v="0"/>
    <n v="5191.1512344232196"/>
    <m/>
    <n v="1306.2843315249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73.8162460285039"/>
    <n v="0"/>
    <n v="0"/>
    <n v="0"/>
    <n v="0"/>
    <n v="0"/>
    <m/>
    <m/>
    <m/>
    <m/>
    <m/>
    <m/>
    <m/>
    <m/>
    <m/>
    <n v="145317.9156248759"/>
    <m/>
    <m/>
    <m/>
    <m/>
    <m/>
    <m/>
    <m/>
    <m/>
    <m/>
    <m/>
    <m/>
    <m/>
    <n v="180009.64300000001"/>
    <n v="-1020.4425800000026"/>
    <m/>
    <m/>
    <m/>
    <m/>
    <n v="-1020.7441200000052"/>
    <n v="0"/>
    <n v="31"/>
    <n v="-1022.3860340061365"/>
    <n v="0"/>
    <n v="0"/>
    <n v="0"/>
    <n v="0"/>
    <n v="0"/>
    <n v="0"/>
    <n v="0"/>
    <n v="0"/>
    <n v="0"/>
    <n v="0"/>
    <n v="-1.9198691006749868E-5"/>
    <n v="0"/>
    <n v="0"/>
    <n v="0"/>
    <n v="-1.1739630281226709E-6"/>
    <n v="0"/>
    <n v="-849.55418751352045"/>
    <m/>
    <n v="0"/>
    <n v="0"/>
    <n v="0"/>
    <n v="0"/>
    <n v="-130.41269360717615"/>
    <n v="-42.419132512801298"/>
    <n v="0"/>
    <n v="0"/>
    <m/>
    <m/>
    <m/>
    <n v="0"/>
    <n v="0"/>
    <n v="0"/>
    <n v="-1020.7441200000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6"/>
    <s v="Regular"/>
    <s v="Verde"/>
    <s v="A4"/>
    <s v="Industrial"/>
    <s v="Não se aplica"/>
    <s v="Não se aplica"/>
    <s v="Não se aplica"/>
    <s v="Não se aplica"/>
    <s v="CATIVO"/>
    <x v="8"/>
    <n v="2865"/>
    <n v="2865"/>
    <n v="0"/>
    <n v="0"/>
    <n v="0"/>
    <n v="0"/>
    <n v="74.44"/>
    <m/>
    <m/>
    <n v="213270.6"/>
    <m/>
    <n v="213270.6"/>
    <n v="130128.3"/>
    <n v="0"/>
    <n v="0"/>
    <n v="0"/>
    <n v="0"/>
    <n v="0"/>
    <n v="77976.970099744416"/>
    <n v="135289.706181420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3639.17"/>
    <n v="11"/>
    <m/>
    <m/>
    <m/>
    <m/>
    <m/>
    <m/>
    <m/>
    <m/>
    <m/>
    <n v="0"/>
    <m/>
    <m/>
    <m/>
    <m/>
    <m/>
    <m/>
    <m/>
    <m/>
    <m/>
    <m/>
    <m/>
    <m/>
    <n v="130128.3"/>
    <n v="-83142.330000000031"/>
    <m/>
    <m/>
    <m/>
    <m/>
    <n v="-83142.299999999988"/>
    <n v="0"/>
    <n v="31"/>
    <n v="-200.40767995924398"/>
    <n v="0"/>
    <n v="0"/>
    <n v="0"/>
    <n v="0"/>
    <m/>
    <m/>
    <m/>
    <n v="-200.407679959243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5289.70618142054"/>
    <m/>
    <n v="0"/>
    <n v="0"/>
    <n v="-83142.3"/>
    <m/>
    <n v="0"/>
    <m/>
    <n v="-82952.22337689733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07"/>
    <s v="Sistema de Compensação"/>
    <s v="Verde"/>
    <s v="A4"/>
    <s v="Industrial"/>
    <s v="Não se aplica"/>
    <s v="Não se aplica"/>
    <s v="Não se aplica"/>
    <s v="Não se aplica"/>
    <s v="CATIVO"/>
    <x v="8"/>
    <n v="80"/>
    <n v="80"/>
    <n v="0"/>
    <n v="0"/>
    <n v="0"/>
    <n v="0"/>
    <n v="74.44"/>
    <m/>
    <m/>
    <n v="5955.2"/>
    <m/>
    <n v="5955.2"/>
    <n v="3633.6000000000004"/>
    <n v="0"/>
    <n v="0"/>
    <n v="0"/>
    <n v="0"/>
    <n v="0"/>
    <n v="2177.3674024361439"/>
    <n v="3777.72303473425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10.94"/>
    <n v="1"/>
    <m/>
    <m/>
    <m/>
    <m/>
    <m/>
    <m/>
    <m/>
    <m/>
    <m/>
    <n v="0"/>
    <m/>
    <m/>
    <m/>
    <m/>
    <m/>
    <m/>
    <m/>
    <m/>
    <m/>
    <m/>
    <m/>
    <m/>
    <n v="3633.6000000000004"/>
    <n v="-2321.63"/>
    <m/>
    <m/>
    <m/>
    <m/>
    <n v="-2321.5999999999995"/>
    <n v="0"/>
    <n v="31"/>
    <n v="-5.5960259674479857"/>
    <n v="0"/>
    <n v="0"/>
    <n v="0"/>
    <n v="0"/>
    <m/>
    <m/>
    <m/>
    <n v="-5.59602596744798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77.7230347342561"/>
    <m/>
    <n v="0"/>
    <n v="0"/>
    <n v="-2321.5999999999995"/>
    <m/>
    <n v="0"/>
    <m/>
    <n v="-2316.292450314760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08"/>
    <s v="Regular"/>
    <s v="Convencional"/>
    <s v="B3"/>
    <s v="Comercial"/>
    <s v="Não se aplica"/>
    <s v="Não se aplica"/>
    <s v="Não se aplica"/>
    <s v="Não se aplica"/>
    <s v="CATIVO"/>
    <x v="8"/>
    <n v="0"/>
    <n v="0"/>
    <n v="430.28300000000002"/>
    <n v="430.28300000000002"/>
    <n v="430.28300000000002"/>
    <n v="430.28300000000002"/>
    <m/>
    <n v="739.04"/>
    <n v="252.22"/>
    <m/>
    <n v="426522.32657999999"/>
    <n v="426522.32657999999"/>
    <n v="291718.96551000001"/>
    <n v="0"/>
    <n v="26614.361791389048"/>
    <n v="0"/>
    <n v="0"/>
    <n v="0"/>
    <n v="53138.909600774685"/>
    <n v="218148.21866194264"/>
    <n v="108527.16905828836"/>
    <n v="0"/>
    <n v="0"/>
    <n v="0"/>
    <n v="0"/>
    <n v="0"/>
    <n v="4113.9483203787586"/>
    <m/>
    <n v="1008.281525335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71.373395647452"/>
    <n v="0"/>
    <n v="0"/>
    <n v="0"/>
    <n v="117598.96"/>
    <n v="838"/>
    <m/>
    <m/>
    <m/>
    <m/>
    <m/>
    <m/>
    <m/>
    <m/>
    <m/>
    <n v="123498.54245393581"/>
    <m/>
    <m/>
    <m/>
    <m/>
    <m/>
    <m/>
    <m/>
    <m/>
    <m/>
    <m/>
    <m/>
    <m/>
    <n v="291716.93160000001"/>
    <n v="-134805.42498000001"/>
    <m/>
    <m/>
    <m/>
    <m/>
    <n v="-134803.36106999998"/>
    <n v="0"/>
    <n v="31"/>
    <n v="-1046.5329916353221"/>
    <n v="0"/>
    <n v="0"/>
    <n v="0"/>
    <n v="0"/>
    <n v="0"/>
    <n v="0"/>
    <n v="0"/>
    <n v="-136.57167718908022"/>
    <n v="0"/>
    <n v="0"/>
    <n v="-1.5214813174679875E-5"/>
    <n v="0"/>
    <n v="0"/>
    <n v="0"/>
    <n v="-2.098879122058861E-6"/>
    <n v="0"/>
    <n v="-773.86816747416742"/>
    <m/>
    <n v="0"/>
    <n v="0"/>
    <n v="0"/>
    <n v="0"/>
    <n v="-103.35107909467843"/>
    <n v="-32.742050563736143"/>
    <n v="0"/>
    <n v="0"/>
    <m/>
    <m/>
    <m/>
    <n v="218148.21866194264"/>
    <n v="0"/>
    <n v="0"/>
    <n v="-134803.36106999998"/>
    <n v="0"/>
    <n v="0"/>
    <n v="0"/>
    <n v="-133756.51610516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09"/>
    <s v="Refaturamento - Regular"/>
    <s v="Convencional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0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10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78.478999999999999"/>
    <n v="78.478999999999999"/>
    <n v="78.478999999999999"/>
    <n v="78.478999999999999"/>
    <m/>
    <n v="739.04"/>
    <n v="252.22"/>
    <m/>
    <n v="77793.093540000002"/>
    <n v="77793.093540000002"/>
    <n v="53206.407630000002"/>
    <n v="0"/>
    <n v="4854.1738786482874"/>
    <n v="0"/>
    <n v="0"/>
    <n v="0"/>
    <n v="9691.9666511556261"/>
    <n v="39787.893206030902"/>
    <n v="19794.190568824266"/>
    <n v="0"/>
    <n v="0"/>
    <n v="0"/>
    <n v="0"/>
    <n v="0"/>
    <n v="750.3400093310787"/>
    <m/>
    <n v="183.89972605655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30.6177857759112"/>
    <n v="0"/>
    <n v="0"/>
    <n v="0"/>
    <n v="34704.44"/>
    <n v="120"/>
    <m/>
    <m/>
    <m/>
    <m/>
    <m/>
    <m/>
    <m/>
    <m/>
    <m/>
    <n v="22524.808354600176"/>
    <m/>
    <m/>
    <m/>
    <m/>
    <m/>
    <m/>
    <m/>
    <m/>
    <m/>
    <m/>
    <m/>
    <m/>
    <n v="53207.085600000006"/>
    <n v="-24586.037939999995"/>
    <m/>
    <m/>
    <m/>
    <m/>
    <n v="-24586.685909999997"/>
    <n v="0"/>
    <n v="31"/>
    <n v="-190.87638287022128"/>
    <n v="0"/>
    <n v="0"/>
    <n v="0"/>
    <n v="0"/>
    <n v="0"/>
    <n v="0"/>
    <n v="0"/>
    <n v="-24.909207786786283"/>
    <n v="0"/>
    <n v="0"/>
    <n v="-2.7750174922402948E-6"/>
    <n v="0"/>
    <n v="0"/>
    <n v="0"/>
    <n v="-3.8281314118648879E-7"/>
    <n v="0"/>
    <n v="-141.14524607108615"/>
    <m/>
    <n v="0"/>
    <n v="0"/>
    <n v="0"/>
    <n v="0"/>
    <n v="-18.850127326134725"/>
    <n v="-5.9717985283904795"/>
    <n v="0"/>
    <n v="0"/>
    <m/>
    <m/>
    <m/>
    <n v="39787.893206030902"/>
    <n v="0"/>
    <n v="0"/>
    <n v="-24586.68591"/>
    <n v="0"/>
    <n v="0"/>
    <n v="0"/>
    <n v="-24395.752626566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1"/>
    <s v="Regular"/>
    <s v="Verde"/>
    <s v="A4"/>
    <s v="Comercial"/>
    <s v="Não se aplica"/>
    <s v="Não se aplica"/>
    <s v="Não se aplica"/>
    <s v="Ponta"/>
    <s v="CATIVO"/>
    <x v="8"/>
    <n v="0"/>
    <n v="0"/>
    <n v="9.1430000000000007"/>
    <n v="9.1430000000000007"/>
    <n v="9.1430000000000007"/>
    <n v="9.1430000000000007"/>
    <m/>
    <n v="2641.06"/>
    <n v="252.22"/>
    <m/>
    <n v="26453.259040000004"/>
    <n v="26453.259040000004"/>
    <n v="15701.63962"/>
    <n v="0"/>
    <n v="492.00536757678771"/>
    <n v="0"/>
    <n v="0"/>
    <n v="0"/>
    <n v="5922.5335945002444"/>
    <n v="17482.241985022294"/>
    <n v="2306.0727630418364"/>
    <n v="0"/>
    <n v="0"/>
    <n v="0"/>
    <n v="0"/>
    <n v="0"/>
    <n v="87.416489829305334"/>
    <m/>
    <n v="21.997199816432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01103775389333"/>
    <n v="0"/>
    <n v="0"/>
    <n v="0"/>
    <n v="0"/>
    <n v="0"/>
    <m/>
    <m/>
    <m/>
    <m/>
    <m/>
    <m/>
    <m/>
    <m/>
    <m/>
    <n v="2447.08380079573"/>
    <m/>
    <m/>
    <m/>
    <m/>
    <m/>
    <m/>
    <m/>
    <m/>
    <m/>
    <m/>
    <m/>
    <m/>
    <n v="15696.4876"/>
    <n v="-10756.801439999999"/>
    <m/>
    <m/>
    <m/>
    <m/>
    <n v="-10751.619420000001"/>
    <n v="0"/>
    <n v="31"/>
    <n v="-32.437921929737058"/>
    <n v="0"/>
    <n v="0"/>
    <n v="0"/>
    <n v="0"/>
    <n v="0"/>
    <n v="0"/>
    <n v="0"/>
    <n v="-15.221432887638912"/>
    <n v="0"/>
    <n v="0"/>
    <n v="-3.2329671739717014E-7"/>
    <n v="0"/>
    <n v="0"/>
    <n v="0"/>
    <n v="-1.9769004211411811E-8"/>
    <n v="0"/>
    <n v="-14.306083879767925"/>
    <m/>
    <n v="0"/>
    <n v="0"/>
    <n v="0"/>
    <n v="0"/>
    <n v="-2.1960870314714782"/>
    <n v="-0.71431778779322386"/>
    <n v="0"/>
    <n v="0"/>
    <m/>
    <m/>
    <m/>
    <n v="17482.241985022294"/>
    <n v="0"/>
    <n v="0"/>
    <n v="-10751.619420000003"/>
    <n v="0"/>
    <n v="0"/>
    <n v="0"/>
    <n v="-10719.151391502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2"/>
    <s v="Sistema de Compensação"/>
    <s v="Verde"/>
    <s v="A4"/>
    <s v="Comercial"/>
    <s v="Não se aplica"/>
    <s v="Não se aplica"/>
    <s v="Não se aplica"/>
    <s v="Ponta"/>
    <s v="CATIVO"/>
    <x v="8"/>
    <n v="0"/>
    <n v="0"/>
    <n v="0.65600000000000003"/>
    <n v="0.65600000000000003"/>
    <n v="0.65600000000000003"/>
    <n v="0.65600000000000003"/>
    <m/>
    <n v="2641.06"/>
    <n v="252.22"/>
    <m/>
    <n v="1897.9916800000001"/>
    <n v="1897.9916800000001"/>
    <n v="1126.5750399999999"/>
    <n v="0"/>
    <n v="35.300833548110326"/>
    <n v="0"/>
    <n v="0"/>
    <n v="0"/>
    <n v="424.93514579373948"/>
    <n v="1254.3312634993574"/>
    <n v="165.45813546488512"/>
    <n v="0"/>
    <n v="0"/>
    <n v="0"/>
    <n v="0"/>
    <n v="0"/>
    <n v="6.2720351447035219"/>
    <m/>
    <n v="1.5782744262911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17383874718804"/>
    <n v="0"/>
    <n v="0"/>
    <n v="0"/>
    <n v="0"/>
    <n v="0"/>
    <m/>
    <m/>
    <m/>
    <m/>
    <m/>
    <m/>
    <m/>
    <m/>
    <m/>
    <n v="175.57551933960391"/>
    <m/>
    <m/>
    <m/>
    <m/>
    <m/>
    <m/>
    <m/>
    <m/>
    <m/>
    <m/>
    <m/>
    <m/>
    <n v="1133.4444000000001"/>
    <n v="-764.57727999999997"/>
    <m/>
    <m/>
    <m/>
    <m/>
    <n v="-771.41664000000003"/>
    <n v="0"/>
    <n v="31"/>
    <n v="-2.3273845330752465"/>
    <n v="0"/>
    <n v="0"/>
    <n v="0"/>
    <n v="0"/>
    <n v="0"/>
    <n v="0"/>
    <n v="0"/>
    <n v="-1.092120745301429"/>
    <n v="0"/>
    <n v="0"/>
    <n v="-2.3196179199658218E-8"/>
    <n v="0"/>
    <n v="0"/>
    <n v="0"/>
    <n v="-1.418403172692706E-9"/>
    <n v="0"/>
    <n v="-1.026445480162721"/>
    <m/>
    <n v="0"/>
    <n v="0"/>
    <n v="0"/>
    <n v="0"/>
    <n v="-0.15756678252710188"/>
    <n v="-5.1251500469468914E-2"/>
    <n v="0"/>
    <n v="0"/>
    <m/>
    <m/>
    <m/>
    <n v="1254.3312634993574"/>
    <n v="0"/>
    <n v="0"/>
    <n v="-771.41664000000014"/>
    <n v="0"/>
    <n v="0"/>
    <n v="0"/>
    <n v="-769.08709535444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3"/>
    <s v="Regular"/>
    <s v="Verde"/>
    <s v="A4"/>
    <s v="Comercial"/>
    <s v="Não se aplica"/>
    <s v="Não se aplica"/>
    <s v="Não se aplica"/>
    <s v="Fora ponta"/>
    <s v="CATIVO"/>
    <x v="8"/>
    <n v="0"/>
    <n v="0"/>
    <n v="207.25399999999999"/>
    <n v="207.25399999999999"/>
    <n v="207.25399999999999"/>
    <n v="207.25399999999999"/>
    <m/>
    <n v="81.2"/>
    <n v="252.22"/>
    <m/>
    <n v="69102.628679999994"/>
    <n v="69102.628679999994"/>
    <n v="68712.99115999999"/>
    <n v="0"/>
    <n v="11152.803286859844"/>
    <n v="0"/>
    <n v="0"/>
    <n v="0"/>
    <n v="0"/>
    <n v="0"/>
    <n v="52274.17745066966"/>
    <n v="0"/>
    <n v="0"/>
    <n v="0"/>
    <n v="0"/>
    <n v="0"/>
    <n v="1981.5615425005847"/>
    <m/>
    <n v="498.63367065022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96.4455450776991"/>
    <n v="0"/>
    <n v="0"/>
    <n v="0"/>
    <n v="0"/>
    <n v="0"/>
    <m/>
    <m/>
    <m/>
    <m/>
    <m/>
    <m/>
    <m/>
    <m/>
    <m/>
    <n v="55470.622995747362"/>
    <m/>
    <m/>
    <m/>
    <m/>
    <m/>
    <m/>
    <m/>
    <m/>
    <m/>
    <m/>
    <m/>
    <m/>
    <n v="68711.665000000008"/>
    <n v="-390.99367999997048"/>
    <m/>
    <m/>
    <m/>
    <m/>
    <n v="-389.63752000000198"/>
    <n v="0"/>
    <n v="31"/>
    <n v="-390.26426992572669"/>
    <n v="0"/>
    <n v="0"/>
    <n v="0"/>
    <n v="0"/>
    <n v="0"/>
    <n v="0"/>
    <n v="0"/>
    <n v="0"/>
    <n v="0"/>
    <n v="0"/>
    <n v="-7.3285045800730586E-6"/>
    <n v="0"/>
    <n v="0"/>
    <n v="0"/>
    <n v="-4.4812441046815366E-7"/>
    <n v="0"/>
    <n v="-324.2910541854344"/>
    <m/>
    <n v="0"/>
    <n v="0"/>
    <n v="0"/>
    <n v="0"/>
    <n v="-49.781015161390087"/>
    <n v="-16.192192802285547"/>
    <n v="0"/>
    <n v="0"/>
    <m/>
    <m/>
    <m/>
    <n v="0"/>
    <n v="0"/>
    <n v="0"/>
    <n v="-389.637520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4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1.465999999999999"/>
    <n v="11.465999999999999"/>
    <n v="11.465999999999999"/>
    <n v="11.465999999999999"/>
    <m/>
    <n v="81.2"/>
    <n v="252.22"/>
    <m/>
    <n v="3822.9937199999995"/>
    <n v="3822.9937199999995"/>
    <n v="3801.4376399999996"/>
    <n v="0"/>
    <n v="617.01121564425762"/>
    <n v="0"/>
    <n v="0"/>
    <n v="0"/>
    <n v="0"/>
    <n v="0"/>
    <n v="2891.9862518908117"/>
    <n v="0"/>
    <n v="0"/>
    <n v="0"/>
    <n v="0"/>
    <n v="0"/>
    <n v="109.62676062373563"/>
    <m/>
    <n v="27.586119774168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83829802976493"/>
    <n v="0"/>
    <n v="0"/>
    <n v="0"/>
    <n v="0"/>
    <n v="0"/>
    <m/>
    <m/>
    <m/>
    <m/>
    <m/>
    <m/>
    <m/>
    <m/>
    <m/>
    <n v="3068.8245499205768"/>
    <m/>
    <m/>
    <m/>
    <m/>
    <m/>
    <m/>
    <m/>
    <m/>
    <m/>
    <m/>
    <m/>
    <m/>
    <n v="3802.7638000000002"/>
    <n v="-20.259919999999966"/>
    <m/>
    <m/>
    <m/>
    <m/>
    <n v="-21.556080000000108"/>
    <n v="0"/>
    <n v="31"/>
    <n v="-21.590753949108148"/>
    <n v="0"/>
    <n v="0"/>
    <n v="0"/>
    <n v="0"/>
    <n v="0"/>
    <n v="0"/>
    <n v="0"/>
    <n v="0"/>
    <n v="0"/>
    <n v="0"/>
    <n v="-4.0543773138779216E-7"/>
    <n v="0"/>
    <n v="0"/>
    <n v="0"/>
    <n v="-2.4791773967081099E-8"/>
    <n v="0"/>
    <n v="-17.940890054185616"/>
    <m/>
    <n v="0"/>
    <n v="0"/>
    <n v="0"/>
    <n v="0"/>
    <n v="-2.7540559884996298"/>
    <n v="-0.89580747619348955"/>
    <n v="0"/>
    <n v="0"/>
    <m/>
    <m/>
    <m/>
    <n v="0"/>
    <n v="0"/>
    <n v="0"/>
    <n v="-21.5560800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5"/>
    <s v="Regular"/>
    <s v="Verde"/>
    <s v="A4"/>
    <s v="Comercial"/>
    <s v="Não se aplica"/>
    <s v="Não se aplica"/>
    <s v="Não se aplica"/>
    <s v="Não se aplica"/>
    <s v="CATIVO"/>
    <x v="8"/>
    <n v="2552"/>
    <n v="2552"/>
    <n v="0"/>
    <n v="0"/>
    <n v="0"/>
    <n v="0"/>
    <n v="74.44"/>
    <m/>
    <m/>
    <n v="189970.88"/>
    <m/>
    <n v="189970.88"/>
    <n v="115911.84000000001"/>
    <n v="0"/>
    <n v="0"/>
    <n v="0"/>
    <n v="0"/>
    <n v="0"/>
    <n v="69458.020137713"/>
    <n v="120509.364808022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0190"/>
    <n v="15"/>
    <m/>
    <m/>
    <m/>
    <m/>
    <m/>
    <m/>
    <m/>
    <m/>
    <m/>
    <n v="0"/>
    <m/>
    <m/>
    <m/>
    <m/>
    <m/>
    <m/>
    <m/>
    <m/>
    <m/>
    <m/>
    <m/>
    <m/>
    <n v="115911.84000000001"/>
    <n v="-74059.070000000022"/>
    <m/>
    <m/>
    <m/>
    <m/>
    <n v="-74059.039999999994"/>
    <n v="0"/>
    <n v="31"/>
    <n v="-178.5132283615967"/>
    <n v="0"/>
    <n v="0"/>
    <n v="0"/>
    <n v="0"/>
    <m/>
    <m/>
    <m/>
    <n v="-178.51322836159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0509.36480802277"/>
    <m/>
    <n v="0"/>
    <n v="0"/>
    <n v="-74059.039999999994"/>
    <m/>
    <n v="0"/>
    <m/>
    <n v="-73889.72916504085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16"/>
    <s v="Sistema de Compensação"/>
    <s v="Verde"/>
    <s v="A4"/>
    <s v="Comercial"/>
    <s v="Não se aplica"/>
    <s v="Não se aplica"/>
    <s v="Não se aplica"/>
    <s v="Não se aplica"/>
    <s v="CATIVO"/>
    <x v="8"/>
    <n v="140"/>
    <n v="140"/>
    <n v="0"/>
    <n v="0"/>
    <n v="0"/>
    <n v="0"/>
    <n v="74.44"/>
    <m/>
    <m/>
    <n v="10421.6"/>
    <m/>
    <n v="10421.6"/>
    <n v="6358.8"/>
    <n v="0"/>
    <n v="0"/>
    <n v="0"/>
    <n v="0"/>
    <n v="0"/>
    <n v="3810.3929542632522"/>
    <n v="6611.01531078494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66.2299999999996"/>
    <n v="1"/>
    <m/>
    <m/>
    <m/>
    <m/>
    <m/>
    <m/>
    <m/>
    <m/>
    <m/>
    <n v="0"/>
    <m/>
    <m/>
    <m/>
    <m/>
    <m/>
    <m/>
    <m/>
    <m/>
    <m/>
    <m/>
    <m/>
    <m/>
    <n v="6358.8"/>
    <n v="-4062.8300000000008"/>
    <m/>
    <m/>
    <m/>
    <m/>
    <n v="-4062.7999999999993"/>
    <n v="0"/>
    <n v="31"/>
    <n v="-9.7930454430343161"/>
    <n v="0"/>
    <n v="0"/>
    <n v="0"/>
    <n v="0"/>
    <m/>
    <m/>
    <m/>
    <n v="-9.79304544303431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11.0153107849483"/>
    <m/>
    <n v="0"/>
    <n v="0"/>
    <n v="-4062.8"/>
    <m/>
    <n v="0"/>
    <m/>
    <n v="-4053.511788050830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17"/>
    <s v="Regular"/>
    <s v="Convencional"/>
    <s v="B2"/>
    <s v="Rural"/>
    <s v="Não se aplica"/>
    <s v="Não se aplica"/>
    <s v="Não se aplica"/>
    <s v="Não se aplica"/>
    <s v="CATIVO"/>
    <x v="8"/>
    <n v="0"/>
    <n v="0"/>
    <n v="4474.9430000000002"/>
    <n v="4474.9430000000002"/>
    <n v="4474.9430000000002"/>
    <n v="4474.9430000000002"/>
    <m/>
    <n v="739.04"/>
    <n v="252.22"/>
    <m/>
    <n v="4435831.9981800001"/>
    <n v="4435831.9981800001"/>
    <n v="3033877.1057100003"/>
    <n v="0"/>
    <n v="276789.35025981476"/>
    <n v="0"/>
    <n v="0"/>
    <n v="0"/>
    <n v="552644.63514854049"/>
    <n v="2268741.3726866492"/>
    <n v="1128682.5077616454"/>
    <n v="0"/>
    <n v="0"/>
    <n v="0"/>
    <n v="0"/>
    <n v="0"/>
    <n v="42785.060619733253"/>
    <m/>
    <n v="10486.127394827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702.27635588392"/>
    <n v="0"/>
    <n v="0"/>
    <n v="0"/>
    <n v="123628.87"/>
    <n v="12092"/>
    <m/>
    <m/>
    <m/>
    <m/>
    <m/>
    <n v="364036.61304999987"/>
    <m/>
    <m/>
    <m/>
    <n v="1284384.7841175292"/>
    <m/>
    <m/>
    <m/>
    <m/>
    <m/>
    <m/>
    <m/>
    <m/>
    <m/>
    <m/>
    <m/>
    <m/>
    <n v="2669838.7028000001"/>
    <n v="-1233698.8555299994"/>
    <m/>
    <m/>
    <m/>
    <m/>
    <n v="-1401954.8924699998"/>
    <n v="0"/>
    <n v="31"/>
    <n v="-10883.942626568489"/>
    <n v="0"/>
    <n v="0"/>
    <n v="0"/>
    <n v="0"/>
    <n v="0"/>
    <n v="0"/>
    <n v="0"/>
    <n v="-1420.3453792864457"/>
    <n v="0"/>
    <n v="0"/>
    <n v="-1.5823403373360634E-4"/>
    <n v="0"/>
    <n v="0"/>
    <n v="0"/>
    <n v="-2.1828367607668042E-5"/>
    <n v="0"/>
    <n v="-8048.2285820293473"/>
    <m/>
    <n v="0"/>
    <n v="0"/>
    <n v="0"/>
    <n v="0"/>
    <n v="-1074.8511745460055"/>
    <n v="-340.51731064401065"/>
    <n v="0"/>
    <n v="0"/>
    <m/>
    <m/>
    <m/>
    <n v="2268741.3726866492"/>
    <n v="0"/>
    <n v="0"/>
    <n v="-1401954.8924700001"/>
    <n v="0"/>
    <n v="0"/>
    <n v="0"/>
    <n v="-1391067.7053222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8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15.605"/>
    <n v="15.605"/>
    <n v="15.605"/>
    <n v="15.605"/>
    <m/>
    <n v="739.04"/>
    <n v="252.22"/>
    <m/>
    <n v="15468.612300000001"/>
    <n v="15468.612300000001"/>
    <n v="10579.721850000002"/>
    <n v="0"/>
    <n v="965.21850910825219"/>
    <n v="0"/>
    <n v="0"/>
    <n v="0"/>
    <n v="1927.179749885747"/>
    <n v="7911.5441516853207"/>
    <n v="3935.9362864779455"/>
    <n v="0"/>
    <n v="0"/>
    <n v="0"/>
    <n v="0"/>
    <n v="0"/>
    <n v="149.19986041630861"/>
    <m/>
    <n v="36.5671737039528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2.96423944027185"/>
    <n v="0"/>
    <n v="0"/>
    <n v="0"/>
    <n v="0"/>
    <n v="0"/>
    <m/>
    <m/>
    <m/>
    <m/>
    <m/>
    <n v="1269.4667499999996"/>
    <m/>
    <m/>
    <m/>
    <n v="4478.9005259182177"/>
    <m/>
    <m/>
    <m/>
    <m/>
    <m/>
    <m/>
    <m/>
    <m/>
    <m/>
    <m/>
    <m/>
    <m/>
    <n v="9313.2381999999998"/>
    <n v="-4299.1893500000024"/>
    <m/>
    <m/>
    <m/>
    <m/>
    <n v="-4888.8904499999999"/>
    <n v="0"/>
    <n v="31"/>
    <n v="-37.954433092800173"/>
    <n v="0"/>
    <n v="0"/>
    <n v="0"/>
    <n v="0"/>
    <n v="0"/>
    <n v="0"/>
    <n v="0"/>
    <n v="-4.9530216683799608"/>
    <n v="0"/>
    <n v="0"/>
    <n v="-5.5179316404974088E-7"/>
    <n v="0"/>
    <n v="0"/>
    <n v="0"/>
    <n v="-7.6119704317534342E-8"/>
    <n v="0"/>
    <n v="-28.06574452961047"/>
    <m/>
    <n v="0"/>
    <n v="0"/>
    <n v="0"/>
    <n v="0"/>
    <n v="-3.7482159166698352"/>
    <n v="-1.187450350227877"/>
    <n v="0"/>
    <n v="0"/>
    <m/>
    <m/>
    <m/>
    <n v="7911.5441516853207"/>
    <n v="0"/>
    <n v="0"/>
    <n v="-4888.890449999999"/>
    <n v="0"/>
    <n v="0"/>
    <n v="0"/>
    <n v="-4850.924702628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19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94.76499999999999"/>
    <n v="194.76499999999999"/>
    <n v="194.76499999999999"/>
    <n v="194.76499999999999"/>
    <m/>
    <n v="739.04"/>
    <n v="252.22"/>
    <m/>
    <n v="193062.75389999995"/>
    <n v="193062.75389999995"/>
    <n v="132044.82704999999"/>
    <n v="0"/>
    <n v="12046.830049757687"/>
    <n v="0"/>
    <n v="0"/>
    <n v="0"/>
    <n v="24053.006343255205"/>
    <n v="98743.473034475566"/>
    <n v="49124.167307649921"/>
    <n v="0"/>
    <n v="0"/>
    <n v="0"/>
    <n v="0"/>
    <n v="0"/>
    <n v="1862.1538490216178"/>
    <m/>
    <n v="456.3925399840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76.7017042348307"/>
    <n v="0"/>
    <n v="0"/>
    <n v="0"/>
    <n v="9002.6299999999992"/>
    <n v="968"/>
    <m/>
    <m/>
    <m/>
    <m/>
    <m/>
    <n v="15844.132749999993"/>
    <m/>
    <m/>
    <m/>
    <n v="55900.869011884752"/>
    <m/>
    <m/>
    <m/>
    <m/>
    <m/>
    <m/>
    <m/>
    <m/>
    <m/>
    <m/>
    <m/>
    <m/>
    <n v="116203.67740000002"/>
    <n v="-53691.809749999986"/>
    <m/>
    <m/>
    <m/>
    <m/>
    <n v="-61017.926849999989"/>
    <n v="0"/>
    <n v="31"/>
    <n v="-473.7068350733316"/>
    <n v="0"/>
    <n v="0"/>
    <n v="0"/>
    <n v="0"/>
    <n v="0"/>
    <n v="0"/>
    <n v="0"/>
    <n v="-61.818344456394698"/>
    <n v="0"/>
    <n v="0"/>
    <n v="-6.8868976086378098E-6"/>
    <n v="0"/>
    <n v="0"/>
    <n v="0"/>
    <n v="-9.5004543254617602E-7"/>
    <n v="0"/>
    <n v="-350.28674997177586"/>
    <m/>
    <n v="0"/>
    <n v="0"/>
    <n v="0"/>
    <n v="0"/>
    <n v="-46.781241461723994"/>
    <n v="-14.820491346500035"/>
    <n v="0"/>
    <n v="0"/>
    <m/>
    <m/>
    <m/>
    <n v="98743.473034475566"/>
    <n v="0"/>
    <n v="0"/>
    <n v="-61017.926849999974"/>
    <n v="0"/>
    <n v="0"/>
    <n v="0"/>
    <n v="-60544.07880214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20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86.06"/>
    <n v="86.06"/>
    <n v="86.06"/>
    <n v="86.06"/>
    <m/>
    <n v="739.04"/>
    <n v="252.22"/>
    <m/>
    <n v="85307.835599999991"/>
    <n v="85307.835599999991"/>
    <n v="58346.0982"/>
    <n v="0"/>
    <n v="5323.0826590103288"/>
    <n v="0"/>
    <n v="0"/>
    <n v="0"/>
    <n v="10628.201811929985"/>
    <n v="43631.367490806704"/>
    <n v="21706.291369067094"/>
    <n v="0"/>
    <n v="0"/>
    <n v="0"/>
    <n v="0"/>
    <n v="0"/>
    <n v="822.82217157497723"/>
    <m/>
    <n v="201.66427228210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4.3929795725599"/>
    <n v="0"/>
    <n v="0"/>
    <n v="0"/>
    <n v="0.96"/>
    <n v="2"/>
    <m/>
    <m/>
    <m/>
    <m/>
    <m/>
    <n v="7000.9809999999979"/>
    <m/>
    <m/>
    <m/>
    <n v="24700.684348639654"/>
    <m/>
    <m/>
    <m/>
    <m/>
    <m/>
    <m/>
    <m/>
    <m/>
    <m/>
    <m/>
    <m/>
    <m/>
    <n v="51345.117200000008"/>
    <n v="-23725.911399999997"/>
    <m/>
    <m/>
    <m/>
    <m/>
    <n v="-26961.737399999998"/>
    <n v="0"/>
    <n v="31"/>
    <n v="-209.31486779662373"/>
    <n v="0"/>
    <n v="0"/>
    <n v="0"/>
    <n v="0"/>
    <n v="0"/>
    <n v="0"/>
    <n v="0"/>
    <n v="-27.315414596654591"/>
    <n v="0"/>
    <n v="0"/>
    <n v="-3.0430855986196548E-6"/>
    <n v="0"/>
    <n v="0"/>
    <n v="0"/>
    <n v="-4.1979274101322517E-7"/>
    <n v="0"/>
    <n v="-154.7797484279572"/>
    <m/>
    <n v="0"/>
    <n v="0"/>
    <n v="0"/>
    <n v="0"/>
    <n v="-20.671032476040182"/>
    <n v="-6.548668833105495"/>
    <n v="0"/>
    <n v="0"/>
    <m/>
    <m/>
    <m/>
    <n v="43631.367490806704"/>
    <n v="0"/>
    <n v="0"/>
    <n v="-26961.737399999998"/>
    <n v="0"/>
    <n v="0"/>
    <n v="0"/>
    <n v="-26752.360135097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21"/>
    <s v="Sistema de Compensação"/>
    <s v="Azul"/>
    <s v="A4"/>
    <s v="Rural"/>
    <s v="Não se aplica"/>
    <s v="Não se aplica"/>
    <s v="Não se aplica"/>
    <s v="Ponta"/>
    <s v="CATIVO"/>
    <x v="8"/>
    <n v="17"/>
    <n v="16.32"/>
    <n v="0"/>
    <n v="0"/>
    <n v="0"/>
    <n v="0"/>
    <n v="106.38"/>
    <m/>
    <m/>
    <n v="1808.46"/>
    <m/>
    <n v="1808.46"/>
    <n v="978.52"/>
    <n v="0"/>
    <n v="0"/>
    <n v="0"/>
    <n v="0"/>
    <n v="0"/>
    <n v="456.90756969082878"/>
    <n v="1351.58503602019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39.140799999999984"/>
    <m/>
    <m/>
    <m/>
    <n v="0"/>
    <m/>
    <m/>
    <m/>
    <m/>
    <m/>
    <m/>
    <m/>
    <m/>
    <m/>
    <m/>
    <m/>
    <m/>
    <n v="939.37920000000008"/>
    <n v="-796.77239999999983"/>
    <m/>
    <m/>
    <m/>
    <m/>
    <n v="-829.93999999999983"/>
    <n v="0"/>
    <n v="31"/>
    <n v="-1.1742926902696809"/>
    <n v="0"/>
    <n v="0"/>
    <n v="0"/>
    <n v="0"/>
    <m/>
    <m/>
    <m/>
    <n v="-1.17429269026968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51.5850360201932"/>
    <m/>
    <n v="0"/>
    <n v="0"/>
    <n v="-829.94"/>
    <m/>
    <n v="0"/>
    <m/>
    <n v="-828.7177715536781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22"/>
    <s v="Sistema de Compensação"/>
    <s v="Azul"/>
    <s v="A4"/>
    <s v="Rural"/>
    <s v="Não se aplica"/>
    <s v="Não se aplica"/>
    <s v="Não se aplica"/>
    <s v="Ponta"/>
    <s v="CATIVO"/>
    <x v="8"/>
    <n v="-5"/>
    <n v="-4.8"/>
    <n v="0"/>
    <n v="0"/>
    <n v="0"/>
    <n v="0"/>
    <n v="106.38"/>
    <m/>
    <m/>
    <n v="-531.9"/>
    <m/>
    <n v="-531.9"/>
    <n v="-287.8"/>
    <n v="0"/>
    <n v="0"/>
    <n v="0"/>
    <n v="0"/>
    <n v="0"/>
    <n v="-134.38457932083199"/>
    <n v="-397.525010594174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11.512000000000011"/>
    <m/>
    <m/>
    <m/>
    <n v="0"/>
    <m/>
    <m/>
    <m/>
    <m/>
    <m/>
    <m/>
    <m/>
    <m/>
    <m/>
    <m/>
    <m/>
    <m/>
    <n v="-276.28800000000001"/>
    <n v="234.30599999999998"/>
    <m/>
    <m/>
    <m/>
    <m/>
    <n v="244.09999999999997"/>
    <n v="0"/>
    <n v="31"/>
    <n v="0.34538020302048267"/>
    <n v="0"/>
    <n v="0"/>
    <n v="0"/>
    <n v="0"/>
    <m/>
    <m/>
    <m/>
    <n v="0.345380203020482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-397.52501059417449"/>
    <m/>
    <n v="0"/>
    <n v="0"/>
    <n v="244.09999999999997"/>
    <m/>
    <n v="0"/>
    <m/>
    <n v="243.740521045199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23"/>
    <s v="Sistema de Compensação"/>
    <s v="Azul"/>
    <s v="A4"/>
    <s v="Rural"/>
    <s v="Não se aplica"/>
    <s v="Não se aplica"/>
    <s v="Não se aplica"/>
    <s v="Fora ponta"/>
    <s v="CATIVO"/>
    <x v="8"/>
    <n v="69"/>
    <n v="66.239999999999995"/>
    <n v="0"/>
    <n v="0"/>
    <n v="0"/>
    <n v="0"/>
    <n v="74.44"/>
    <m/>
    <m/>
    <n v="5136.3599999999997"/>
    <m/>
    <n v="5136.3599999999997"/>
    <n v="3133.98"/>
    <n v="0"/>
    <n v="0"/>
    <n v="0"/>
    <n v="0"/>
    <n v="0"/>
    <n v="1877.9793846011742"/>
    <n v="3258.2861174582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125.35920000000024"/>
    <m/>
    <m/>
    <m/>
    <n v="0"/>
    <m/>
    <m/>
    <m/>
    <m/>
    <m/>
    <m/>
    <m/>
    <m/>
    <m/>
    <m/>
    <m/>
    <m/>
    <n v="3008.6207999999997"/>
    <n v="-1922.3148000000001"/>
    <m/>
    <m/>
    <m/>
    <m/>
    <n v="-2002.3799999999997"/>
    <n v="0"/>
    <n v="31"/>
    <n v="-4.8265723969238934"/>
    <n v="0"/>
    <n v="0"/>
    <n v="0"/>
    <n v="0"/>
    <m/>
    <m/>
    <m/>
    <n v="-4.82657239692389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58.2861174582958"/>
    <m/>
    <n v="0"/>
    <n v="0"/>
    <n v="-2002.3799999999997"/>
    <m/>
    <n v="0"/>
    <m/>
    <n v="-1997.802238396480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24"/>
    <s v="Sistema de Compensação"/>
    <s v="Azul"/>
    <s v="A4"/>
    <s v="Rural"/>
    <s v="Não se aplica"/>
    <s v="Não se aplica"/>
    <s v="Não se aplica"/>
    <s v="Fora ponta"/>
    <s v="CATIVO"/>
    <x v="8"/>
    <n v="-5"/>
    <n v="-4.8"/>
    <n v="0"/>
    <n v="0"/>
    <n v="0"/>
    <n v="0"/>
    <n v="74.44"/>
    <m/>
    <m/>
    <n v="-372.2"/>
    <m/>
    <n v="-372.2"/>
    <n v="-227.10000000000002"/>
    <n v="0"/>
    <n v="0"/>
    <n v="0"/>
    <n v="0"/>
    <n v="0"/>
    <n v="-136.085462652259"/>
    <n v="-236.107689670891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9.0840000000000085"/>
    <m/>
    <m/>
    <m/>
    <n v="0"/>
    <m/>
    <m/>
    <m/>
    <m/>
    <m/>
    <m/>
    <m/>
    <m/>
    <m/>
    <m/>
    <m/>
    <m/>
    <n v="-218.01599999999999"/>
    <n v="139.26599999999999"/>
    <m/>
    <m/>
    <m/>
    <m/>
    <n v="145.09999999999997"/>
    <n v="0"/>
    <n v="31"/>
    <n v="0.34975162296549911"/>
    <n v="0"/>
    <n v="0"/>
    <n v="0"/>
    <n v="0"/>
    <m/>
    <m/>
    <m/>
    <n v="0.349751622965499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36.10768967089101"/>
    <m/>
    <n v="0"/>
    <n v="0"/>
    <n v="145.09999999999997"/>
    <m/>
    <n v="0"/>
    <m/>
    <n v="144.7682781446725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25"/>
    <s v="Sistema de Compensação"/>
    <s v="Azul"/>
    <s v="A4"/>
    <s v="Rur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26"/>
    <s v="Sistema de Compensação"/>
    <s v="Azul"/>
    <s v="A4"/>
    <s v="Rur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27"/>
    <s v="Regular"/>
    <s v="Verde"/>
    <s v="A4"/>
    <s v="Rural"/>
    <s v="Não se aplica"/>
    <s v="Não se aplica"/>
    <s v="Não se aplica"/>
    <s v="Ponta"/>
    <s v="CATIVO"/>
    <x v="8"/>
    <n v="0"/>
    <n v="0"/>
    <n v="8.6219999999999999"/>
    <n v="8.27712"/>
    <n v="8.6219999999999999"/>
    <n v="8.27712"/>
    <m/>
    <n v="2641.06"/>
    <n v="252.22"/>
    <m/>
    <n v="24945.86016"/>
    <n v="24945.86016"/>
    <n v="14806.905479999999"/>
    <n v="0"/>
    <n v="463.96918727409638"/>
    <n v="0"/>
    <n v="0"/>
    <n v="0"/>
    <n v="5585.0469924293011"/>
    <n v="16486.042917517469"/>
    <n v="2174.6647011863406"/>
    <n v="0"/>
    <n v="0"/>
    <n v="0"/>
    <n v="0"/>
    <n v="0"/>
    <n v="82.435193624441709"/>
    <m/>
    <n v="20.743722718723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97573745095355"/>
    <n v="0"/>
    <n v="0"/>
    <n v="0"/>
    <n v="0"/>
    <n v="0"/>
    <m/>
    <m/>
    <m/>
    <m/>
    <m/>
    <n v="592.27621919999967"/>
    <m/>
    <m/>
    <m/>
    <n v="2307.6404386372942"/>
    <m/>
    <m/>
    <m/>
    <m/>
    <m/>
    <m/>
    <m/>
    <m/>
    <m/>
    <m/>
    <m/>
    <m/>
    <n v="14219.575199999999"/>
    <n v="-9728.4805535999949"/>
    <m/>
    <m/>
    <m/>
    <m/>
    <n v="-10138.954680000001"/>
    <n v="0"/>
    <n v="31"/>
    <n v="-30.589496103926649"/>
    <n v="0"/>
    <n v="0"/>
    <n v="0"/>
    <n v="0"/>
    <n v="0"/>
    <n v="0"/>
    <n v="0"/>
    <n v="-14.354062600592442"/>
    <n v="0"/>
    <n v="0"/>
    <n v="-3.0487399271805771E-7"/>
    <n v="0"/>
    <n v="0"/>
    <n v="0"/>
    <n v="-1.8642481336428318E-8"/>
    <n v="0"/>
    <n v="-13.490873368845996"/>
    <m/>
    <n v="0"/>
    <n v="0"/>
    <n v="0"/>
    <n v="0"/>
    <n v="-2.0709463398607824"/>
    <n v="-0.67361347110939107"/>
    <n v="0"/>
    <n v="0"/>
    <m/>
    <m/>
    <m/>
    <n v="16486.042917517469"/>
    <n v="0"/>
    <n v="0"/>
    <n v="-10138.954680000001"/>
    <n v="0"/>
    <n v="0"/>
    <n v="0"/>
    <n v="-10108.336792905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28"/>
    <s v="Regular"/>
    <s v="Verde"/>
    <s v="A4"/>
    <s v="Rural"/>
    <s v="Não se aplica"/>
    <s v="Não se aplica"/>
    <s v="Não se aplica"/>
    <s v="Fora ponta"/>
    <s v="CATIVO"/>
    <x v="8"/>
    <n v="0"/>
    <n v="0"/>
    <n v="80.394999999999996"/>
    <n v="77.179199999999994"/>
    <n v="80.394999999999996"/>
    <n v="77.179199999999994"/>
    <m/>
    <n v="81.2"/>
    <n v="252.22"/>
    <m/>
    <n v="26805.300899999998"/>
    <n v="26805.300899999998"/>
    <n v="26654.158299999996"/>
    <n v="0"/>
    <n v="4326.2355382626974"/>
    <n v="0"/>
    <n v="0"/>
    <n v="0"/>
    <n v="0"/>
    <n v="0"/>
    <n v="20277.449391310118"/>
    <n v="0"/>
    <n v="0"/>
    <n v="0"/>
    <n v="0"/>
    <n v="0"/>
    <n v="768.65894124762133"/>
    <m/>
    <n v="193.42282393548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9.9193240975885"/>
    <n v="0"/>
    <n v="0"/>
    <n v="0"/>
    <n v="0"/>
    <n v="0"/>
    <m/>
    <m/>
    <m/>
    <m/>
    <m/>
    <n v="1066.1663320000005"/>
    <m/>
    <m/>
    <m/>
    <n v="21517.368715407705"/>
    <m/>
    <m/>
    <m/>
    <m/>
    <m/>
    <m/>
    <m/>
    <m/>
    <m/>
    <m/>
    <m/>
    <m/>
    <n v="25588.257200000004"/>
    <n v="-144.86166399999274"/>
    <m/>
    <m/>
    <m/>
    <m/>
    <n v="-151.14260000000078"/>
    <n v="0"/>
    <n v="31"/>
    <n v="-151.38571984463124"/>
    <n v="0"/>
    <n v="0"/>
    <n v="0"/>
    <n v="0"/>
    <n v="0"/>
    <n v="0"/>
    <n v="0"/>
    <n v="0"/>
    <n v="0"/>
    <n v="0"/>
    <n v="-2.8427675715647638E-6"/>
    <n v="0"/>
    <n v="0"/>
    <n v="0"/>
    <n v="-1.7382990336045623E-7"/>
    <n v="0"/>
    <n v="-125.79433594158854"/>
    <m/>
    <n v="0"/>
    <n v="0"/>
    <n v="0"/>
    <n v="0"/>
    <n v="-19.310337623881651"/>
    <n v="-6.2810432625654755"/>
    <n v="0"/>
    <n v="0"/>
    <m/>
    <m/>
    <m/>
    <n v="0"/>
    <n v="0"/>
    <n v="0"/>
    <n v="-151.1426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29"/>
    <s v="Regular"/>
    <s v="Verde"/>
    <s v="A4"/>
    <s v="Rural"/>
    <s v="Não se aplica"/>
    <s v="Não se aplica"/>
    <s v="Não se aplica"/>
    <s v="Não se aplica"/>
    <s v="CATIVO"/>
    <x v="8"/>
    <n v="284"/>
    <n v="272.64"/>
    <n v="0"/>
    <n v="0"/>
    <n v="0"/>
    <n v="0"/>
    <n v="74.44"/>
    <m/>
    <m/>
    <n v="21140.959999999999"/>
    <m/>
    <n v="21140.959999999999"/>
    <n v="12899.28"/>
    <n v="0"/>
    <n v="0"/>
    <n v="0"/>
    <n v="0"/>
    <n v="0"/>
    <n v="7729.6542786483114"/>
    <n v="13410.916773306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.02"/>
    <n v="3"/>
    <m/>
    <m/>
    <m/>
    <m/>
    <m/>
    <n v="515.97120000000064"/>
    <m/>
    <m/>
    <m/>
    <n v="0"/>
    <m/>
    <m/>
    <m/>
    <m/>
    <m/>
    <m/>
    <m/>
    <m/>
    <m/>
    <m/>
    <m/>
    <m/>
    <n v="12383.308800000001"/>
    <n v="-7912.0427999999938"/>
    <m/>
    <m/>
    <m/>
    <m/>
    <n v="-8241.6799999999985"/>
    <n v="0"/>
    <n v="31"/>
    <n v="-19.865892184440781"/>
    <n v="0"/>
    <n v="0"/>
    <n v="0"/>
    <n v="0"/>
    <m/>
    <m/>
    <m/>
    <n v="-19.8658921844407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10.91677330661"/>
    <m/>
    <n v="0"/>
    <n v="0"/>
    <n v="-8241.6799999999985"/>
    <m/>
    <n v="0"/>
    <m/>
    <n v="-8222.83819861739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30"/>
    <s v="Sistema de Compensação"/>
    <s v="Verde"/>
    <s v="A4"/>
    <s v="Rural"/>
    <s v="Não se aplica"/>
    <s v="Não se aplica"/>
    <s v="Não se aplica"/>
    <s v="Não se aplica"/>
    <s v="CATIVO"/>
    <x v="8"/>
    <n v="378"/>
    <n v="362.88"/>
    <n v="0"/>
    <n v="0"/>
    <n v="0"/>
    <n v="0"/>
    <n v="74.44"/>
    <m/>
    <m/>
    <n v="28138.32"/>
    <m/>
    <n v="28138.32"/>
    <n v="17168.760000000002"/>
    <n v="0"/>
    <n v="0"/>
    <n v="0"/>
    <n v="0"/>
    <n v="0"/>
    <n v="10288.06097651078"/>
    <n v="17849.7413391193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93"/>
    <n v="3"/>
    <m/>
    <m/>
    <m/>
    <m/>
    <m/>
    <n v="686.75040000000024"/>
    <m/>
    <m/>
    <m/>
    <n v="0"/>
    <m/>
    <m/>
    <m/>
    <m/>
    <m/>
    <m/>
    <m/>
    <m/>
    <m/>
    <m/>
    <m/>
    <m/>
    <n v="16482.009600000001"/>
    <n v="-10530.807599999993"/>
    <m/>
    <m/>
    <m/>
    <m/>
    <n v="-10969.559999999998"/>
    <n v="0"/>
    <n v="31"/>
    <n v="-26.441222696192199"/>
    <n v="0"/>
    <n v="0"/>
    <n v="0"/>
    <n v="0"/>
    <m/>
    <m/>
    <m/>
    <n v="-26.4412226961921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849.741339119359"/>
    <m/>
    <n v="0"/>
    <n v="0"/>
    <n v="-10969.559999999998"/>
    <m/>
    <n v="0"/>
    <m/>
    <n v="-10944.4818277372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31"/>
    <s v="Sistema de Compensação"/>
    <s v="Verde"/>
    <s v="A4"/>
    <s v="Rural"/>
    <s v="Não se aplica"/>
    <s v="Não se aplica"/>
    <s v="Não se aplica"/>
    <s v="Não se aplica"/>
    <s v="CATIVO"/>
    <x v="8"/>
    <n v="-3"/>
    <n v="-2.88"/>
    <n v="0"/>
    <n v="0"/>
    <n v="0"/>
    <n v="0"/>
    <n v="74.44"/>
    <m/>
    <m/>
    <n v="-223.32"/>
    <m/>
    <n v="-223.32"/>
    <n v="-136.26"/>
    <n v="0"/>
    <n v="0"/>
    <n v="0"/>
    <n v="0"/>
    <n v="0"/>
    <n v="-81.651277591355409"/>
    <n v="-141.66461380253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-5.4504000000000055"/>
    <m/>
    <m/>
    <m/>
    <n v="0"/>
    <m/>
    <m/>
    <m/>
    <m/>
    <m/>
    <m/>
    <m/>
    <m/>
    <m/>
    <m/>
    <m/>
    <m/>
    <n v="-130.80959999999999"/>
    <n v="83.547600000000017"/>
    <m/>
    <m/>
    <m/>
    <m/>
    <n v="87.059999999999988"/>
    <n v="0"/>
    <n v="31"/>
    <n v="0.20985097377931083"/>
    <n v="0"/>
    <n v="0"/>
    <n v="0"/>
    <n v="0"/>
    <m/>
    <m/>
    <m/>
    <n v="0.209850973779310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41.6646138025346"/>
    <m/>
    <n v="0"/>
    <n v="0"/>
    <n v="87.06"/>
    <m/>
    <n v="0"/>
    <m/>
    <n v="86.8609668868035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37.785"/>
    <n v="237.785"/>
    <n v="237.785"/>
    <n v="237.785"/>
    <m/>
    <n v="739.04"/>
    <n v="252.22"/>
    <m/>
    <n v="235706.75909999997"/>
    <n v="235706.75909999997"/>
    <n v="161211.09645000001"/>
    <n v="0"/>
    <n v="14707.75284769662"/>
    <n v="0"/>
    <n v="0"/>
    <n v="0"/>
    <n v="29365.872273411238"/>
    <n v="120554.08690217839"/>
    <n v="59974.790764508696"/>
    <n v="0"/>
    <n v="0"/>
    <n v="0"/>
    <n v="0"/>
    <n v="0"/>
    <n v="2273.4693245172666"/>
    <m/>
    <n v="557.20124313966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73.5502515414955"/>
    <n v="0"/>
    <n v="0"/>
    <n v="0"/>
    <n v="59736.89"/>
    <n v="379"/>
    <m/>
    <m/>
    <m/>
    <m/>
    <m/>
    <m/>
    <m/>
    <m/>
    <m/>
    <n v="68248.341016050195"/>
    <m/>
    <m/>
    <m/>
    <m/>
    <m/>
    <m/>
    <m/>
    <m/>
    <m/>
    <m/>
    <m/>
    <m/>
    <n v="161214.48629999999"/>
    <n v="-74492.302800000005"/>
    <m/>
    <m/>
    <m/>
    <m/>
    <n v="-74495.662649999984"/>
    <n v="0"/>
    <n v="31"/>
    <n v="-578.33994700234325"/>
    <n v="0"/>
    <n v="0"/>
    <n v="0"/>
    <n v="0"/>
    <n v="0"/>
    <n v="0"/>
    <n v="0"/>
    <n v="-75.472877758140385"/>
    <n v="0"/>
    <n v="0"/>
    <n v="-8.4080820670351386E-6"/>
    <n v="0"/>
    <n v="0"/>
    <n v="0"/>
    <n v="-1.1598931450862437E-6"/>
    <n v="0"/>
    <n v="-427.65863908833308"/>
    <m/>
    <n v="0"/>
    <n v="0"/>
    <n v="0"/>
    <n v="0"/>
    <n v="-57.114355767083907"/>
    <n v="-18.094064820822609"/>
    <n v="0"/>
    <n v="0"/>
    <m/>
    <m/>
    <m/>
    <n v="120554.08690217839"/>
    <n v="0"/>
    <n v="0"/>
    <n v="-74495.662649999984"/>
    <n v="0"/>
    <n v="0"/>
    <n v="0"/>
    <n v="-73917.150298909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3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3.319"/>
    <n v="3.319"/>
    <n v="3.319"/>
    <n v="3.319"/>
    <m/>
    <n v="739.04"/>
    <n v="252.22"/>
    <m/>
    <n v="3289.9919399999999"/>
    <n v="3289.9919399999999"/>
    <n v="2250.1824299999998"/>
    <n v="0"/>
    <n v="205.29062683308484"/>
    <n v="0"/>
    <n v="0"/>
    <n v="0"/>
    <n v="409.88847099460395"/>
    <n v="1682.6924088076628"/>
    <n v="837.12736525602691"/>
    <n v="0"/>
    <n v="0"/>
    <n v="0"/>
    <n v="0"/>
    <n v="0"/>
    <n v="31.733055861693579"/>
    <m/>
    <n v="7.7774078515488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48210898444486"/>
    <n v="0"/>
    <n v="0"/>
    <n v="0"/>
    <n v="969.14"/>
    <n v="3"/>
    <m/>
    <m/>
    <m/>
    <m/>
    <m/>
    <m/>
    <m/>
    <m/>
    <m/>
    <n v="952.60947424047174"/>
    <m/>
    <m/>
    <m/>
    <m/>
    <m/>
    <m/>
    <m/>
    <m/>
    <m/>
    <m/>
    <m/>
    <m/>
    <n v="2250.8604"/>
    <n v="-1039.1615400000005"/>
    <m/>
    <m/>
    <m/>
    <m/>
    <n v="-1039.8095099999998"/>
    <n v="0"/>
    <n v="31"/>
    <n v="-8.0724616107022484"/>
    <n v="0"/>
    <n v="0"/>
    <n v="0"/>
    <n v="0"/>
    <n v="0"/>
    <n v="0"/>
    <n v="0"/>
    <n v="-1.0534494660271321"/>
    <n v="0"/>
    <n v="0"/>
    <n v="-1.17359832074726E-7"/>
    <n v="0"/>
    <n v="0"/>
    <n v="0"/>
    <n v="-1.6189758866858028E-8"/>
    <n v="0"/>
    <n v="-5.9692538349104325"/>
    <m/>
    <n v="0"/>
    <n v="0"/>
    <n v="0"/>
    <n v="0"/>
    <n v="-0.79720145001135734"/>
    <n v="-0.25255672620354552"/>
    <n v="0"/>
    <n v="0"/>
    <m/>
    <m/>
    <m/>
    <n v="1682.6924088076628"/>
    <n v="0"/>
    <n v="0"/>
    <n v="-1039.80951"/>
    <n v="0"/>
    <n v="0"/>
    <n v="0"/>
    <n v="-1031.7346419752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933.61500000000001"/>
    <n v="933.61500000000001"/>
    <n v="933.61500000000001"/>
    <n v="933.61500000000001"/>
    <m/>
    <n v="406.47"/>
    <n v="138.72"/>
    <m/>
    <n v="508997.56185000006"/>
    <n v="508997.56185000006"/>
    <n v="348126.36119999998"/>
    <n v="0"/>
    <n v="31760.869151528652"/>
    <n v="0"/>
    <n v="0"/>
    <n v="0"/>
    <n v="63414.556693641382"/>
    <n v="260332.26281618903"/>
    <n v="129513.42748190017"/>
    <n v="0"/>
    <n v="0"/>
    <n v="0"/>
    <n v="0"/>
    <n v="0"/>
    <n v="4909.4761438907144"/>
    <m/>
    <n v="1203.2562661127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66.437495851715"/>
    <n v="0"/>
    <n v="0"/>
    <n v="0"/>
    <n v="120174.57"/>
    <n v="39"/>
    <m/>
    <m/>
    <m/>
    <m/>
    <m/>
    <m/>
    <m/>
    <m/>
    <m/>
    <n v="147379.86497775189"/>
    <m/>
    <m/>
    <m/>
    <m/>
    <m/>
    <m/>
    <m/>
    <m/>
    <m/>
    <m/>
    <m/>
    <m/>
    <n v="348128.22560000001"/>
    <n v="-160869.36625000008"/>
    <m/>
    <m/>
    <m/>
    <m/>
    <n v="-160871.20065000004"/>
    <n v="0"/>
    <n v="31"/>
    <n v="-1248.9045452451392"/>
    <n v="0"/>
    <n v="0"/>
    <n v="0"/>
    <n v="0"/>
    <n v="0"/>
    <n v="0"/>
    <n v="0"/>
    <n v="-162.98099511123291"/>
    <n v="0"/>
    <n v="0"/>
    <n v="-1.8156002624891698E-5"/>
    <n v="0"/>
    <n v="0"/>
    <n v="0"/>
    <n v="-2.5047011149581522E-6"/>
    <n v="0"/>
    <n v="-923.5136202150934"/>
    <m/>
    <n v="0"/>
    <n v="0"/>
    <n v="0"/>
    <n v="0"/>
    <n v="-123.33641984447331"/>
    <n v="-39.073489413677635"/>
    <n v="0"/>
    <n v="0"/>
    <m/>
    <m/>
    <m/>
    <n v="260332.26281618903"/>
    <n v="0"/>
    <n v="0"/>
    <n v="-160871.20065000004"/>
    <n v="0"/>
    <n v="0"/>
    <n v="0"/>
    <n v="-159621.45699675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84.638000000000005"/>
    <n v="79.559719999999999"/>
    <n v="84.638000000000005"/>
    <n v="79.559719999999999"/>
    <m/>
    <n v="739.04"/>
    <n v="252.22"/>
    <m/>
    <n v="83898.263879999999"/>
    <n v="83898.263879999999"/>
    <n v="57382.024860000005"/>
    <n v="0"/>
    <n v="5235.1274702918463"/>
    <n v="0"/>
    <n v="0"/>
    <n v="0"/>
    <n v="10452.588251895539"/>
    <n v="42910.430881790591"/>
    <n v="21347.630593714857"/>
    <n v="0"/>
    <n v="0"/>
    <n v="0"/>
    <n v="0"/>
    <n v="0"/>
    <n v="809.22638807533031"/>
    <m/>
    <n v="198.3321017593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4.91555897121"/>
    <n v="0"/>
    <n v="0"/>
    <n v="0"/>
    <n v="23126.11"/>
    <n v="28"/>
    <m/>
    <m/>
    <m/>
    <m/>
    <n v="3442.9214916000046"/>
    <m/>
    <m/>
    <m/>
    <m/>
    <n v="24292.546152686067"/>
    <m/>
    <m/>
    <m/>
    <m/>
    <m/>
    <m/>
    <m/>
    <m/>
    <m/>
    <m/>
    <m/>
    <m/>
    <n v="53939.2932"/>
    <n v="-24925.104847199997"/>
    <m/>
    <m/>
    <m/>
    <m/>
    <n v="-26516.239019999997"/>
    <n v="0"/>
    <n v="31"/>
    <n v="-205.85628376216482"/>
    <n v="0"/>
    <n v="0"/>
    <n v="0"/>
    <n v="0"/>
    <n v="0"/>
    <n v="0"/>
    <n v="0"/>
    <n v="-26.864072282496636"/>
    <n v="0"/>
    <n v="0"/>
    <n v="-2.9928014555480331E-6"/>
    <n v="0"/>
    <n v="0"/>
    <n v="0"/>
    <n v="-4.1285647967015393E-7"/>
    <n v="0"/>
    <n v="-152.22226757431417"/>
    <m/>
    <n v="0"/>
    <n v="0"/>
    <n v="0"/>
    <n v="0"/>
    <n v="-20.329477651720822"/>
    <n v="-6.4404628479709913"/>
    <n v="0"/>
    <n v="0"/>
    <m/>
    <m/>
    <m/>
    <n v="42910.430881790591"/>
    <n v="0"/>
    <n v="0"/>
    <n v="-26516.239020000001"/>
    <n v="0"/>
    <n v="0"/>
    <n v="0"/>
    <n v="-26310.3213701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6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9.032"/>
    <n v="9.032"/>
    <n v="9.032"/>
    <n v="9.032"/>
    <m/>
    <n v="739.04"/>
    <n v="252.22"/>
    <m/>
    <n v="8953.0603199999987"/>
    <n v="8953.0603199999987"/>
    <n v="6123.4250400000001"/>
    <n v="0"/>
    <n v="558.65771062260387"/>
    <n v="0"/>
    <n v="0"/>
    <n v="0"/>
    <n v="1115.4301506547945"/>
    <n v="4579.1135391234739"/>
    <n v="2278.0760358518937"/>
    <n v="0"/>
    <n v="0"/>
    <n v="0"/>
    <n v="0"/>
    <n v="0"/>
    <n v="86.355215589881411"/>
    <m/>
    <n v="21.16467240590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4.26164758888399"/>
    <n v="0"/>
    <n v="0"/>
    <n v="0"/>
    <n v="2468.58"/>
    <n v="11"/>
    <m/>
    <m/>
    <m/>
    <m/>
    <m/>
    <m/>
    <m/>
    <m/>
    <m/>
    <n v="2592.3376834407777"/>
    <m/>
    <m/>
    <m/>
    <m/>
    <m/>
    <m/>
    <m/>
    <m/>
    <m/>
    <m/>
    <m/>
    <m/>
    <n v="6122.0690999999988"/>
    <n v="-2831.0212200000005"/>
    <m/>
    <m/>
    <m/>
    <m/>
    <n v="-2829.6352799999995"/>
    <n v="0"/>
    <n v="31"/>
    <n v="-21.967602671847999"/>
    <n v="0"/>
    <n v="0"/>
    <n v="0"/>
    <n v="0"/>
    <n v="0"/>
    <n v="0"/>
    <n v="0"/>
    <n v="-2.8667537141179764"/>
    <n v="0"/>
    <n v="0"/>
    <n v="-3.1937179301166907E-7"/>
    <n v="0"/>
    <n v="0"/>
    <n v="0"/>
    <n v="-4.4057230752514442E-8"/>
    <n v="0"/>
    <n v="-16.244139993043291"/>
    <m/>
    <n v="0"/>
    <n v="0"/>
    <n v="0"/>
    <n v="0"/>
    <n v="-2.1694255789402206"/>
    <n v="-0.68728302231709293"/>
    <n v="0"/>
    <n v="0"/>
    <m/>
    <m/>
    <m/>
    <n v="4579.1135391234739"/>
    <n v="0"/>
    <n v="0"/>
    <n v="-2829.6352799999995"/>
    <n v="0"/>
    <n v="0"/>
    <n v="0"/>
    <n v="-2807.661128749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37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2.12"/>
    <n v="3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38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.7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8"/>
    <n v="0"/>
    <n v="0"/>
    <n v="139.81899999999999"/>
    <n v="139.81899999999999"/>
    <n v="139.81899999999999"/>
    <n v="139.81899999999999"/>
    <m/>
    <n v="739.04"/>
    <n v="252.22"/>
    <m/>
    <n v="138596.98193999997"/>
    <n v="138596.98193999997"/>
    <n v="94793.087429999985"/>
    <n v="0"/>
    <n v="8648.2465059280166"/>
    <n v="0"/>
    <n v="0"/>
    <n v="0"/>
    <n v="17267.30826333068"/>
    <n v="70886.523021114364"/>
    <n v="35265.53512586093"/>
    <n v="0"/>
    <n v="0"/>
    <n v="0"/>
    <n v="0"/>
    <n v="0"/>
    <n v="1336.8135394775938"/>
    <m/>
    <n v="327.63765845004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4.8969557385044"/>
    <n v="0"/>
    <n v="0"/>
    <n v="0"/>
    <n v="0"/>
    <n v="0"/>
    <m/>
    <m/>
    <m/>
    <m/>
    <m/>
    <n v="13755.393219999998"/>
    <m/>
    <m/>
    <m/>
    <n v="40130.432081599436"/>
    <m/>
    <m/>
    <m/>
    <m/>
    <m/>
    <m/>
    <m/>
    <m/>
    <m/>
    <m/>
    <m/>
    <m/>
    <n v="81038.273799999995"/>
    <n v="-36794.218449999971"/>
    <m/>
    <m/>
    <m/>
    <m/>
    <n v="-43803.894509999991"/>
    <n v="0"/>
    <n v="31"/>
    <n v="-340.06734255701303"/>
    <n v="0"/>
    <n v="0"/>
    <n v="0"/>
    <n v="0"/>
    <n v="0"/>
    <n v="0"/>
    <n v="0"/>
    <n v="-44.378502829302306"/>
    <n v="0"/>
    <n v="0"/>
    <n v="-4.9440059228800237E-6"/>
    <n v="0"/>
    <n v="0"/>
    <n v="0"/>
    <n v="-6.8202371039660648E-7"/>
    <n v="0"/>
    <n v="-251.46583366777304"/>
    <m/>
    <n v="0"/>
    <n v="0"/>
    <n v="0"/>
    <n v="0"/>
    <n v="-33.583582265482846"/>
    <n v="-10.639418168440386"/>
    <n v="0"/>
    <n v="0"/>
    <m/>
    <m/>
    <m/>
    <n v="70886.523021114364"/>
    <n v="0"/>
    <n v="0"/>
    <n v="-43803.894509999984"/>
    <n v="0"/>
    <n v="0"/>
    <n v="0"/>
    <n v="-43463.72579280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0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10.055"/>
    <n v="10.055"/>
    <n v="10.055"/>
    <n v="10.055"/>
    <m/>
    <n v="739.04"/>
    <n v="252.22"/>
    <m/>
    <n v="9967.1192999999985"/>
    <n v="9967.1192999999985"/>
    <n v="6816.9883499999996"/>
    <n v="0"/>
    <n v="621.93348984834836"/>
    <n v="0"/>
    <n v="0"/>
    <n v="0"/>
    <n v="1241.7681759116429"/>
    <n v="5097.7620278882341"/>
    <n v="2536.0999269808226"/>
    <n v="0"/>
    <n v="0"/>
    <n v="0"/>
    <n v="0"/>
    <n v="0"/>
    <n v="96.136148445112667"/>
    <m/>
    <n v="23.561866811486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.8561632535683"/>
    <n v="0"/>
    <n v="0"/>
    <n v="0"/>
    <n v="0"/>
    <n v="0"/>
    <m/>
    <m/>
    <m/>
    <m/>
    <m/>
    <n v="989.21089999999981"/>
    <m/>
    <m/>
    <m/>
    <n v="2885.956090234391"/>
    <m/>
    <m/>
    <m/>
    <m/>
    <m/>
    <m/>
    <m/>
    <m/>
    <m/>
    <m/>
    <m/>
    <m/>
    <n v="5830.6754000000001"/>
    <n v="-2643.2058500000003"/>
    <m/>
    <m/>
    <m/>
    <m/>
    <n v="-3150.1309499999998"/>
    <n v="0"/>
    <n v="31"/>
    <n v="-24.455740131247694"/>
    <n v="0"/>
    <n v="0"/>
    <n v="0"/>
    <n v="0"/>
    <n v="0"/>
    <n v="0"/>
    <n v="0"/>
    <n v="-3.1914535645987598"/>
    <n v="0"/>
    <n v="0"/>
    <n v="-3.5554467103793286E-7"/>
    <n v="0"/>
    <n v="0"/>
    <n v="0"/>
    <n v="-4.9047343964048196E-8"/>
    <n v="0"/>
    <n v="-18.084015459483112"/>
    <m/>
    <n v="0"/>
    <n v="0"/>
    <n v="0"/>
    <n v="0"/>
    <n v="-2.4151432901067267"/>
    <n v="-0.76512741246660099"/>
    <n v="0"/>
    <n v="0"/>
    <m/>
    <m/>
    <m/>
    <n v="5097.7620278882341"/>
    <n v="0"/>
    <n v="0"/>
    <n v="-3150.1309499999988"/>
    <n v="0"/>
    <n v="0"/>
    <n v="0"/>
    <n v="-3125.66791957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67.37"/>
    <n v="26.948"/>
    <n v="67.37"/>
    <n v="26.948"/>
    <m/>
    <n v="739.04"/>
    <n v="252.22"/>
    <m/>
    <n v="66781.186199999996"/>
    <n v="66781.186199999996"/>
    <n v="45674.838900000002"/>
    <n v="0"/>
    <n v="4167.0471617188696"/>
    <n v="0"/>
    <n v="0"/>
    <n v="0"/>
    <n v="8320.0320249793513"/>
    <n v="34155.766068506251"/>
    <n v="16992.247844922731"/>
    <n v="0"/>
    <n v="0"/>
    <n v="0"/>
    <n v="0"/>
    <n v="0"/>
    <n v="644.12653612603094"/>
    <m/>
    <n v="157.86802258476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4.0884851708502"/>
    <n v="0"/>
    <n v="0"/>
    <n v="0"/>
    <n v="0"/>
    <n v="0"/>
    <m/>
    <m/>
    <m/>
    <m/>
    <m/>
    <m/>
    <n v="30056.047580000002"/>
    <m/>
    <m/>
    <n v="19336.336330093582"/>
    <m/>
    <m/>
    <m/>
    <m/>
    <m/>
    <m/>
    <m/>
    <m/>
    <m/>
    <m/>
    <m/>
    <m/>
    <n v="15619.950499999999"/>
    <n v="-7090.5064999999922"/>
    <m/>
    <m/>
    <m/>
    <m/>
    <n v="-21106.347299999998"/>
    <n v="0"/>
    <n v="31"/>
    <n v="-163.85710717475376"/>
    <n v="0"/>
    <n v="0"/>
    <n v="0"/>
    <n v="0"/>
    <n v="0"/>
    <n v="0"/>
    <n v="0"/>
    <n v="-21.383214982297432"/>
    <n v="0"/>
    <n v="0"/>
    <n v="-2.3822067305445671E-6"/>
    <n v="0"/>
    <n v="0"/>
    <n v="0"/>
    <n v="-3.2862453736015595E-7"/>
    <n v="0"/>
    <n v="-121.16560134315023"/>
    <m/>
    <n v="0"/>
    <n v="0"/>
    <n v="0"/>
    <n v="0"/>
    <n v="-16.181820333614155"/>
    <n v="-5.1264678048607664"/>
    <n v="0"/>
    <n v="0"/>
    <m/>
    <m/>
    <m/>
    <n v="34155.766068506251"/>
    <n v="0"/>
    <n v="0"/>
    <n v="-21106.347299999998"/>
    <n v="0"/>
    <n v="0"/>
    <n v="0"/>
    <n v="-20942.44134675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2"/>
    <s v="Sistema de Compensação"/>
    <s v="Convencional"/>
    <s v="B2"/>
    <s v="Rural"/>
    <s v="Agropecuária rural"/>
    <s v="IRRIG./AQUIC. PR"/>
    <s v="Não se aplica"/>
    <s v="Não se aplica"/>
    <s v="CATIVO"/>
    <x v="8"/>
    <n v="0"/>
    <n v="0"/>
    <n v="6.4210000000000003"/>
    <n v="6.4210000000000003"/>
    <n v="6.4210000000000003"/>
    <n v="6.4210000000000003"/>
    <m/>
    <n v="739.04"/>
    <n v="252.22"/>
    <m/>
    <n v="6364.8804600000003"/>
    <n v="6364.8804600000003"/>
    <n v="4353.2453700000005"/>
    <n v="0"/>
    <n v="397.15911867889059"/>
    <n v="0"/>
    <n v="0"/>
    <n v="0"/>
    <n v="792.97796693472492"/>
    <n v="3255.3684715137097"/>
    <n v="1619.5223899695538"/>
    <n v="0"/>
    <n v="0"/>
    <n v="0"/>
    <n v="0"/>
    <n v="0"/>
    <n v="61.39136839045932"/>
    <m/>
    <n v="15.046319920094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41386616122944"/>
    <n v="0"/>
    <n v="0"/>
    <n v="0"/>
    <n v="0"/>
    <n v="0"/>
    <m/>
    <m/>
    <m/>
    <m/>
    <m/>
    <n v="631.69797999999992"/>
    <m/>
    <m/>
    <m/>
    <n v="1842.9362561307832"/>
    <m/>
    <m/>
    <m/>
    <m/>
    <m/>
    <m/>
    <m/>
    <m/>
    <m/>
    <m/>
    <m/>
    <m/>
    <n v="3720.9677999999999"/>
    <n v="-1690.3599500000005"/>
    <m/>
    <m/>
    <m/>
    <m/>
    <n v="-2011.6350899999998"/>
    <n v="0"/>
    <n v="31"/>
    <n v="-15.617136487592688"/>
    <n v="0"/>
    <n v="0"/>
    <n v="0"/>
    <n v="0"/>
    <n v="0"/>
    <n v="0"/>
    <n v="0"/>
    <n v="-2.0380232061946799"/>
    <n v="0"/>
    <n v="0"/>
    <n v="-2.2704671209794469E-7"/>
    <n v="0"/>
    <n v="0"/>
    <n v="0"/>
    <n v="-3.132100800939952E-8"/>
    <n v="0"/>
    <n v="-11.54823105572757"/>
    <m/>
    <n v="0"/>
    <n v="0"/>
    <n v="0"/>
    <n v="0"/>
    <n v="-1.5422809612904302"/>
    <n v="-0.48860100601173961"/>
    <n v="0"/>
    <n v="0"/>
    <m/>
    <m/>
    <m/>
    <n v="3255.3684715137097"/>
    <n v="0"/>
    <n v="0"/>
    <n v="-2011.6350899999998"/>
    <n v="0"/>
    <n v="0"/>
    <n v="0"/>
    <n v="-1996.013298018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Ponta"/>
    <s v="CATIVO"/>
    <x v="8"/>
    <n v="0"/>
    <n v="0"/>
    <n v="22.794"/>
    <n v="21.882239999999999"/>
    <n v="22.794"/>
    <n v="21.882239999999999"/>
    <m/>
    <n v="2641.06"/>
    <n v="252.22"/>
    <m/>
    <n v="65949.424320000006"/>
    <n v="65949.424320000006"/>
    <n v="39145.047959999996"/>
    <n v="0"/>
    <n v="1226.5963413043091"/>
    <n v="0"/>
    <n v="0"/>
    <n v="0"/>
    <n v="14765.200782351369"/>
    <n v="43584.187225921269"/>
    <n v="5749.1657618698036"/>
    <n v="0"/>
    <n v="0"/>
    <n v="0"/>
    <n v="0"/>
    <n v="0"/>
    <n v="217.93409922007939"/>
    <m/>
    <n v="54.840224501342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.54824396393354"/>
    <n v="0"/>
    <n v="0"/>
    <n v="0"/>
    <n v="0"/>
    <n v="0"/>
    <m/>
    <m/>
    <m/>
    <m/>
    <m/>
    <n v="1565.8019184000016"/>
    <m/>
    <m/>
    <m/>
    <n v="6100.7140058337372"/>
    <m/>
    <m/>
    <m/>
    <m/>
    <m/>
    <m/>
    <m/>
    <m/>
    <m/>
    <m/>
    <m/>
    <m/>
    <n v="37575.3992"/>
    <n v="-25736.078147200009"/>
    <m/>
    <m/>
    <m/>
    <m/>
    <n v="-26804.376360000002"/>
    <n v="0"/>
    <n v="31"/>
    <n v="-80.869516839815333"/>
    <n v="0"/>
    <n v="0"/>
    <n v="0"/>
    <n v="0"/>
    <n v="0"/>
    <n v="0"/>
    <n v="0"/>
    <n v="-37.947866262806201"/>
    <n v="0"/>
    <n v="0"/>
    <n v="-8.0599602370057255E-7"/>
    <n v="0"/>
    <n v="0"/>
    <n v="0"/>
    <n v="-4.9285176828561816E-8"/>
    <n v="0"/>
    <n v="-35.665851028702718"/>
    <m/>
    <n v="0"/>
    <n v="0"/>
    <n v="0"/>
    <n v="0"/>
    <n v="-5.4749653062847017"/>
    <n v="-1.7808333867394452"/>
    <n v="0"/>
    <n v="0"/>
    <m/>
    <m/>
    <m/>
    <n v="43584.187225921269"/>
    <n v="0"/>
    <n v="0"/>
    <n v="-26804.376360000002"/>
    <n v="0"/>
    <n v="0"/>
    <n v="0"/>
    <n v="-26723.431785837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Fora ponta"/>
    <s v="CATIVO"/>
    <x v="8"/>
    <n v="0"/>
    <n v="0"/>
    <n v="212.17500000000001"/>
    <n v="203.68799999999999"/>
    <n v="212.17500000000001"/>
    <n v="203.68799999999999"/>
    <m/>
    <n v="81.2"/>
    <n v="252.22"/>
    <m/>
    <n v="70743.388500000001"/>
    <n v="70743.388500000001"/>
    <n v="70344.499500000005"/>
    <n v="0"/>
    <n v="11417.613350716934"/>
    <n v="0"/>
    <n v="0"/>
    <n v="0"/>
    <n v="0"/>
    <n v="0"/>
    <n v="53515.365689423779"/>
    <n v="0"/>
    <n v="0"/>
    <n v="0"/>
    <n v="0"/>
    <n v="0"/>
    <n v="2028.6113671150454"/>
    <m/>
    <n v="510.473134753544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72.3413469793632"/>
    <n v="0"/>
    <n v="0"/>
    <n v="0"/>
    <n v="0"/>
    <n v="0"/>
    <m/>
    <m/>
    <m/>
    <m/>
    <m/>
    <n v="2813.7799800000075"/>
    <m/>
    <m/>
    <m/>
    <n v="56787.707036403139"/>
    <m/>
    <m/>
    <m/>
    <m/>
    <m/>
    <m/>
    <m/>
    <m/>
    <m/>
    <m/>
    <m/>
    <m/>
    <n v="67531.382599999997"/>
    <n v="-382.30035999999382"/>
    <m/>
    <m/>
    <m/>
    <m/>
    <n v="-398.88900000000206"/>
    <n v="0"/>
    <n v="31"/>
    <n v="-399.53063135810953"/>
    <n v="0"/>
    <n v="0"/>
    <n v="0"/>
    <n v="0"/>
    <n v="0"/>
    <n v="0"/>
    <n v="0"/>
    <n v="0"/>
    <n v="0"/>
    <n v="0"/>
    <n v="-7.5025091064162552E-6"/>
    <n v="0"/>
    <n v="0"/>
    <n v="0"/>
    <n v="-4.5876458898419514E-7"/>
    <n v="0"/>
    <n v="-331.99095999012934"/>
    <m/>
    <n v="0"/>
    <n v="0"/>
    <n v="0"/>
    <n v="0"/>
    <n v="-50.963006223609455"/>
    <n v="-16.576657183093857"/>
    <n v="0"/>
    <n v="0"/>
    <m/>
    <m/>
    <m/>
    <n v="0"/>
    <n v="0"/>
    <n v="0"/>
    <n v="-398.8890000000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5"/>
    <s v="Sistema de Compensação"/>
    <s v="Verde"/>
    <s v="A4"/>
    <s v="Rural"/>
    <s v="Agropecuária rural"/>
    <s v="Não se aplica"/>
    <s v="Não se aplica"/>
    <s v="Fora ponta"/>
    <s v="CATIVO"/>
    <x v="8"/>
    <n v="0"/>
    <n v="0"/>
    <n v="3.9430000000000001"/>
    <n v="3.7852799999999998"/>
    <n v="3.9430000000000001"/>
    <n v="3.7852799999999998"/>
    <m/>
    <n v="81.2"/>
    <n v="252.22"/>
    <m/>
    <n v="1314.67506"/>
    <n v="1314.67506"/>
    <n v="1307.2622200000001"/>
    <n v="0"/>
    <n v="212.18168701249851"/>
    <n v="0"/>
    <n v="0"/>
    <n v="0"/>
    <n v="0"/>
    <n v="0"/>
    <n v="994.51437216164936"/>
    <n v="0"/>
    <n v="0"/>
    <n v="0"/>
    <n v="0"/>
    <n v="0"/>
    <n v="37.699138072509122"/>
    <m/>
    <n v="9.4864879007103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81226313721988"/>
    <n v="0"/>
    <n v="0"/>
    <n v="0"/>
    <n v="0"/>
    <n v="0"/>
    <m/>
    <m/>
    <m/>
    <m/>
    <m/>
    <n v="52.290488800000098"/>
    <m/>
    <m/>
    <m/>
    <n v="1055.3266352988692"/>
    <m/>
    <m/>
    <m/>
    <m/>
    <m/>
    <m/>
    <m/>
    <m/>
    <m/>
    <m/>
    <m/>
    <m/>
    <n v="1256.5365999999999"/>
    <n v="-5.5814576000000216"/>
    <m/>
    <m/>
    <m/>
    <m/>
    <n v="-7.4128400000000383"/>
    <n v="0"/>
    <n v="31"/>
    <n v="-7.4247638951105728"/>
    <n v="0"/>
    <n v="0"/>
    <n v="0"/>
    <n v="0"/>
    <n v="0"/>
    <n v="0"/>
    <n v="0"/>
    <n v="0"/>
    <n v="0"/>
    <n v="0"/>
    <n v="-1.394245146002504E-7"/>
    <n v="0"/>
    <n v="0"/>
    <n v="0"/>
    <n v="-8.5255535964279261E-9"/>
    <n v="0"/>
    <n v="-6.1696258053073336"/>
    <m/>
    <n v="0"/>
    <n v="0"/>
    <n v="0"/>
    <n v="0"/>
    <n v="-0.94708204802493867"/>
    <n v="-0.30805589382792142"/>
    <n v="0"/>
    <n v="0"/>
    <m/>
    <m/>
    <m/>
    <n v="0"/>
    <n v="0"/>
    <n v="0"/>
    <n v="-7.412840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46"/>
    <s v="Regular"/>
    <s v="Verde"/>
    <s v="A4"/>
    <s v="Rural"/>
    <s v="Agropecuária rural"/>
    <s v="Não se aplica"/>
    <s v="Não se aplica"/>
    <s v="Não se aplica"/>
    <s v="CATIVO"/>
    <x v="8"/>
    <n v="3986"/>
    <n v="3826.56"/>
    <n v="0"/>
    <n v="0"/>
    <n v="0"/>
    <n v="0"/>
    <n v="74.44"/>
    <m/>
    <m/>
    <n v="296717.83999999997"/>
    <m/>
    <n v="296717.83999999997"/>
    <n v="181044.12"/>
    <n v="0"/>
    <n v="0"/>
    <n v="0"/>
    <n v="0"/>
    <n v="0"/>
    <n v="108487.33082638087"/>
    <n v="188225.0502056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97.39"/>
    <n v="23"/>
    <m/>
    <m/>
    <m/>
    <m/>
    <m/>
    <n v="7241.7648000000027"/>
    <m/>
    <m/>
    <m/>
    <n v="0"/>
    <m/>
    <m/>
    <m/>
    <m/>
    <m/>
    <m/>
    <m/>
    <m/>
    <m/>
    <m/>
    <m/>
    <m/>
    <n v="173802.35519999999"/>
    <n v="-111046.80120000005"/>
    <m/>
    <m/>
    <m/>
    <m/>
    <n v="-115673.71999999999"/>
    <n v="0"/>
    <n v="31"/>
    <n v="-278.82199382809631"/>
    <n v="0"/>
    <n v="0"/>
    <n v="0"/>
    <n v="0"/>
    <m/>
    <m/>
    <m/>
    <n v="-278.821993828096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225.0502056343"/>
    <m/>
    <n v="0"/>
    <n v="0"/>
    <n v="-115673.71999999997"/>
    <m/>
    <n v="0"/>
    <m/>
    <n v="-115409.2713369329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47"/>
    <s v="Refaturamento - Regular"/>
    <s v="Verde"/>
    <s v="A4"/>
    <s v="Rural"/>
    <s v="Agropecuária rural"/>
    <s v="Não se aplica"/>
    <s v="Não se aplica"/>
    <s v="Não se aplica"/>
    <s v="CATIVO"/>
    <x v="8"/>
    <n v="-348"/>
    <n v="-334.08"/>
    <n v="0"/>
    <n v="0"/>
    <n v="0"/>
    <n v="0"/>
    <n v="74.44"/>
    <m/>
    <m/>
    <n v="-25905.119999999999"/>
    <m/>
    <n v="-25905.119999999999"/>
    <n v="-15806.16"/>
    <n v="0"/>
    <n v="0"/>
    <n v="0"/>
    <n v="0"/>
    <n v="0"/>
    <n v="-9471.5482005972262"/>
    <n v="-16433.0952010940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632.24640000000079"/>
    <m/>
    <m/>
    <m/>
    <n v="0"/>
    <m/>
    <m/>
    <m/>
    <m/>
    <m/>
    <m/>
    <m/>
    <m/>
    <m/>
    <m/>
    <m/>
    <m/>
    <n v="-15173.9136"/>
    <n v="9694.9716000000044"/>
    <m/>
    <m/>
    <m/>
    <m/>
    <n v="10098.959999999999"/>
    <n v="0"/>
    <n v="31"/>
    <n v="24.342712958397897"/>
    <n v="0"/>
    <n v="0"/>
    <n v="0"/>
    <n v="0"/>
    <m/>
    <m/>
    <m/>
    <n v="24.3427129583978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6433.095201094013"/>
    <m/>
    <n v="0"/>
    <n v="0"/>
    <n v="10098.959999999999"/>
    <m/>
    <n v="0"/>
    <m/>
    <n v="10075.87215886920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48"/>
    <s v="Sistema de Compensação"/>
    <s v="Verde"/>
    <s v="A4"/>
    <s v="Rural"/>
    <s v="Agropecuária rural"/>
    <s v="Não se aplica"/>
    <s v="Não se aplica"/>
    <s v="Não se aplica"/>
    <s v="CATIVO"/>
    <x v="8"/>
    <n v="148"/>
    <n v="142.07999999999998"/>
    <n v="0"/>
    <n v="0"/>
    <n v="0"/>
    <n v="0"/>
    <n v="74.44"/>
    <m/>
    <m/>
    <n v="11017.119999999999"/>
    <m/>
    <n v="11017.119999999999"/>
    <n v="6722.16"/>
    <n v="0"/>
    <n v="0"/>
    <n v="0"/>
    <n v="0"/>
    <n v="0"/>
    <n v="4028.1296945068666"/>
    <n v="6988.78761425837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.61"/>
    <n v="3"/>
    <m/>
    <m/>
    <m/>
    <m/>
    <m/>
    <n v="268.88640000000072"/>
    <m/>
    <m/>
    <m/>
    <n v="0"/>
    <m/>
    <m/>
    <m/>
    <m/>
    <m/>
    <m/>
    <m/>
    <m/>
    <m/>
    <m/>
    <m/>
    <m/>
    <n v="6453.2736000000004"/>
    <n v="-4123.1915999999983"/>
    <m/>
    <m/>
    <m/>
    <m/>
    <n v="-4294.9599999999991"/>
    <n v="0"/>
    <n v="31"/>
    <n v="-10.352648039779069"/>
    <n v="0"/>
    <n v="0"/>
    <n v="0"/>
    <n v="0"/>
    <m/>
    <m/>
    <m/>
    <n v="-10.3526480397790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6988.7876142583737"/>
    <m/>
    <n v="0"/>
    <n v="0"/>
    <n v="-4294.9599999999991"/>
    <m/>
    <n v="0"/>
    <m/>
    <n v="-4285.141033082306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49"/>
    <s v="Regular"/>
    <s v="Verde"/>
    <s v="A4"/>
    <s v="Rural"/>
    <s v="Agropecuária rural"/>
    <s v="IRRIG./AQUIC. PR"/>
    <s v="Não se aplica"/>
    <s v="Fora ponta"/>
    <s v="CATIVO"/>
    <x v="8"/>
    <n v="0"/>
    <n v="0"/>
    <n v="160.22999999999999"/>
    <n v="48.069000000000003"/>
    <n v="160.22999999999999"/>
    <n v="48.069000000000003"/>
    <m/>
    <n v="81.2"/>
    <n v="252.22"/>
    <m/>
    <n v="53423.886599999998"/>
    <n v="53423.886599999998"/>
    <n v="53122.654199999997"/>
    <n v="0"/>
    <n v="8622.3362186184713"/>
    <n v="0"/>
    <n v="0"/>
    <n v="0"/>
    <n v="0"/>
    <n v="0"/>
    <n v="40413.654032833139"/>
    <n v="0"/>
    <n v="0"/>
    <n v="0"/>
    <n v="0"/>
    <n v="0"/>
    <n v="1531.963706152203"/>
    <m/>
    <n v="385.49834043388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1.2018570826126"/>
    <n v="0"/>
    <n v="0"/>
    <n v="0"/>
    <n v="0"/>
    <n v="0"/>
    <m/>
    <m/>
    <m/>
    <m/>
    <m/>
    <m/>
    <n v="37185.857939999994"/>
    <m/>
    <m/>
    <n v="42884.855889915751"/>
    <m/>
    <m/>
    <m/>
    <m/>
    <m/>
    <m/>
    <m/>
    <m/>
    <m/>
    <m/>
    <m/>
    <m/>
    <n v="15937.127799999998"/>
    <n v="-90.068180000003849"/>
    <m/>
    <m/>
    <m/>
    <m/>
    <n v="-301.23240000000152"/>
    <n v="0"/>
    <n v="31"/>
    <n v="-301.71694621189818"/>
    <n v="0"/>
    <n v="0"/>
    <n v="0"/>
    <n v="0"/>
    <n v="0"/>
    <n v="0"/>
    <n v="0"/>
    <n v="0"/>
    <n v="0"/>
    <n v="0"/>
    <n v="-5.6657372624613345E-6"/>
    <n v="0"/>
    <n v="0"/>
    <n v="0"/>
    <n v="-3.4644926927285269E-7"/>
    <n v="0"/>
    <n v="-250.71243793669601"/>
    <m/>
    <n v="0"/>
    <n v="0"/>
    <n v="0"/>
    <n v="0"/>
    <n v="-38.486167018776769"/>
    <n v="-12.518335244242394"/>
    <n v="0"/>
    <n v="0"/>
    <m/>
    <m/>
    <m/>
    <n v="0"/>
    <n v="0"/>
    <n v="0"/>
    <n v="-301.232400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0"/>
    <s v="Regular"/>
    <s v="Convencional"/>
    <s v="B1"/>
    <s v="Residencial"/>
    <s v="Residencial"/>
    <s v="Não se aplica"/>
    <s v="Não se aplica"/>
    <s v="Não se aplica"/>
    <s v="CATIVO"/>
    <x v="9"/>
    <n v="0"/>
    <n v="0"/>
    <n v="1039.5609999999999"/>
    <n v="1039.5609999999999"/>
    <n v="1039.5609999999999"/>
    <n v="1039.5609999999999"/>
    <m/>
    <n v="739.04"/>
    <n v="252.22"/>
    <m/>
    <n v="1030475.2368599998"/>
    <n v="1030475.2368599998"/>
    <n v="704791.17116999999"/>
    <n v="0"/>
    <n v="64300.129352584663"/>
    <n v="0"/>
    <n v="0"/>
    <n v="0"/>
    <n v="128383.26869407094"/>
    <n v="527044.7132246166"/>
    <n v="262200.95238111494"/>
    <n v="0"/>
    <n v="0"/>
    <n v="0"/>
    <n v="0"/>
    <n v="0"/>
    <n v="9939.2730595474641"/>
    <m/>
    <n v="2436.001772691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70.743205175801"/>
    <n v="0"/>
    <n v="0"/>
    <n v="0"/>
    <n v="269451.90999999997"/>
    <n v="7752"/>
    <m/>
    <m/>
    <m/>
    <m/>
    <m/>
    <m/>
    <m/>
    <m/>
    <m/>
    <n v="298371.69558629073"/>
    <m/>
    <m/>
    <m/>
    <m/>
    <m/>
    <m/>
    <m/>
    <m/>
    <m/>
    <m/>
    <m/>
    <m/>
    <n v="704790.49319999991"/>
    <n v="-325684.77365999995"/>
    <m/>
    <m/>
    <m/>
    <m/>
    <n v="-325684.06568999996"/>
    <n v="0"/>
    <n v="30"/>
    <n v="-2528.4170727578457"/>
    <n v="0"/>
    <n v="0"/>
    <n v="0"/>
    <n v="0"/>
    <n v="0"/>
    <n v="0"/>
    <n v="0"/>
    <n v="-329.95630622254976"/>
    <n v="0"/>
    <n v="0"/>
    <n v="-3.6758894566446543E-5"/>
    <n v="0"/>
    <n v="0"/>
    <n v="0"/>
    <n v="-5.0708767957985401E-6"/>
    <n v="0"/>
    <n v="-1869.6605862830111"/>
    <m/>
    <n v="0"/>
    <n v="0"/>
    <n v="0"/>
    <n v="0"/>
    <n v="-249.69555184551245"/>
    <n v="-79.104586576946076"/>
    <n v="0"/>
    <n v="0"/>
    <m/>
    <m/>
    <m/>
    <n v="527044.7132246166"/>
    <n v="0"/>
    <n v="0"/>
    <n v="-325684.06568999996"/>
    <n v="0"/>
    <n v="0"/>
    <n v="0"/>
    <n v="-323154.89489196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1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3.226"/>
    <n v="-3.226"/>
    <n v="-3.226"/>
    <n v="-3.226"/>
    <m/>
    <n v="739.04"/>
    <n v="252.22"/>
    <m/>
    <n v="-3197.80476"/>
    <n v="-3197.80476"/>
    <n v="-2187.1312199999998"/>
    <n v="0"/>
    <n v="-199.53828326710808"/>
    <n v="0"/>
    <n v="0"/>
    <n v="0"/>
    <n v="-398.40319597125409"/>
    <n v="-1635.5425461926845"/>
    <n v="-813.67064788066978"/>
    <n v="0"/>
    <n v="0"/>
    <n v="0"/>
    <n v="0"/>
    <n v="0"/>
    <n v="-30.843880147581647"/>
    <m/>
    <n v="-7.5594810874048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2.24624392401903"/>
    <n v="0"/>
    <n v="0"/>
    <n v="0"/>
    <n v="-894.16"/>
    <n v="0"/>
    <m/>
    <m/>
    <m/>
    <m/>
    <m/>
    <m/>
    <m/>
    <m/>
    <m/>
    <n v="-925.91689180468882"/>
    <m/>
    <m/>
    <m/>
    <m/>
    <m/>
    <m/>
    <m/>
    <m/>
    <m/>
    <m/>
    <m/>
    <m/>
    <n v="-2189.8431"/>
    <n v="1007.9316599999993"/>
    <m/>
    <m/>
    <m/>
    <m/>
    <n v="1010.6735399999999"/>
    <n v="0"/>
    <n v="30"/>
    <n v="7.8462672962109536"/>
    <n v="0"/>
    <n v="0"/>
    <n v="0"/>
    <n v="0"/>
    <n v="0"/>
    <n v="0"/>
    <n v="0"/>
    <n v="1.023931297801596"/>
    <n v="0"/>
    <n v="0"/>
    <n v="1.1407144029362826E-7"/>
    <n v="0"/>
    <n v="0"/>
    <n v="0"/>
    <n v="1.573611996263935E-8"/>
    <n v="0"/>
    <n v="5.8019924288704487"/>
    <m/>
    <n v="0"/>
    <n v="0"/>
    <n v="0"/>
    <n v="0"/>
    <n v="0.77486347626894769"/>
    <n v="0.24547996346268075"/>
    <n v="0"/>
    <n v="0"/>
    <m/>
    <m/>
    <m/>
    <n v="-1635.5425461926845"/>
    <n v="0"/>
    <n v="0"/>
    <n v="1010.67354"/>
    <n v="0"/>
    <n v="0"/>
    <n v="0"/>
    <n v="1002.8249337186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1.696000000000002"/>
    <n v="31.696000000000002"/>
    <n v="31.696000000000002"/>
    <n v="31.696000000000002"/>
    <m/>
    <n v="739.04"/>
    <n v="252.22"/>
    <m/>
    <n v="31418.97696"/>
    <n v="31418.97696"/>
    <n v="21488.937120000002"/>
    <n v="0"/>
    <n v="1960.4976523354799"/>
    <n v="0"/>
    <n v="0"/>
    <n v="0"/>
    <n v="3914.3793240870646"/>
    <n v="16069.484359616656"/>
    <n v="7994.4528379496933"/>
    <n v="0"/>
    <n v="0"/>
    <n v="0"/>
    <n v="0"/>
    <n v="0"/>
    <n v="303.04638101604087"/>
    <m/>
    <n v="74.273190497948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2.8384833898658"/>
    <n v="0"/>
    <n v="0"/>
    <n v="0"/>
    <n v="24448.51"/>
    <n v="526"/>
    <m/>
    <m/>
    <m/>
    <m/>
    <m/>
    <m/>
    <m/>
    <m/>
    <m/>
    <n v="9097.2913213395586"/>
    <m/>
    <m/>
    <m/>
    <m/>
    <m/>
    <m/>
    <m/>
    <m/>
    <m/>
    <m/>
    <m/>
    <m/>
    <n v="21491.648999999998"/>
    <n v="-9927.3579599999975"/>
    <m/>
    <m/>
    <m/>
    <m/>
    <n v="-9930.0398399999995"/>
    <n v="0"/>
    <n v="30"/>
    <n v="-77.090913893585821"/>
    <n v="0"/>
    <n v="0"/>
    <n v="0"/>
    <n v="0"/>
    <n v="0"/>
    <n v="0"/>
    <n v="0"/>
    <n v="-10.060299570713141"/>
    <n v="0"/>
    <n v="0"/>
    <n v="-1.1207712304894812E-6"/>
    <n v="0"/>
    <n v="0"/>
    <n v="0"/>
    <n v="-1.5461000657523982E-7"/>
    <n v="0"/>
    <n v="-57.005564794010525"/>
    <m/>
    <n v="0"/>
    <n v="0"/>
    <n v="0"/>
    <n v="0"/>
    <n v="-7.613165760638708"/>
    <n v="-2.4118824928435032"/>
    <n v="0"/>
    <n v="0"/>
    <m/>
    <m/>
    <m/>
    <n v="16069.484359616656"/>
    <n v="0"/>
    <n v="0"/>
    <n v="-9930.0398400000013"/>
    <n v="0"/>
    <n v="0"/>
    <n v="0"/>
    <n v="-9852.9259451783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2.948"/>
    <n v="22.948"/>
    <n v="22.948"/>
    <n v="22.948"/>
    <m/>
    <n v="667.62"/>
    <n v="252.22"/>
    <m/>
    <n v="21108.48832"/>
    <n v="21108.48832"/>
    <n v="13965.92332"/>
    <n v="0"/>
    <n v="0"/>
    <n v="0"/>
    <n v="0"/>
    <n v="0"/>
    <n v="2834.0224864068005"/>
    <n v="11634.355347188384"/>
    <n v="5788.0080680612555"/>
    <n v="0"/>
    <n v="0"/>
    <n v="0"/>
    <n v="0"/>
    <n v="0"/>
    <n v="0"/>
    <m/>
    <n v="53.774014877174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8.45840222206709"/>
    <n v="0"/>
    <n v="0"/>
    <n v="0"/>
    <n v="1452.81"/>
    <n v="68"/>
    <m/>
    <m/>
    <m/>
    <m/>
    <m/>
    <m/>
    <m/>
    <n v="9077.7698400000008"/>
    <m/>
    <n v="6586.4664702833225"/>
    <m/>
    <m/>
    <m/>
    <m/>
    <m/>
    <m/>
    <m/>
    <m/>
    <m/>
    <m/>
    <m/>
    <m/>
    <n v="4888.5794999999998"/>
    <n v="-2499.5591000000004"/>
    <m/>
    <m/>
    <m/>
    <m/>
    <n v="-7142.5650000000005"/>
    <n v="0"/>
    <n v="30"/>
    <n v="-9.0298985128065397"/>
    <n v="0"/>
    <n v="0"/>
    <n v="0"/>
    <n v="0"/>
    <n v="0"/>
    <n v="0"/>
    <n v="0"/>
    <n v="-7.2836873595629186"/>
    <n v="0"/>
    <n v="0"/>
    <n v="-8.1144207797478884E-7"/>
    <n v="0"/>
    <n v="0"/>
    <n v="0"/>
    <n v="-1.1193810678378213E-7"/>
    <n v="0"/>
    <n v="0"/>
    <m/>
    <n v="0"/>
    <n v="0"/>
    <n v="0"/>
    <n v="0"/>
    <n v="0"/>
    <n v="-1.7462102298641042"/>
    <n v="0"/>
    <n v="0"/>
    <m/>
    <m/>
    <m/>
    <n v="11634.355347188384"/>
    <n v="0"/>
    <n v="0"/>
    <n v="-7142.5650000000005"/>
    <n v="0"/>
    <n v="0"/>
    <n v="0"/>
    <n v="-7133.548226588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4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8.8999999999999996E-2"/>
    <n v="-0.54735"/>
    <n v="8.8999999999999996E-2"/>
    <n v="-0.54735"/>
    <m/>
    <n v="667.62"/>
    <n v="252.22"/>
    <m/>
    <n v="81.865759999999995"/>
    <n v="81.865759999999995"/>
    <n v="54.164509999999993"/>
    <n v="0"/>
    <n v="0"/>
    <n v="0"/>
    <n v="0"/>
    <n v="0"/>
    <n v="10.991284699764915"/>
    <n v="45.121911534764081"/>
    <n v="22.44782630544935"/>
    <n v="0"/>
    <n v="0"/>
    <n v="0"/>
    <n v="0"/>
    <n v="0"/>
    <n v="0"/>
    <m/>
    <n v="0.20855356998729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966880685795699"/>
    <n v="0"/>
    <n v="0"/>
    <n v="0"/>
    <n v="15.52"/>
    <n v="0"/>
    <m/>
    <m/>
    <m/>
    <m/>
    <m/>
    <m/>
    <m/>
    <n v="170.75553350000001"/>
    <m/>
    <n v="25.544514374028921"/>
    <m/>
    <m/>
    <m/>
    <m/>
    <m/>
    <m/>
    <m/>
    <m/>
    <m/>
    <m/>
    <m/>
    <m/>
    <n v="-117.1555"/>
    <n v="59.033832499999974"/>
    <m/>
    <m/>
    <m/>
    <m/>
    <n v="-27.701249999999998"/>
    <n v="0"/>
    <n v="30"/>
    <n v="-3.5020959022133979E-2"/>
    <n v="0"/>
    <n v="0"/>
    <n v="0"/>
    <n v="0"/>
    <n v="0"/>
    <n v="0"/>
    <n v="0"/>
    <n v="-2.8248569592172146E-2"/>
    <n v="0"/>
    <n v="0"/>
    <n v="-3.1470399619593081E-9"/>
    <n v="0"/>
    <n v="0"/>
    <n v="0"/>
    <n v="-4.3413361794364391E-10"/>
    <n v="0"/>
    <n v="0"/>
    <m/>
    <n v="0"/>
    <n v="0"/>
    <n v="0"/>
    <n v="0"/>
    <n v="0"/>
    <n v="-6.7723858487844235E-3"/>
    <n v="0"/>
    <n v="0"/>
    <m/>
    <m/>
    <m/>
    <n v="45.121911534764081"/>
    <n v="0"/>
    <n v="0"/>
    <n v="-27.701250000000002"/>
    <n v="0"/>
    <n v="0"/>
    <n v="0"/>
    <n v="-27.666279944500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5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40.292999999999999"/>
    <n v="40.292999999999999"/>
    <n v="40.292999999999999"/>
    <n v="40.292999999999999"/>
    <m/>
    <n v="667.62"/>
    <n v="252.22"/>
    <m/>
    <n v="37063.113119999995"/>
    <n v="37063.113119999995"/>
    <n v="24521.916870000001"/>
    <n v="0"/>
    <n v="0"/>
    <n v="0"/>
    <n v="0"/>
    <n v="0"/>
    <n v="4976.0880270519965"/>
    <n v="20428.058218766844"/>
    <n v="10162.811969949109"/>
    <n v="0"/>
    <n v="0"/>
    <n v="0"/>
    <n v="0"/>
    <n v="0"/>
    <n v="0"/>
    <m/>
    <n v="94.418528039306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1.9646331154677"/>
    <n v="0"/>
    <n v="0"/>
    <n v="0"/>
    <n v="4838.88"/>
    <n v="258"/>
    <m/>
    <m/>
    <m/>
    <m/>
    <m/>
    <m/>
    <m/>
    <n v="9808.9279200000001"/>
    <m/>
    <n v="11564.776603064576"/>
    <m/>
    <m/>
    <m/>
    <m/>
    <m/>
    <m/>
    <m/>
    <m/>
    <m/>
    <m/>
    <m/>
    <m/>
    <n v="14711.893499999998"/>
    <n v="-7525.8431999999993"/>
    <m/>
    <m/>
    <m/>
    <m/>
    <n v="-12541.196249999999"/>
    <n v="0"/>
    <n v="30"/>
    <n v="-15.855050582904369"/>
    <n v="0"/>
    <n v="0"/>
    <n v="0"/>
    <n v="0"/>
    <n v="0"/>
    <n v="0"/>
    <n v="0"/>
    <n v="-12.788984433453152"/>
    <n v="0"/>
    <n v="0"/>
    <n v="-1.4247616491047665E-6"/>
    <n v="0"/>
    <n v="0"/>
    <n v="0"/>
    <n v="-1.9654544303193688E-7"/>
    <n v="0"/>
    <n v="0"/>
    <m/>
    <n v="0"/>
    <n v="0"/>
    <n v="0"/>
    <n v="0"/>
    <n v="0"/>
    <n v="-3.0660645281468675"/>
    <n v="0"/>
    <n v="0"/>
    <m/>
    <m/>
    <m/>
    <n v="20428.058218766844"/>
    <n v="0"/>
    <n v="0"/>
    <n v="-12541.196249999999"/>
    <n v="0"/>
    <n v="0"/>
    <n v="0"/>
    <n v="-12525.364244985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6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4.2999999999999997E-2"/>
    <n v="-0.1462"/>
    <n v="4.2999999999999997E-2"/>
    <n v="-0.1462"/>
    <m/>
    <n v="667.62"/>
    <n v="252.22"/>
    <m/>
    <n v="39.553119999999993"/>
    <n v="39.553119999999993"/>
    <n v="26.169370000000001"/>
    <n v="0"/>
    <n v="0"/>
    <n v="0"/>
    <n v="0"/>
    <n v="0"/>
    <n v="5.3103959785381045"/>
    <n v="21.800474112301746"/>
    <n v="10.845579001509236"/>
    <n v="0"/>
    <n v="0"/>
    <n v="0"/>
    <n v="0"/>
    <n v="0"/>
    <n v="0"/>
    <m/>
    <n v="0.100761837184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961526623474326"/>
    <n v="0"/>
    <n v="0"/>
    <n v="0"/>
    <n v="50.38"/>
    <n v="2"/>
    <m/>
    <m/>
    <m/>
    <m/>
    <m/>
    <m/>
    <m/>
    <n v="79.554299999999984"/>
    <m/>
    <n v="12.341731663856669"/>
    <m/>
    <m/>
    <m/>
    <m/>
    <m/>
    <m/>
    <m/>
    <m/>
    <m/>
    <m/>
    <m/>
    <m/>
    <n v="-54.772500000000001"/>
    <n v="25.885280000000002"/>
    <m/>
    <m/>
    <m/>
    <m/>
    <n v="-13.383749999999999"/>
    <n v="0"/>
    <n v="30"/>
    <n v="-1.6920238628671314E-2"/>
    <n v="0"/>
    <n v="0"/>
    <n v="0"/>
    <n v="0"/>
    <n v="0"/>
    <n v="0"/>
    <n v="0"/>
    <n v="-1.3648185308577254E-2"/>
    <n v="0"/>
    <n v="0"/>
    <n v="-1.520479742112002E-9"/>
    <n v="0"/>
    <n v="0"/>
    <n v="0"/>
    <n v="-2.097497731057274E-10"/>
    <n v="0"/>
    <n v="0"/>
    <m/>
    <n v="0"/>
    <n v="0"/>
    <n v="0"/>
    <n v="0"/>
    <n v="0"/>
    <n v="-3.2720515898621433E-3"/>
    <n v="0"/>
    <n v="0"/>
    <m/>
    <m/>
    <m/>
    <n v="21.800474112301746"/>
    <n v="0"/>
    <n v="0"/>
    <n v="-13.383749999999997"/>
    <n v="0"/>
    <n v="0"/>
    <n v="0"/>
    <n v="-13.366854355207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7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8.111999999999998"/>
    <n v="28.111999999999998"/>
    <n v="28.111999999999998"/>
    <n v="28.111999999999998"/>
    <m/>
    <n v="667.62"/>
    <n v="252.22"/>
    <m/>
    <n v="25858.542079999999"/>
    <n v="25858.542079999999"/>
    <n v="17108.682079999999"/>
    <n v="0"/>
    <n v="0"/>
    <n v="0"/>
    <n v="0"/>
    <n v="0"/>
    <n v="3471.7639941549578"/>
    <n v="14252.440191744807"/>
    <n v="7090.4864393122716"/>
    <n v="0"/>
    <n v="0"/>
    <n v="0"/>
    <n v="0"/>
    <n v="0"/>
    <n v="0"/>
    <m/>
    <n v="65.874808533516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8.13589869560531"/>
    <n v="0"/>
    <n v="0"/>
    <n v="0"/>
    <n v="5132.03"/>
    <n v="353"/>
    <m/>
    <m/>
    <m/>
    <m/>
    <m/>
    <m/>
    <m/>
    <n v="1710.6151999999997"/>
    <m/>
    <n v="8068.6223380078773"/>
    <m/>
    <m/>
    <m/>
    <m/>
    <m/>
    <m/>
    <m/>
    <m/>
    <m/>
    <m/>
    <m/>
    <m/>
    <n v="15396.971399999999"/>
    <n v="-7875.8589199999951"/>
    <m/>
    <m/>
    <m/>
    <m/>
    <n v="-8749.8599999999988"/>
    <n v="0"/>
    <n v="30"/>
    <n v="-11.06190112393233"/>
    <n v="0"/>
    <n v="0"/>
    <n v="0"/>
    <n v="0"/>
    <n v="0"/>
    <n v="0"/>
    <n v="0"/>
    <n v="-8.9227391952258586"/>
    <n v="0"/>
    <n v="0"/>
    <n v="-9.9404132924973965E-7"/>
    <n v="0"/>
    <n v="0"/>
    <n v="0"/>
    <n v="-1.371276994177606E-7"/>
    <n v="0"/>
    <n v="0"/>
    <m/>
    <n v="0"/>
    <n v="0"/>
    <n v="0"/>
    <n v="0"/>
    <n v="0"/>
    <n v="-2.1391607975396454"/>
    <n v="0"/>
    <n v="0"/>
    <m/>
    <m/>
    <m/>
    <n v="14252.440191744807"/>
    <n v="0"/>
    <n v="0"/>
    <n v="-8749.8599999999988"/>
    <n v="0"/>
    <n v="0"/>
    <n v="0"/>
    <n v="-8738.814177525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58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4.07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5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7.0389999999999997"/>
    <n v="7.0389999999999997"/>
    <n v="7.0389999999999997"/>
    <n v="7.0389999999999997"/>
    <m/>
    <n v="667.62"/>
    <n v="252.22"/>
    <m/>
    <n v="6474.7537599999996"/>
    <n v="6474.7537599999996"/>
    <n v="4283.8650099999995"/>
    <n v="0"/>
    <n v="0"/>
    <n v="0"/>
    <n v="0"/>
    <n v="0"/>
    <n v="869.29947192859811"/>
    <n v="3568.6869134067906"/>
    <n v="1775.3960602703144"/>
    <n v="0"/>
    <n v="0"/>
    <n v="0"/>
    <n v="0"/>
    <n v="0"/>
    <n v="0"/>
    <m/>
    <n v="16.4944784173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91671140147858"/>
    <n v="0"/>
    <n v="0"/>
    <n v="0"/>
    <n v="1427.55"/>
    <n v="85"/>
    <m/>
    <m/>
    <m/>
    <m/>
    <m/>
    <m/>
    <m/>
    <m/>
    <m/>
    <n v="2020.3127716717929"/>
    <m/>
    <m/>
    <m/>
    <m/>
    <m/>
    <m/>
    <m/>
    <m/>
    <m/>
    <m/>
    <m/>
    <m/>
    <n v="4284.4735999999994"/>
    <n v="-2190.3101600000009"/>
    <m/>
    <m/>
    <m/>
    <m/>
    <n v="-2190.8887500000001"/>
    <n v="0"/>
    <n v="30"/>
    <n v="-2.769803714120826"/>
    <n v="0"/>
    <n v="0"/>
    <n v="0"/>
    <n v="0"/>
    <n v="0"/>
    <n v="0"/>
    <n v="0"/>
    <n v="-2.2341761950482351"/>
    <n v="0"/>
    <n v="0"/>
    <n v="-2.4889914129744284E-7"/>
    <n v="0"/>
    <n v="0"/>
    <n v="0"/>
    <n v="-3.4335585041844752E-8"/>
    <n v="0"/>
    <n v="0"/>
    <m/>
    <n v="0"/>
    <n v="0"/>
    <n v="0"/>
    <n v="0"/>
    <n v="0"/>
    <n v="-0.5356272358381311"/>
    <n v="0"/>
    <n v="0"/>
    <m/>
    <m/>
    <m/>
    <n v="3568.6869134067906"/>
    <n v="0"/>
    <n v="0"/>
    <n v="-2190.8887499999996"/>
    <n v="0"/>
    <n v="0"/>
    <n v="0"/>
    <n v="-2188.1229722397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0"/>
    <s v="Sistema de Compensação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.5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61"/>
    <s v="Regular"/>
    <s v="Convencional"/>
    <s v="B3"/>
    <s v="Industrial"/>
    <s v="Não se aplica"/>
    <s v="Não se aplica"/>
    <s v="Não se aplica"/>
    <s v="Não se aplica"/>
    <s v="CATIVO"/>
    <x v="9"/>
    <n v="0"/>
    <n v="0"/>
    <n v="26.477"/>
    <n v="26.477"/>
    <n v="26.477"/>
    <n v="26.477"/>
    <m/>
    <n v="739.04"/>
    <n v="252.22"/>
    <m/>
    <n v="26245.59102"/>
    <n v="26245.59102"/>
    <n v="17950.611689999998"/>
    <n v="0"/>
    <n v="1637.6860279179234"/>
    <n v="0"/>
    <n v="0"/>
    <n v="0"/>
    <n v="3269.8454493896138"/>
    <n v="13423.515187707288"/>
    <n v="6678.1022144874441"/>
    <n v="0"/>
    <n v="0"/>
    <n v="0"/>
    <n v="0"/>
    <n v="0"/>
    <n v="253.14736970474868"/>
    <m/>
    <n v="62.043515421951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1.24730327844134"/>
    <n v="0"/>
    <n v="0"/>
    <n v="0"/>
    <n v="4381.78"/>
    <n v="15"/>
    <m/>
    <m/>
    <m/>
    <m/>
    <m/>
    <m/>
    <m/>
    <m/>
    <m/>
    <n v="7599.3495177658851"/>
    <m/>
    <m/>
    <m/>
    <m/>
    <m/>
    <m/>
    <m/>
    <m/>
    <m/>
    <m/>
    <m/>
    <m/>
    <n v="17952.6456"/>
    <n v="-8292.9754199999952"/>
    <m/>
    <m/>
    <m/>
    <m/>
    <n v="-8294.9793299999983"/>
    <n v="0"/>
    <n v="30"/>
    <n v="-64.397278115866357"/>
    <n v="0"/>
    <n v="0"/>
    <n v="0"/>
    <n v="0"/>
    <n v="0"/>
    <n v="0"/>
    <n v="0"/>
    <n v="-8.4037907538413492"/>
    <n v="0"/>
    <n v="0"/>
    <n v="-9.3622747954213992E-7"/>
    <n v="0"/>
    <n v="0"/>
    <n v="0"/>
    <n v="-1.2915222669107607E-7"/>
    <n v="0"/>
    <n v="-47.619142448605999"/>
    <m/>
    <n v="0"/>
    <n v="0"/>
    <n v="0"/>
    <n v="0"/>
    <n v="-6.3595971051373112"/>
    <n v="-2.0147467429018633"/>
    <n v="0"/>
    <n v="0"/>
    <m/>
    <m/>
    <m/>
    <n v="13423.515187707288"/>
    <n v="0"/>
    <n v="0"/>
    <n v="-8294.9793300000001"/>
    <n v="0"/>
    <n v="0"/>
    <n v="0"/>
    <n v="-8230.5628549497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2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3.87"/>
    <n v="3.87"/>
    <n v="3.87"/>
    <n v="3.87"/>
    <m/>
    <n v="739.04"/>
    <n v="252.22"/>
    <m/>
    <n v="3836.1761999999999"/>
    <n v="3836.1761999999999"/>
    <n v="2623.7439000000004"/>
    <n v="0"/>
    <n v="239.37171613258161"/>
    <n v="0"/>
    <n v="0"/>
    <n v="0"/>
    <n v="477.93563806842945"/>
    <n v="1962.0426701071574"/>
    <n v="976.10211013583137"/>
    <n v="0"/>
    <n v="0"/>
    <n v="0"/>
    <n v="0"/>
    <n v="0"/>
    <n v="37.001182942077179"/>
    <m/>
    <n v="9.068565346638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65373961126895"/>
    <n v="0"/>
    <n v="0"/>
    <n v="0"/>
    <n v="2274.5"/>
    <n v="12"/>
    <m/>
    <m/>
    <m/>
    <m/>
    <m/>
    <m/>
    <m/>
    <m/>
    <m/>
    <n v="1110.7558497471002"/>
    <m/>
    <m/>
    <m/>
    <m/>
    <m/>
    <m/>
    <m/>
    <m/>
    <m/>
    <m/>
    <m/>
    <m/>
    <n v="2623.7439000000004"/>
    <n v="-1212.4623000000001"/>
    <m/>
    <m/>
    <m/>
    <m/>
    <n v="-1212.4322999999999"/>
    <n v="0"/>
    <n v="30"/>
    <n v="-9.4126021191373184"/>
    <n v="0"/>
    <n v="0"/>
    <n v="0"/>
    <n v="0"/>
    <n v="0"/>
    <n v="0"/>
    <n v="0"/>
    <n v="-1.2283366777719493"/>
    <n v="0"/>
    <n v="0"/>
    <n v="-1.3684325494978111E-7"/>
    <n v="0"/>
    <n v="0"/>
    <n v="0"/>
    <n v="-1.8877472029998899E-8"/>
    <n v="0"/>
    <n v="-6.9602327029537037"/>
    <m/>
    <n v="0"/>
    <n v="0"/>
    <n v="0"/>
    <n v="0"/>
    <n v="-0.9295479396034807"/>
    <n v="-0.2944846430875927"/>
    <n v="0"/>
    <n v="0"/>
    <m/>
    <m/>
    <m/>
    <n v="1962.0426701071574"/>
    <n v="0"/>
    <n v="0"/>
    <n v="-1212.4322999999999"/>
    <n v="0"/>
    <n v="0"/>
    <n v="0"/>
    <n v="-1203.0168919687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3"/>
    <s v="Regular"/>
    <s v="Verde"/>
    <s v="A4"/>
    <s v="Industrial"/>
    <s v="Não se aplica"/>
    <s v="Não se aplica"/>
    <s v="Não se aplica"/>
    <s v="Ponta"/>
    <s v="CATIVO"/>
    <x v="9"/>
    <n v="0"/>
    <n v="0"/>
    <n v="59.216000000000001"/>
    <n v="59.216000000000001"/>
    <n v="59.216000000000001"/>
    <n v="59.216000000000001"/>
    <m/>
    <n v="2641.06"/>
    <n v="252.22"/>
    <m/>
    <n v="171328.46848000001"/>
    <n v="171328.46848000001"/>
    <n v="101694.00543999999"/>
    <n v="0"/>
    <n v="3186.5459746721053"/>
    <n v="0"/>
    <n v="0"/>
    <n v="0"/>
    <n v="38358.170111771455"/>
    <n v="113226.34161490541"/>
    <n v="14935.623398915604"/>
    <n v="0"/>
    <n v="0"/>
    <n v="0"/>
    <n v="0"/>
    <n v="0"/>
    <n v="566.16590415970086"/>
    <m/>
    <n v="142.46813784642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3.27896878864124"/>
    <n v="0"/>
    <n v="0"/>
    <n v="0"/>
    <n v="0"/>
    <n v="0"/>
    <m/>
    <m/>
    <m/>
    <m/>
    <m/>
    <m/>
    <m/>
    <m/>
    <m/>
    <n v="15848.902367704246"/>
    <m/>
    <m/>
    <m/>
    <m/>
    <m/>
    <m/>
    <m/>
    <m/>
    <m/>
    <m/>
    <m/>
    <m/>
    <n v="101700.87479999999"/>
    <n v="-69627.623680000048"/>
    <m/>
    <m/>
    <m/>
    <m/>
    <n v="-69634.463040000002"/>
    <n v="0"/>
    <n v="30"/>
    <n v="-210.08902821734227"/>
    <n v="0"/>
    <n v="0"/>
    <n v="0"/>
    <n v="0"/>
    <n v="0"/>
    <n v="0"/>
    <n v="0"/>
    <n v="-98.583875081960286"/>
    <n v="0"/>
    <n v="0"/>
    <n v="-2.0938787201885134E-6"/>
    <n v="0"/>
    <n v="0"/>
    <n v="0"/>
    <n v="-1.2803673143935157E-7"/>
    <n v="0"/>
    <n v="-92.655481026395591"/>
    <m/>
    <n v="0"/>
    <n v="0"/>
    <n v="0"/>
    <n v="0"/>
    <n v="-14.223284442263548"/>
    <n v="-4.6263854448171742"/>
    <n v="0"/>
    <n v="0"/>
    <m/>
    <m/>
    <m/>
    <n v="113226.34161490541"/>
    <n v="0"/>
    <n v="0"/>
    <n v="-69634.463040000017"/>
    <n v="0"/>
    <n v="0"/>
    <n v="0"/>
    <n v="-69424.17902211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4"/>
    <s v="Regular"/>
    <s v="Verde"/>
    <s v="A4"/>
    <s v="Industrial"/>
    <s v="Não se aplica"/>
    <s v="Não se aplica"/>
    <s v="Não se aplica"/>
    <s v="Fora ponta"/>
    <s v="CATIVO"/>
    <x v="9"/>
    <n v="0"/>
    <n v="0"/>
    <n v="851.36900000000003"/>
    <n v="851.36900000000003"/>
    <n v="851.36900000000003"/>
    <n v="851.36900000000003"/>
    <m/>
    <n v="81.2"/>
    <n v="252.22"/>
    <m/>
    <n v="283863.45198000001"/>
    <n v="283863.45198000001"/>
    <n v="282262.87825999997"/>
    <n v="0"/>
    <n v="45814.078288141987"/>
    <n v="0"/>
    <n v="0"/>
    <n v="0"/>
    <n v="0"/>
    <n v="0"/>
    <n v="214734.64532409111"/>
    <n v="0"/>
    <n v="0"/>
    <n v="0"/>
    <n v="0"/>
    <n v="0"/>
    <n v="8139.9638553522755"/>
    <m/>
    <n v="2048.3139024955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30.528951273587"/>
    <n v="0"/>
    <n v="0"/>
    <n v="0"/>
    <n v="0"/>
    <n v="0"/>
    <m/>
    <m/>
    <m/>
    <m/>
    <m/>
    <m/>
    <m/>
    <m/>
    <m/>
    <n v="227865.1742753647"/>
    <m/>
    <m/>
    <m/>
    <m/>
    <m/>
    <m/>
    <m/>
    <m/>
    <m/>
    <m/>
    <m/>
    <m/>
    <n v="282263.20979999995"/>
    <n v="-1600.272180000029"/>
    <m/>
    <m/>
    <m/>
    <m/>
    <n v="-1600.5737200000083"/>
    <n v="0"/>
    <n v="30"/>
    <n v="-1603.1483166665421"/>
    <n v="0"/>
    <n v="0"/>
    <n v="0"/>
    <n v="0"/>
    <n v="0"/>
    <n v="0"/>
    <n v="0"/>
    <n v="0"/>
    <n v="0"/>
    <n v="0"/>
    <n v="-3.0104420147836208E-5"/>
    <n v="0"/>
    <n v="0"/>
    <n v="0"/>
    <n v="-1.8408300093142316E-6"/>
    <n v="0"/>
    <n v="-1332.1400335375874"/>
    <m/>
    <n v="0"/>
    <n v="0"/>
    <n v="0"/>
    <n v="0"/>
    <n v="-204.49310072151911"/>
    <n v="-66.515150462181964"/>
    <n v="0"/>
    <n v="0"/>
    <m/>
    <m/>
    <m/>
    <n v="0"/>
    <n v="0"/>
    <n v="0"/>
    <n v="-1600.573720000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5"/>
    <s v="Regular"/>
    <s v="Verde"/>
    <s v="A4"/>
    <s v="Industrial"/>
    <s v="Não se aplica"/>
    <s v="Não se aplica"/>
    <s v="Não se aplica"/>
    <s v="Não se aplica"/>
    <s v="CATIVO"/>
    <x v="9"/>
    <n v="3403"/>
    <n v="3403"/>
    <n v="0"/>
    <n v="0"/>
    <n v="0"/>
    <n v="0"/>
    <n v="74.44"/>
    <m/>
    <m/>
    <n v="253319.31999999998"/>
    <m/>
    <n v="253319.31999999998"/>
    <n v="154564.26"/>
    <n v="0"/>
    <n v="0"/>
    <n v="0"/>
    <n v="0"/>
    <n v="0"/>
    <n v="92619.765881127474"/>
    <n v="160694.893590008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2681.07"/>
    <n v="12"/>
    <m/>
    <m/>
    <m/>
    <m/>
    <m/>
    <m/>
    <m/>
    <m/>
    <m/>
    <n v="0"/>
    <m/>
    <m/>
    <m/>
    <m/>
    <m/>
    <m/>
    <m/>
    <m/>
    <m/>
    <m/>
    <m/>
    <m/>
    <n v="154564.26"/>
    <n v="-98755.09"/>
    <m/>
    <m/>
    <m/>
    <m/>
    <n v="-98755.059999999983"/>
    <n v="0"/>
    <n v="30"/>
    <n v="-238.04095459032396"/>
    <n v="0"/>
    <n v="0"/>
    <n v="0"/>
    <n v="0"/>
    <m/>
    <m/>
    <m/>
    <n v="-238.040954590323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0694.89359000843"/>
    <m/>
    <n v="0"/>
    <n v="0"/>
    <n v="-98755.059999999969"/>
    <m/>
    <n v="0"/>
    <m/>
    <n v="-98529.29010526412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66"/>
    <s v="Sistema de Compensação"/>
    <s v="Verde"/>
    <s v="A4"/>
    <s v="Industrial"/>
    <s v="Não se aplica"/>
    <s v="Não se aplica"/>
    <s v="Não se aplica"/>
    <s v="Não se aplica"/>
    <s v="CATIVO"/>
    <x v="9"/>
    <n v="172"/>
    <n v="172"/>
    <n v="0"/>
    <n v="0"/>
    <n v="0"/>
    <n v="0"/>
    <n v="74.44"/>
    <m/>
    <m/>
    <n v="12803.68"/>
    <m/>
    <n v="12803.68"/>
    <n v="7812.2400000000007"/>
    <n v="0"/>
    <n v="0"/>
    <n v="0"/>
    <n v="0"/>
    <n v="0"/>
    <n v="4681.3399152377096"/>
    <n v="8122.10452467865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52.21"/>
    <n v="1"/>
    <m/>
    <m/>
    <m/>
    <m/>
    <m/>
    <m/>
    <m/>
    <m/>
    <m/>
    <n v="0"/>
    <m/>
    <m/>
    <m/>
    <m/>
    <m/>
    <m/>
    <m/>
    <m/>
    <m/>
    <m/>
    <m/>
    <m/>
    <n v="7812.2400000000007"/>
    <n v="-4991.47"/>
    <m/>
    <m/>
    <m/>
    <m/>
    <n v="-4991.4399999999996"/>
    <n v="0"/>
    <n v="30"/>
    <n v="-12.031455830013329"/>
    <n v="0"/>
    <n v="0"/>
    <n v="0"/>
    <n v="0"/>
    <m/>
    <m/>
    <m/>
    <n v="-12.0314558300133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22.1045246786507"/>
    <m/>
    <n v="0"/>
    <n v="0"/>
    <n v="-4991.4399999999996"/>
    <m/>
    <n v="0"/>
    <m/>
    <n v="-4980.02876817673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67"/>
    <s v="Regular"/>
    <s v="Convencional"/>
    <s v="B3"/>
    <s v="Comercial"/>
    <s v="Não se aplica"/>
    <s v="Não se aplica"/>
    <s v="Não se aplica"/>
    <s v="Não se aplica"/>
    <s v="CATIVO"/>
    <x v="9"/>
    <n v="0"/>
    <n v="0"/>
    <n v="378.89600000000002"/>
    <n v="378.89600000000002"/>
    <n v="378.89600000000002"/>
    <n v="378.89600000000002"/>
    <m/>
    <n v="739.04"/>
    <n v="252.22"/>
    <m/>
    <n v="375584.44896000001"/>
    <n v="375584.44896000001"/>
    <n v="256880.12112000003"/>
    <n v="0"/>
    <n v="23435.913631982079"/>
    <n v="0"/>
    <n v="0"/>
    <n v="0"/>
    <n v="46792.739411259856"/>
    <n v="192095.63812220193"/>
    <n v="95566.19770594986"/>
    <n v="0"/>
    <n v="0"/>
    <n v="0"/>
    <n v="0"/>
    <n v="0"/>
    <n v="3622.6357137005875"/>
    <m/>
    <n v="887.86644330233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83.401375646346"/>
    <n v="0"/>
    <n v="0"/>
    <n v="0"/>
    <n v="102108.72"/>
    <n v="834"/>
    <m/>
    <m/>
    <m/>
    <m/>
    <m/>
    <m/>
    <m/>
    <m/>
    <m/>
    <n v="108749.59908159621"/>
    <m/>
    <m/>
    <m/>
    <m/>
    <m/>
    <m/>
    <m/>
    <m/>
    <m/>
    <m/>
    <m/>
    <m/>
    <n v="256882.83299999998"/>
    <n v="-118701.64596000005"/>
    <m/>
    <m/>
    <m/>
    <m/>
    <n v="-118704.32784"/>
    <n v="0"/>
    <n v="30"/>
    <n v="-921.54968799295602"/>
    <n v="0"/>
    <n v="0"/>
    <n v="0"/>
    <n v="0"/>
    <n v="0"/>
    <n v="0"/>
    <n v="0"/>
    <n v="-120.26146094601427"/>
    <n v="0"/>
    <n v="0"/>
    <n v="-1.3397759175859392E-5"/>
    <n v="0"/>
    <n v="0"/>
    <n v="0"/>
    <n v="-1.8482187442714348E-6"/>
    <n v="0"/>
    <n v="-681.44814734324245"/>
    <m/>
    <n v="0"/>
    <n v="0"/>
    <n v="0"/>
    <n v="0"/>
    <n v="-91.008267732299828"/>
    <n v="-28.831796725404729"/>
    <n v="0"/>
    <n v="0"/>
    <m/>
    <m/>
    <m/>
    <n v="192095.63812220193"/>
    <n v="0"/>
    <n v="0"/>
    <n v="-118704.32783999998"/>
    <n v="0"/>
    <n v="0"/>
    <n v="0"/>
    <n v="-117782.5034365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93700000000000006"/>
    <n v="-0.93700000000000006"/>
    <n v="-0.93700000000000006"/>
    <n v="-0.93700000000000006"/>
    <m/>
    <n v="739.04"/>
    <n v="252.22"/>
    <m/>
    <n v="-928.81062000000009"/>
    <n v="-928.81062000000009"/>
    <n v="-635.25788999999997"/>
    <n v="0"/>
    <n v="-57.956407756131519"/>
    <n v="0"/>
    <n v="0"/>
    <n v="0"/>
    <n v="-115.71723329977219"/>
    <n v="-475.04754054015672"/>
    <n v="-236.33273312591061"/>
    <n v="0"/>
    <n v="0"/>
    <n v="0"/>
    <n v="0"/>
    <n v="0"/>
    <n v="-8.9586843454073168"/>
    <m/>
    <n v="-2.19567073121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.602210339989405"/>
    <n v="0"/>
    <n v="0"/>
    <n v="0"/>
    <n v="-256.10000000000002"/>
    <n v="0"/>
    <m/>
    <m/>
    <m/>
    <m/>
    <m/>
    <m/>
    <m/>
    <m/>
    <m/>
    <n v="-268.93494346590001"/>
    <m/>
    <m/>
    <m/>
    <m/>
    <m/>
    <m/>
    <m/>
    <m/>
    <m/>
    <m/>
    <m/>
    <m/>
    <n v="-637.29179999999997"/>
    <n v="291.48882000000015"/>
    <m/>
    <m/>
    <m/>
    <m/>
    <n v="293.55273"/>
    <n v="0"/>
    <n v="30"/>
    <n v="2.2789685234191666"/>
    <n v="0"/>
    <n v="0"/>
    <n v="0"/>
    <n v="0"/>
    <n v="0"/>
    <n v="0"/>
    <n v="0"/>
    <n v="0.29740347986363247"/>
    <n v="0"/>
    <n v="0"/>
    <n v="3.3132351973108598E-8"/>
    <n v="0"/>
    <n v="0"/>
    <n v="0"/>
    <n v="4.5705945694862748E-9"/>
    <n v="0"/>
    <n v="1.6852036285962839"/>
    <m/>
    <n v="0"/>
    <n v="0"/>
    <n v="0"/>
    <n v="0"/>
    <n v="0.22506109028642385"/>
    <n v="7.1300286969786519E-2"/>
    <n v="0"/>
    <n v="0"/>
    <m/>
    <m/>
    <m/>
    <n v="-475.04754054015672"/>
    <n v="0"/>
    <n v="0"/>
    <n v="293.55273000000005"/>
    <n v="0"/>
    <n v="0"/>
    <n v="0"/>
    <n v="291.27308211232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6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73.408000000000001"/>
    <n v="73.408000000000001"/>
    <n v="73.408000000000001"/>
    <n v="73.408000000000001"/>
    <m/>
    <n v="739.04"/>
    <n v="252.22"/>
    <m/>
    <n v="72766.414079999988"/>
    <n v="72766.414079999988"/>
    <n v="49768.421759999997"/>
    <n v="0"/>
    <n v="4540.5165214109948"/>
    <n v="0"/>
    <n v="0"/>
    <n v="0"/>
    <n v="9065.7104184308191"/>
    <n v="37216.95822408946"/>
    <n v="18515.168914948608"/>
    <n v="0"/>
    <n v="0"/>
    <n v="0"/>
    <n v="0"/>
    <n v="0"/>
    <n v="701.8560303390185"/>
    <m/>
    <n v="172.01685916435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4.1761543627986"/>
    <n v="0"/>
    <n v="0"/>
    <n v="0"/>
    <n v="31000.22"/>
    <n v="125"/>
    <m/>
    <m/>
    <m/>
    <m/>
    <m/>
    <m/>
    <m/>
    <m/>
    <m/>
    <n v="21069.345069311406"/>
    <m/>
    <m/>
    <m/>
    <m/>
    <m/>
    <m/>
    <m/>
    <m/>
    <m/>
    <m/>
    <m/>
    <m/>
    <n v="49769.777699999999"/>
    <n v="-22996.666380000002"/>
    <m/>
    <m/>
    <m/>
    <m/>
    <n v="-22997.992319999998"/>
    <n v="0"/>
    <n v="30"/>
    <n v="-178.54271223815158"/>
    <n v="0"/>
    <n v="0"/>
    <n v="0"/>
    <n v="0"/>
    <n v="0"/>
    <n v="0"/>
    <n v="0"/>
    <n v="-23.29967411934922"/>
    <n v="0"/>
    <n v="0"/>
    <n v="-2.5957087927963585E-6"/>
    <n v="0"/>
    <n v="0"/>
    <n v="0"/>
    <n v="-3.5807715903501958E-7"/>
    <n v="0"/>
    <n v="-132.0250031675514"/>
    <m/>
    <n v="0"/>
    <n v="0"/>
    <n v="0"/>
    <n v="0"/>
    <n v="-17.632107274008376"/>
    <n v="-5.5859247234558325"/>
    <n v="0"/>
    <n v="0"/>
    <m/>
    <m/>
    <m/>
    <n v="37216.95822408946"/>
    <n v="0"/>
    <n v="0"/>
    <n v="-22997.992319999994"/>
    <n v="0"/>
    <n v="0"/>
    <n v="0"/>
    <n v="-22819.396383886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0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-2.1680000000000001"/>
    <n v="-2.1680000000000001"/>
    <n v="-2.1680000000000001"/>
    <n v="-2.1680000000000001"/>
    <m/>
    <n v="739.04"/>
    <n v="252.22"/>
    <m/>
    <n v="-2149.05168"/>
    <n v="-2149.05168"/>
    <n v="-1469.83896"/>
    <n v="0"/>
    <n v="-134.09764355954442"/>
    <n v="0"/>
    <n v="0"/>
    <n v="0"/>
    <n v="-267.74275538303749"/>
    <n v="-1099.149485476051"/>
    <n v="-546.81895989004715"/>
    <n v="0"/>
    <n v="0"/>
    <n v="0"/>
    <n v="0"/>
    <n v="0"/>
    <n v="-20.728311270910421"/>
    <m/>
    <n v="-5.0802712329490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5.433929580679873"/>
    <n v="0"/>
    <n v="0"/>
    <n v="0"/>
    <n v="-592.57000000000005"/>
    <n v="2"/>
    <m/>
    <m/>
    <m/>
    <m/>
    <m/>
    <m/>
    <m/>
    <m/>
    <m/>
    <n v="-622.25288947072704"/>
    <m/>
    <m/>
    <m/>
    <m/>
    <m/>
    <m/>
    <m/>
    <m/>
    <m/>
    <m/>
    <m/>
    <m/>
    <n v="-1471.1949"/>
    <n v="677.82677999999987"/>
    <m/>
    <m/>
    <m/>
    <m/>
    <n v="679.21271999999999"/>
    <n v="0"/>
    <n v="30"/>
    <n v="5.2730029442609521"/>
    <n v="0"/>
    <n v="0"/>
    <n v="0"/>
    <n v="0"/>
    <n v="0"/>
    <n v="0"/>
    <n v="0"/>
    <n v="0.68812245927892945"/>
    <n v="0"/>
    <n v="0"/>
    <n v="7.666051260457607E-8"/>
    <n v="0"/>
    <n v="0"/>
    <n v="0"/>
    <n v="1.057530596426659E-8"/>
    <n v="0"/>
    <n v="3.8991691214479545"/>
    <m/>
    <n v="0"/>
    <n v="0"/>
    <n v="0"/>
    <n v="0"/>
    <n v="0.52073900079079039"/>
    <n v="0.16497227550746807"/>
    <n v="0"/>
    <n v="0"/>
    <m/>
    <m/>
    <m/>
    <n v="-1099.149485476051"/>
    <n v="0"/>
    <n v="0"/>
    <n v="679.21271999999999"/>
    <n v="0"/>
    <n v="0"/>
    <n v="0"/>
    <n v="673.93814516490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1"/>
    <s v="Regular"/>
    <s v="Verde"/>
    <s v="A4"/>
    <s v="Comercial"/>
    <s v="Não se aplica"/>
    <s v="Não se aplica"/>
    <s v="Não se aplica"/>
    <s v="Ponta"/>
    <s v="CATIVO"/>
    <x v="9"/>
    <n v="0"/>
    <n v="0"/>
    <n v="32.179000000000002"/>
    <n v="32.179000000000002"/>
    <n v="32.179000000000002"/>
    <n v="32.179000000000002"/>
    <m/>
    <n v="2641.06"/>
    <n v="252.22"/>
    <m/>
    <n v="93102.857120000001"/>
    <n v="93102.857120000001"/>
    <n v="55262.283860000003"/>
    <n v="0"/>
    <n v="1731.6242724765889"/>
    <n v="0"/>
    <n v="0"/>
    <n v="0"/>
    <n v="20844.49398856211"/>
    <n v="61529.155073393027"/>
    <n v="8116.276434641064"/>
    <n v="0"/>
    <n v="0"/>
    <n v="0"/>
    <n v="0"/>
    <n v="0"/>
    <n v="307.66435811191252"/>
    <m/>
    <n v="77.419653603083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6.29160930575671"/>
    <n v="0"/>
    <n v="0"/>
    <n v="0"/>
    <n v="0"/>
    <n v="0"/>
    <m/>
    <m/>
    <m/>
    <m/>
    <m/>
    <m/>
    <m/>
    <m/>
    <m/>
    <n v="8612.5680439468215"/>
    <m/>
    <m/>
    <m/>
    <m/>
    <m/>
    <m/>
    <m/>
    <m/>
    <m/>
    <m/>
    <m/>
    <m/>
    <n v="55264.001199999992"/>
    <n v="-37838.885919999993"/>
    <m/>
    <m/>
    <m/>
    <m/>
    <n v="-37840.573260000005"/>
    <n v="0"/>
    <n v="30"/>
    <n v="-114.16601660035303"/>
    <n v="0"/>
    <n v="0"/>
    <n v="0"/>
    <n v="0"/>
    <n v="0"/>
    <n v="0"/>
    <n v="0"/>
    <n v="-53.572185157096101"/>
    <n v="0"/>
    <n v="0"/>
    <n v="-1.1378497219993733E-6"/>
    <n v="0"/>
    <n v="0"/>
    <n v="0"/>
    <n v="-6.9577424710587366E-8"/>
    <n v="0"/>
    <n v="-50.350593149628367"/>
    <m/>
    <n v="0"/>
    <n v="0"/>
    <n v="0"/>
    <n v="0"/>
    <n v="-7.7291791081396468"/>
    <n v="-2.5140579780595118"/>
    <n v="0"/>
    <n v="0"/>
    <m/>
    <m/>
    <m/>
    <n v="61529.155073393027"/>
    <n v="0"/>
    <n v="0"/>
    <n v="-37840.573259999997"/>
    <n v="0"/>
    <n v="0"/>
    <n v="0"/>
    <n v="-37726.301282638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2"/>
    <s v="Sistema de Compensação"/>
    <s v="Verde"/>
    <s v="A4"/>
    <s v="Comercial"/>
    <s v="Não se aplica"/>
    <s v="Não se aplica"/>
    <s v="Não se aplica"/>
    <s v="Ponta"/>
    <s v="CATIVO"/>
    <x v="9"/>
    <n v="0"/>
    <n v="0"/>
    <n v="4.4279999999999999"/>
    <n v="4.4279999999999999"/>
    <n v="4.4279999999999999"/>
    <n v="4.4279999999999999"/>
    <m/>
    <n v="2641.06"/>
    <n v="252.22"/>
    <m/>
    <n v="12811.44384"/>
    <n v="12811.44384"/>
    <n v="7604.381519999999"/>
    <n v="0"/>
    <n v="238.28062644974469"/>
    <n v="0"/>
    <n v="0"/>
    <n v="0"/>
    <n v="2868.3122341077415"/>
    <n v="8466.7360286206622"/>
    <n v="1116.8424143879745"/>
    <n v="0"/>
    <n v="0"/>
    <n v="0"/>
    <n v="0"/>
    <n v="0"/>
    <n v="42.336237226748771"/>
    <m/>
    <n v="10.65335237746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292341154351917"/>
    <n v="0"/>
    <n v="0"/>
    <n v="0"/>
    <n v="0"/>
    <n v="0"/>
    <m/>
    <m/>
    <m/>
    <m/>
    <m/>
    <m/>
    <m/>
    <m/>
    <m/>
    <n v="1185.1347555423265"/>
    <m/>
    <m/>
    <m/>
    <m/>
    <m/>
    <m/>
    <m/>
    <m/>
    <m/>
    <m/>
    <m/>
    <m/>
    <n v="7607.8161999999993"/>
    <n v="-5203.6576400000013"/>
    <m/>
    <m/>
    <m/>
    <m/>
    <n v="-5207.06232"/>
    <n v="0"/>
    <n v="30"/>
    <n v="-15.709845598257743"/>
    <n v="0"/>
    <n v="0"/>
    <n v="0"/>
    <n v="0"/>
    <n v="0"/>
    <n v="0"/>
    <n v="0"/>
    <n v="-7.371815030785001"/>
    <n v="0"/>
    <n v="0"/>
    <n v="-1.565742877573939E-7"/>
    <n v="0"/>
    <n v="0"/>
    <n v="0"/>
    <n v="-9.57420809299947E-9"/>
    <n v="0"/>
    <n v="-6.9285069910983452"/>
    <m/>
    <n v="0"/>
    <n v="0"/>
    <n v="0"/>
    <n v="0"/>
    <n v="-1.0635757820579386"/>
    <n v="-0.34594762816891489"/>
    <n v="0"/>
    <n v="0"/>
    <m/>
    <m/>
    <m/>
    <n v="8466.7360286206622"/>
    <n v="0"/>
    <n v="0"/>
    <n v="-5207.0623200000009"/>
    <n v="0"/>
    <n v="0"/>
    <n v="0"/>
    <n v="-5191.3378936424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3"/>
    <s v="Regular"/>
    <s v="Verde"/>
    <s v="A4"/>
    <s v="Comercial"/>
    <s v="Não se aplica"/>
    <s v="Não se aplica"/>
    <s v="Não se aplica"/>
    <s v="Fora ponta"/>
    <s v="CATIVO"/>
    <x v="9"/>
    <n v="0"/>
    <n v="0"/>
    <n v="501.79"/>
    <n v="501.79"/>
    <n v="501.79"/>
    <n v="501.79"/>
    <m/>
    <n v="81.2"/>
    <n v="252.22"/>
    <m/>
    <n v="167306.82180000001"/>
    <n v="167306.82180000001"/>
    <n v="166363.4566"/>
    <n v="0"/>
    <n v="27002.447051991283"/>
    <n v="0"/>
    <n v="0"/>
    <n v="0"/>
    <n v="0"/>
    <n v="0"/>
    <n v="126562.86249226326"/>
    <n v="0"/>
    <n v="0"/>
    <n v="0"/>
    <n v="0"/>
    <n v="0"/>
    <n v="4797.6288342389944"/>
    <m/>
    <n v="1207.259640805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39.0275220962631"/>
    <n v="0"/>
    <n v="0"/>
    <n v="0"/>
    <n v="0"/>
    <n v="0"/>
    <m/>
    <m/>
    <m/>
    <m/>
    <m/>
    <m/>
    <m/>
    <m/>
    <m/>
    <n v="134301.89001435952"/>
    <m/>
    <m/>
    <m/>
    <m/>
    <m/>
    <m/>
    <m/>
    <m/>
    <m/>
    <m/>
    <m/>
    <m/>
    <n v="166363.4566"/>
    <n v="-943.39520000002813"/>
    <m/>
    <m/>
    <m/>
    <m/>
    <n v="-943.36520000000485"/>
    <n v="0"/>
    <n v="30"/>
    <n v="-944.88264644364244"/>
    <n v="0"/>
    <n v="0"/>
    <n v="0"/>
    <n v="0"/>
    <n v="0"/>
    <n v="0"/>
    <n v="0"/>
    <n v="0"/>
    <n v="0"/>
    <n v="0"/>
    <n v="-1.7743295757099986E-5"/>
    <n v="0"/>
    <n v="0"/>
    <n v="0"/>
    <n v="-1.0849698810488917E-6"/>
    <n v="0"/>
    <n v="-785.15255715068633"/>
    <m/>
    <n v="0"/>
    <n v="0"/>
    <n v="0"/>
    <n v="0"/>
    <n v="-120.5265789699306"/>
    <n v="-39.203491494778746"/>
    <n v="0"/>
    <n v="0"/>
    <m/>
    <m/>
    <m/>
    <n v="0"/>
    <n v="0"/>
    <n v="0"/>
    <n v="-943.36520000000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4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28.596"/>
    <n v="28.596"/>
    <n v="28.596"/>
    <n v="28.596"/>
    <m/>
    <n v="81.2"/>
    <n v="252.22"/>
    <m/>
    <n v="9534.4783200000002"/>
    <n v="9534.4783200000002"/>
    <n v="9480.7178399999993"/>
    <n v="0"/>
    <n v="1538.8149941185411"/>
    <n v="0"/>
    <n v="0"/>
    <n v="0"/>
    <n v="0"/>
    <n v="0"/>
    <n v="7212.5622587711196"/>
    <n v="0"/>
    <n v="0"/>
    <n v="0"/>
    <n v="0"/>
    <n v="0"/>
    <n v="273.40719054564312"/>
    <m/>
    <n v="68.799291911923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1.03156902661419"/>
    <n v="0"/>
    <n v="0"/>
    <n v="0"/>
    <n v="0"/>
    <n v="0"/>
    <m/>
    <m/>
    <m/>
    <m/>
    <m/>
    <m/>
    <m/>
    <m/>
    <m/>
    <n v="7653.5938277977339"/>
    <m/>
    <m/>
    <m/>
    <m/>
    <m/>
    <m/>
    <m/>
    <m/>
    <m/>
    <m/>
    <m/>
    <m/>
    <n v="9482.0439999999999"/>
    <n v="-52.464320000000953"/>
    <m/>
    <m/>
    <m/>
    <m/>
    <n v="-53.760480000000278"/>
    <n v="0"/>
    <n v="30"/>
    <n v="-53.846956212168152"/>
    <n v="0"/>
    <n v="0"/>
    <n v="0"/>
    <n v="0"/>
    <n v="0"/>
    <n v="0"/>
    <n v="0"/>
    <n v="0"/>
    <n v="0"/>
    <n v="0"/>
    <n v="-1.0111543815582991E-6"/>
    <n v="0"/>
    <n v="0"/>
    <n v="0"/>
    <n v="-6.1830291997466702E-8"/>
    <n v="0"/>
    <n v="-44.744260595629839"/>
    <m/>
    <n v="0"/>
    <n v="0"/>
    <n v="0"/>
    <n v="0"/>
    <n v="-6.8685666358917388"/>
    <n v="-2.2341279076599534"/>
    <n v="0"/>
    <n v="0"/>
    <m/>
    <m/>
    <m/>
    <n v="0"/>
    <n v="0"/>
    <n v="0"/>
    <n v="-53.760480000000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5"/>
    <s v="Regular"/>
    <s v="Verde"/>
    <s v="A4"/>
    <s v="Comercial"/>
    <s v="Não se aplica"/>
    <s v="Não se aplica"/>
    <s v="Não se aplica"/>
    <s v="Não se aplica"/>
    <s v="CATIVO"/>
    <x v="9"/>
    <n v="3444"/>
    <n v="3444"/>
    <n v="0"/>
    <n v="0"/>
    <n v="0"/>
    <n v="0"/>
    <n v="74.44"/>
    <m/>
    <m/>
    <n v="256371.36"/>
    <m/>
    <n v="256371.36"/>
    <n v="156426.48000000001"/>
    <n v="0"/>
    <n v="0"/>
    <n v="0"/>
    <n v="0"/>
    <n v="0"/>
    <n v="93735.666674876004"/>
    <n v="162630.976645309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0992.6"/>
    <n v="15"/>
    <m/>
    <m/>
    <m/>
    <m/>
    <m/>
    <m/>
    <m/>
    <m/>
    <m/>
    <n v="0"/>
    <m/>
    <m/>
    <m/>
    <m/>
    <m/>
    <m/>
    <m/>
    <m/>
    <m/>
    <m/>
    <m/>
    <m/>
    <n v="156426.48000000001"/>
    <n v="-99944.91"/>
    <m/>
    <m/>
    <m/>
    <m/>
    <n v="-99944.87999999999"/>
    <n v="0"/>
    <n v="30"/>
    <n v="-240.90891789864691"/>
    <n v="0"/>
    <n v="0"/>
    <n v="0"/>
    <n v="0"/>
    <m/>
    <m/>
    <m/>
    <n v="-240.908917898646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630.97664530971"/>
    <m/>
    <n v="0"/>
    <n v="0"/>
    <n v="-99944.879999999976"/>
    <m/>
    <n v="0"/>
    <m/>
    <n v="-99716.38998605040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76"/>
    <s v="Sistema de Compensação"/>
    <s v="Verde"/>
    <s v="A4"/>
    <s v="Comercial"/>
    <s v="Não se aplica"/>
    <s v="Não se aplica"/>
    <s v="Não se aplica"/>
    <s v="Não se aplica"/>
    <s v="CATIVO"/>
    <x v="9"/>
    <n v="181"/>
    <n v="181"/>
    <n v="0"/>
    <n v="0"/>
    <n v="0"/>
    <n v="0"/>
    <n v="74.44"/>
    <m/>
    <m/>
    <n v="13473.64"/>
    <m/>
    <n v="13473.64"/>
    <n v="8221.02"/>
    <n v="0"/>
    <n v="0"/>
    <n v="0"/>
    <n v="0"/>
    <n v="0"/>
    <n v="4926.2937480117762"/>
    <n v="8547.09836608625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39.97"/>
    <n v="1"/>
    <m/>
    <m/>
    <m/>
    <m/>
    <m/>
    <m/>
    <m/>
    <m/>
    <m/>
    <n v="0"/>
    <m/>
    <m/>
    <m/>
    <m/>
    <m/>
    <m/>
    <m/>
    <m/>
    <m/>
    <m/>
    <m/>
    <m/>
    <n v="8221.02"/>
    <n v="-5252.65"/>
    <m/>
    <m/>
    <m/>
    <m/>
    <n v="-5252.619999999999"/>
    <n v="0"/>
    <n v="30"/>
    <n v="-12.661008751351801"/>
    <n v="0"/>
    <n v="0"/>
    <n v="0"/>
    <n v="0"/>
    <m/>
    <m/>
    <m/>
    <n v="-12.6610087513518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47.0983660862548"/>
    <m/>
    <n v="0"/>
    <n v="0"/>
    <n v="-5252.619999999999"/>
    <m/>
    <n v="0"/>
    <m/>
    <n v="-5240.611668837145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77"/>
    <s v="Regular"/>
    <s v="Convencional"/>
    <s v="B2"/>
    <s v="Rural"/>
    <s v="Não se aplica"/>
    <s v="Não se aplica"/>
    <s v="Não se aplica"/>
    <s v="Não se aplica"/>
    <s v="CATIVO"/>
    <x v="9"/>
    <n v="0"/>
    <n v="0"/>
    <n v="3507.4749999999999"/>
    <n v="3507.4749999999999"/>
    <n v="3507.4749999999999"/>
    <n v="3507.4749999999999"/>
    <m/>
    <n v="739.04"/>
    <n v="252.22"/>
    <m/>
    <n v="3476819.6685000001"/>
    <n v="3476819.6685000001"/>
    <n v="2377962.8257499998"/>
    <n v="0"/>
    <n v="216948.40052768131"/>
    <n v="0"/>
    <n v="0"/>
    <n v="0"/>
    <n v="433164.67755402182"/>
    <n v="1778246.9287685016"/>
    <n v="884665.05135624681"/>
    <n v="0"/>
    <n v="0"/>
    <n v="0"/>
    <n v="0"/>
    <n v="0"/>
    <n v="33535.070837147839"/>
    <m/>
    <n v="8219.0610437213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039.95486900143"/>
    <n v="0"/>
    <n v="0"/>
    <n v="0"/>
    <n v="121184.58"/>
    <n v="12048"/>
    <m/>
    <m/>
    <m/>
    <m/>
    <m/>
    <n v="285333.09124999988"/>
    <m/>
    <m/>
    <m/>
    <n v="1006705.0062252482"/>
    <m/>
    <m/>
    <m/>
    <m/>
    <m/>
    <m/>
    <m/>
    <m/>
    <m/>
    <m/>
    <m/>
    <m/>
    <n v="2092632.7176000001"/>
    <n v="-966972.82964999927"/>
    <m/>
    <m/>
    <m/>
    <m/>
    <n v="-1098856.8427499998"/>
    <n v="0"/>
    <n v="30"/>
    <n v="-8530.8699270857032"/>
    <n v="0"/>
    <n v="0"/>
    <n v="0"/>
    <n v="0"/>
    <n v="0"/>
    <n v="0"/>
    <n v="0"/>
    <n v="-1113.2713666326017"/>
    <n v="0"/>
    <n v="0"/>
    <n v="-1.2402446009218693E-4"/>
    <n v="0"/>
    <n v="0"/>
    <n v="0"/>
    <n v="-1.7109137843362987E-5"/>
    <n v="0"/>
    <n v="-6308.2279586027144"/>
    <m/>
    <n v="0"/>
    <n v="0"/>
    <n v="0"/>
    <n v="0"/>
    <n v="-842.47187582964398"/>
    <n v="-266.89858488724985"/>
    <n v="0"/>
    <n v="0"/>
    <m/>
    <m/>
    <m/>
    <n v="1778246.9287685016"/>
    <n v="0"/>
    <n v="0"/>
    <n v="-1098856.8427500001"/>
    <n v="0"/>
    <n v="0"/>
    <n v="0"/>
    <n v="-1090323.4297565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8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5.1719999999999997"/>
    <n v="-5.1719999999999997"/>
    <n v="-5.1719999999999997"/>
    <n v="-5.1719999999999997"/>
    <m/>
    <n v="739.04"/>
    <n v="252.22"/>
    <m/>
    <n v="-5126.7967199999994"/>
    <n v="-5126.7967199999994"/>
    <n v="-3506.4608399999997"/>
    <n v="0"/>
    <n v="-319.90452605625632"/>
    <n v="0"/>
    <n v="0"/>
    <n v="0"/>
    <n v="-638.72948839532739"/>
    <n v="-2622.1407467168519"/>
    <n v="-1304.496153390832"/>
    <n v="0"/>
    <n v="0"/>
    <n v="0"/>
    <n v="0"/>
    <n v="0"/>
    <n v="-49.449642939644221"/>
    <m/>
    <n v="-12.119540044655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9.95585045723072"/>
    <n v="0"/>
    <n v="0"/>
    <n v="0"/>
    <n v="-7.82"/>
    <n v="0"/>
    <m/>
    <m/>
    <m/>
    <m/>
    <m/>
    <n v="-420.7421999999998"/>
    <m/>
    <m/>
    <m/>
    <n v="-1484.4520038480628"/>
    <m/>
    <m/>
    <m/>
    <m/>
    <m/>
    <m/>
    <m/>
    <m/>
    <m/>
    <m/>
    <m/>
    <m/>
    <n v="-3084.5254000000004"/>
    <n v="1427.0319199999994"/>
    <m/>
    <m/>
    <m/>
    <m/>
    <n v="1620.3358799999996"/>
    <n v="0"/>
    <n v="30"/>
    <n v="12.579322522010898"/>
    <n v="0"/>
    <n v="0"/>
    <n v="0"/>
    <n v="0"/>
    <n v="0"/>
    <n v="0"/>
    <n v="0"/>
    <n v="1.6415910329293411"/>
    <n v="0"/>
    <n v="0"/>
    <n v="1.8288210412720218E-7"/>
    <n v="0"/>
    <n v="0"/>
    <n v="0"/>
    <n v="2.5228501954188687E-8"/>
    <n v="0"/>
    <n v="9.3018923875133055"/>
    <m/>
    <n v="0"/>
    <n v="0"/>
    <n v="0"/>
    <n v="0"/>
    <n v="1.2422795719972086"/>
    <n v="0.39355932145969774"/>
    <n v="0"/>
    <n v="0"/>
    <m/>
    <m/>
    <m/>
    <n v="-2622.1407467168519"/>
    <n v="0"/>
    <n v="0"/>
    <n v="1620.3358799999996"/>
    <n v="0"/>
    <n v="0"/>
    <n v="0"/>
    <n v="1607.7528075612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79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78.11600000000001"/>
    <n v="178.11600000000001"/>
    <n v="178.11600000000001"/>
    <n v="178.11600000000001"/>
    <m/>
    <n v="739.04"/>
    <n v="252.22"/>
    <m/>
    <n v="176559.26616"/>
    <n v="176559.26616"/>
    <n v="120757.30452000001"/>
    <n v="0"/>
    <n v="11017.036845134602"/>
    <n v="0"/>
    <n v="0"/>
    <n v="0"/>
    <n v="21996.895118913795"/>
    <n v="90302.633650854375"/>
    <n v="44924.910451926036"/>
    <n v="0"/>
    <n v="0"/>
    <n v="0"/>
    <n v="0"/>
    <n v="0"/>
    <n v="1702.9722741372143"/>
    <m/>
    <n v="417.37896260514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97.4122699226828"/>
    <n v="0"/>
    <n v="0"/>
    <n v="0"/>
    <n v="8702.98"/>
    <n v="957"/>
    <m/>
    <m/>
    <m/>
    <m/>
    <m/>
    <n v="14489.736599999995"/>
    <m/>
    <m/>
    <m/>
    <n v="51122.322721848715"/>
    <m/>
    <m/>
    <m/>
    <m/>
    <m/>
    <m/>
    <m/>
    <m/>
    <m/>
    <m/>
    <m/>
    <m/>
    <n v="106269.95440000002"/>
    <n v="-49102.443560000014"/>
    <m/>
    <m/>
    <m/>
    <m/>
    <n v="-55801.961640000001"/>
    <n v="0"/>
    <n v="30"/>
    <n v="-433.21318838560546"/>
    <n v="0"/>
    <n v="0"/>
    <n v="0"/>
    <n v="0"/>
    <n v="0"/>
    <n v="0"/>
    <n v="0"/>
    <n v="-56.533957544710574"/>
    <n v="0"/>
    <n v="0"/>
    <n v="-6.2981853261590004E-6"/>
    <n v="0"/>
    <n v="0"/>
    <n v="0"/>
    <n v="-8.6883301264606416E-7"/>
    <n v="0"/>
    <n v="-320.34336127113784"/>
    <m/>
    <n v="0"/>
    <n v="0"/>
    <n v="0"/>
    <n v="0"/>
    <n v="-42.782263775300862"/>
    <n v="-13.553598627439214"/>
    <n v="0"/>
    <n v="0"/>
    <m/>
    <m/>
    <m/>
    <n v="90302.633650854375"/>
    <n v="0"/>
    <n v="0"/>
    <n v="-55801.961640000009"/>
    <n v="0"/>
    <n v="0"/>
    <n v="0"/>
    <n v="-55368.619310051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0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-0.439"/>
    <n v="-0.439"/>
    <n v="-0.439"/>
    <n v="-0.439"/>
    <m/>
    <n v="739.04"/>
    <n v="252.22"/>
    <m/>
    <n v="-435.16314"/>
    <n v="-435.16314"/>
    <n v="-297.62882999999999"/>
    <n v="0"/>
    <n v="-27.153535757675279"/>
    <n v="0"/>
    <n v="0"/>
    <n v="0"/>
    <n v="-54.215438013447162"/>
    <n v="-222.56763105349924"/>
    <n v="-110.72579492238501"/>
    <n v="0"/>
    <n v="0"/>
    <n v="0"/>
    <n v="0"/>
    <n v="0"/>
    <n v="-4.1972918117756794"/>
    <m/>
    <n v="-1.0287080587013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.274674855128442"/>
    <n v="0"/>
    <n v="0"/>
    <n v="0"/>
    <n v="-3.76"/>
    <n v="2"/>
    <m/>
    <m/>
    <m/>
    <m/>
    <m/>
    <n v="-35.712649999999982"/>
    <m/>
    <m/>
    <m/>
    <n v="-126.00046977751344"/>
    <m/>
    <m/>
    <m/>
    <m/>
    <m/>
    <m/>
    <m/>
    <m/>
    <m/>
    <m/>
    <m/>
    <m/>
    <n v="-262.51280000000003"/>
    <n v="120.40129000000002"/>
    <m/>
    <m/>
    <m/>
    <m/>
    <n v="137.53430999999998"/>
    <n v="0"/>
    <n v="30"/>
    <n v="1.0677344522742658"/>
    <n v="0"/>
    <n v="0"/>
    <n v="0"/>
    <n v="0"/>
    <n v="0"/>
    <n v="0"/>
    <n v="0"/>
    <n v="0.13933845001081835"/>
    <n v="0"/>
    <n v="0"/>
    <n v="1.5523042407039611E-8"/>
    <n v="0"/>
    <n v="0"/>
    <n v="0"/>
    <n v="2.1413999462538413E-9"/>
    <n v="0"/>
    <n v="0.78954577689836469"/>
    <m/>
    <n v="0"/>
    <n v="0"/>
    <n v="0"/>
    <n v="0"/>
    <n v="0.105444843794813"/>
    <n v="3.3405363905801844E-2"/>
    <n v="0"/>
    <n v="0"/>
    <m/>
    <m/>
    <m/>
    <n v="-222.56763105349924"/>
    <n v="0"/>
    <n v="0"/>
    <n v="137.53431"/>
    <n v="0"/>
    <n v="0"/>
    <n v="0"/>
    <n v="136.4662572543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1"/>
    <s v="Sistema de Compensação"/>
    <s v="Azul"/>
    <s v="A4"/>
    <s v="Rural"/>
    <s v="Não se aplica"/>
    <s v="Não se aplica"/>
    <s v="Não se aplica"/>
    <s v="Ponta"/>
    <s v="CATIVO"/>
    <x v="9"/>
    <n v="11"/>
    <n v="10.559999999999999"/>
    <n v="0"/>
    <n v="0"/>
    <n v="0"/>
    <n v="0"/>
    <n v="106.38"/>
    <m/>
    <m/>
    <n v="1170.1799999999998"/>
    <m/>
    <n v="1170.1799999999998"/>
    <n v="633.16000000000008"/>
    <n v="0"/>
    <n v="0"/>
    <n v="0"/>
    <n v="0"/>
    <n v="0"/>
    <n v="295.64607450583037"/>
    <n v="874.555023307183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25.326400000000074"/>
    <m/>
    <m/>
    <m/>
    <n v="0"/>
    <m/>
    <m/>
    <m/>
    <m/>
    <m/>
    <m/>
    <m/>
    <m/>
    <m/>
    <m/>
    <m/>
    <m/>
    <n v="607.83360000000005"/>
    <n v="-515.5691999999998"/>
    <m/>
    <m/>
    <m/>
    <m/>
    <n v="-537.02"/>
    <n v="0"/>
    <n v="30"/>
    <n v="-0.75983644664506755"/>
    <n v="0"/>
    <n v="0"/>
    <n v="0"/>
    <n v="0"/>
    <m/>
    <m/>
    <m/>
    <n v="-0.75983644664506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4.55502330718389"/>
    <m/>
    <n v="0"/>
    <n v="0"/>
    <n v="-537.01999999999975"/>
    <m/>
    <n v="0"/>
    <m/>
    <n v="-536.2291462994388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82"/>
    <s v="Sistema de Compensação"/>
    <s v="Azul"/>
    <s v="A4"/>
    <s v="Rural"/>
    <s v="Não se aplica"/>
    <s v="Não se aplica"/>
    <s v="Não se aplica"/>
    <s v="Fora ponta"/>
    <s v="CATIVO"/>
    <x v="9"/>
    <n v="65"/>
    <n v="62.4"/>
    <n v="0"/>
    <n v="0"/>
    <n v="0"/>
    <n v="0"/>
    <n v="74.44"/>
    <m/>
    <m/>
    <n v="4838.5999999999995"/>
    <m/>
    <n v="4838.5999999999995"/>
    <n v="2952.3"/>
    <n v="0"/>
    <n v="0"/>
    <n v="0"/>
    <n v="0"/>
    <n v="0"/>
    <n v="1769.111014479367"/>
    <n v="3069.39996572158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118.09200000000007"/>
    <m/>
    <m/>
    <m/>
    <n v="0"/>
    <m/>
    <m/>
    <m/>
    <m/>
    <m/>
    <m/>
    <m/>
    <m/>
    <m/>
    <m/>
    <m/>
    <m/>
    <n v="2834.2080000000001"/>
    <n v="-1810.8780000000002"/>
    <m/>
    <m/>
    <m/>
    <m/>
    <n v="-1886.2999999999997"/>
    <n v="0"/>
    <n v="30"/>
    <n v="-4.5467710985515168"/>
    <n v="0"/>
    <n v="0"/>
    <n v="0"/>
    <n v="0"/>
    <m/>
    <m/>
    <m/>
    <n v="-4.54677109855151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69.3999657215832"/>
    <m/>
    <n v="0"/>
    <n v="0"/>
    <n v="-1886.2999999999993"/>
    <m/>
    <n v="0"/>
    <m/>
    <n v="-1881.987615880742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83"/>
    <s v="Sistema de Compensação"/>
    <s v="Azul"/>
    <s v="A4"/>
    <s v="Rur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3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84"/>
    <s v="Regular"/>
    <s v="Verde"/>
    <s v="A4"/>
    <s v="Rural"/>
    <s v="Não se aplica"/>
    <s v="Não se aplica"/>
    <s v="Não se aplica"/>
    <s v="Ponta"/>
    <s v="CATIVO"/>
    <x v="9"/>
    <n v="0"/>
    <n v="0"/>
    <n v="8.2959999999999994"/>
    <n v="7.9641599999999997"/>
    <n v="8.2959999999999994"/>
    <n v="7.9641599999999997"/>
    <m/>
    <n v="2641.06"/>
    <n v="252.22"/>
    <m/>
    <n v="24002.650879999997"/>
    <n v="24002.650879999997"/>
    <n v="14247.052639999998"/>
    <n v="0"/>
    <n v="446.42639499256592"/>
    <n v="0"/>
    <n v="0"/>
    <n v="0"/>
    <n v="5373.8749535135094"/>
    <n v="15862.701466449189"/>
    <n v="2092.4400789888518"/>
    <n v="0"/>
    <n v="0"/>
    <n v="0"/>
    <n v="0"/>
    <n v="0"/>
    <n v="79.318298110457945"/>
    <m/>
    <n v="19.959397317852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.947891196139"/>
    <n v="0"/>
    <n v="0"/>
    <n v="0"/>
    <n v="0"/>
    <n v="0"/>
    <m/>
    <m/>
    <m/>
    <m/>
    <m/>
    <n v="569.88210559999948"/>
    <m/>
    <m/>
    <m/>
    <n v="2220.387970184991"/>
    <m/>
    <m/>
    <m/>
    <m/>
    <m/>
    <m/>
    <m/>
    <m/>
    <m/>
    <m/>
    <m/>
    <m/>
    <n v="13670.026400000001"/>
    <n v="-9372.5484447999934"/>
    <m/>
    <m/>
    <m/>
    <m/>
    <n v="-9755.5982399999994"/>
    <n v="0"/>
    <n v="30"/>
    <n v="-29.432899521939362"/>
    <n v="0"/>
    <n v="0"/>
    <n v="0"/>
    <n v="0"/>
    <n v="0"/>
    <n v="0"/>
    <n v="0"/>
    <n v="-13.811331864360909"/>
    <n v="0"/>
    <n v="0"/>
    <n v="-2.9334660212043673E-7"/>
    <n v="0"/>
    <n v="0"/>
    <n v="0"/>
    <n v="-1.7937594520844868E-8"/>
    <n v="0"/>
    <n v="-12.98078003571635"/>
    <m/>
    <n v="0"/>
    <n v="0"/>
    <n v="0"/>
    <n v="0"/>
    <n v="-1.9926433351293298"/>
    <n v="-0.64814397544925839"/>
    <n v="0"/>
    <n v="0"/>
    <m/>
    <m/>
    <m/>
    <n v="15862.701466449189"/>
    <n v="0"/>
    <n v="0"/>
    <n v="-9755.5982400000012"/>
    <n v="0"/>
    <n v="0"/>
    <n v="0"/>
    <n v="-9726.138022957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5"/>
    <s v="Regular"/>
    <s v="Verde"/>
    <s v="A4"/>
    <s v="Rural"/>
    <s v="Não se aplica"/>
    <s v="Não se aplica"/>
    <s v="Não se aplica"/>
    <s v="Fora ponta"/>
    <s v="CATIVO"/>
    <x v="9"/>
    <n v="0"/>
    <n v="0"/>
    <n v="71.855000000000004"/>
    <n v="68.980800000000002"/>
    <n v="71.855000000000004"/>
    <n v="68.980800000000002"/>
    <m/>
    <n v="81.2"/>
    <n v="252.22"/>
    <m/>
    <n v="23957.894100000001"/>
    <n v="23957.894100000001"/>
    <n v="23822.806700000001"/>
    <n v="0"/>
    <n v="3866.6789551821153"/>
    <n v="0"/>
    <n v="0"/>
    <n v="0"/>
    <n v="0"/>
    <n v="0"/>
    <n v="18123.466957056891"/>
    <n v="0"/>
    <n v="0"/>
    <n v="0"/>
    <n v="0"/>
    <n v="0"/>
    <n v="687.00775201626766"/>
    <m/>
    <n v="172.87638552004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8.2082596309751"/>
    <n v="0"/>
    <n v="0"/>
    <n v="0"/>
    <n v="0"/>
    <n v="0"/>
    <m/>
    <m/>
    <m/>
    <m/>
    <m/>
    <n v="952.91226800000061"/>
    <m/>
    <m/>
    <m/>
    <n v="19231.675216687865"/>
    <m/>
    <m/>
    <m/>
    <m/>
    <m/>
    <m/>
    <m/>
    <m/>
    <m/>
    <m/>
    <m/>
    <m/>
    <n v="22869.629200000003"/>
    <n v="-129.97913599999447"/>
    <m/>
    <m/>
    <m/>
    <m/>
    <n v="-135.08740000000071"/>
    <n v="0"/>
    <n v="30"/>
    <n v="-135.3046943147674"/>
    <n v="0"/>
    <n v="0"/>
    <n v="0"/>
    <n v="0"/>
    <n v="0"/>
    <n v="0"/>
    <n v="0"/>
    <n v="0"/>
    <n v="0"/>
    <n v="0"/>
    <n v="-2.5407935027033091E-6"/>
    <n v="0"/>
    <n v="0"/>
    <n v="0"/>
    <n v="-1.5536488717771135E-7"/>
    <n v="0"/>
    <n v="-112.43176825776254"/>
    <m/>
    <n v="0"/>
    <n v="0"/>
    <n v="0"/>
    <n v="0"/>
    <n v="-17.259087131836736"/>
    <n v="-5.6138362290147938"/>
    <n v="0"/>
    <n v="0"/>
    <m/>
    <m/>
    <m/>
    <n v="0"/>
    <n v="0"/>
    <n v="0"/>
    <n v="-135.087400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6"/>
    <s v="Regular"/>
    <s v="Verde"/>
    <s v="A4"/>
    <s v="Rural"/>
    <s v="Não se aplica"/>
    <s v="Não se aplica"/>
    <s v="Não se aplica"/>
    <s v="Não se aplica"/>
    <s v="CATIVO"/>
    <x v="9"/>
    <n v="319"/>
    <n v="306.24"/>
    <n v="0"/>
    <n v="0"/>
    <n v="0"/>
    <n v="0"/>
    <n v="74.44"/>
    <m/>
    <m/>
    <n v="23746.36"/>
    <m/>
    <n v="23746.36"/>
    <n v="14488.980000000001"/>
    <n v="0"/>
    <n v="0"/>
    <n v="0"/>
    <n v="0"/>
    <n v="0"/>
    <n v="8682.252517214125"/>
    <n v="15063.6706010028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.02"/>
    <n v="3"/>
    <m/>
    <m/>
    <m/>
    <m/>
    <m/>
    <n v="579.55919999999958"/>
    <m/>
    <m/>
    <m/>
    <n v="0"/>
    <m/>
    <m/>
    <m/>
    <m/>
    <m/>
    <m/>
    <m/>
    <m/>
    <m/>
    <m/>
    <m/>
    <m/>
    <n v="13909.420800000002"/>
    <n v="-8887.1147999999939"/>
    <m/>
    <m/>
    <m/>
    <m/>
    <n v="-9257.3799999999992"/>
    <n v="0"/>
    <n v="30"/>
    <n v="-22.314153545199588"/>
    <n v="0"/>
    <n v="0"/>
    <n v="0"/>
    <n v="0"/>
    <m/>
    <m/>
    <m/>
    <n v="-22.3141535451995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063.670601002847"/>
    <m/>
    <n v="0"/>
    <n v="0"/>
    <n v="-9257.3799999999992"/>
    <m/>
    <n v="0"/>
    <m/>
    <n v="-9236.216145630107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87"/>
    <s v="Sistema de Compensação"/>
    <s v="Verde"/>
    <s v="A4"/>
    <s v="Rural"/>
    <s v="Não se aplica"/>
    <s v="Não se aplica"/>
    <s v="Não se aplica"/>
    <s v="Não se aplica"/>
    <s v="CATIVO"/>
    <x v="9"/>
    <n v="812"/>
    <n v="779.52"/>
    <n v="0"/>
    <n v="0"/>
    <n v="0"/>
    <n v="0"/>
    <n v="74.44"/>
    <m/>
    <m/>
    <n v="60445.279999999999"/>
    <m/>
    <n v="60445.279999999999"/>
    <n v="36881.040000000001"/>
    <n v="0"/>
    <n v="0"/>
    <n v="0"/>
    <n v="0"/>
    <n v="0"/>
    <n v="22100.279134726861"/>
    <n v="38343.8888025526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.4"/>
    <n v="3"/>
    <m/>
    <m/>
    <m/>
    <m/>
    <m/>
    <n v="1475.241600000001"/>
    <m/>
    <m/>
    <m/>
    <n v="0"/>
    <m/>
    <m/>
    <m/>
    <m/>
    <m/>
    <m/>
    <m/>
    <m/>
    <m/>
    <m/>
    <m/>
    <m/>
    <n v="35405.7984"/>
    <n v="-22621.700400000002"/>
    <m/>
    <m/>
    <m/>
    <m/>
    <n v="-23564.239999999998"/>
    <n v="0"/>
    <n v="30"/>
    <n v="-56.799663569596305"/>
    <n v="0"/>
    <n v="0"/>
    <n v="0"/>
    <n v="0"/>
    <m/>
    <m/>
    <m/>
    <n v="-56.7996635695963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343.888802552698"/>
    <m/>
    <n v="0"/>
    <n v="0"/>
    <n v="-23564.239999999998"/>
    <m/>
    <n v="0"/>
    <m/>
    <n v="-23510.36837069481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48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96.91"/>
    <n v="196.91"/>
    <n v="196.91"/>
    <n v="196.91"/>
    <m/>
    <n v="739.04"/>
    <n v="252.22"/>
    <m/>
    <n v="195189.00659999999"/>
    <n v="195189.00659999999"/>
    <n v="133499.07269999999"/>
    <n v="0"/>
    <n v="12179.505070714895"/>
    <n v="0"/>
    <n v="0"/>
    <n v="0"/>
    <n v="24317.908654277631"/>
    <n v="99830.961801240395"/>
    <n v="49665.185143887997"/>
    <n v="0"/>
    <n v="0"/>
    <n v="0"/>
    <n v="0"/>
    <n v="0"/>
    <n v="1882.6622566212964"/>
    <m/>
    <n v="461.41891535055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1.3353661123947"/>
    <n v="0"/>
    <n v="0"/>
    <n v="0"/>
    <n v="48711.4"/>
    <n v="379"/>
    <m/>
    <m/>
    <m/>
    <m/>
    <m/>
    <m/>
    <m/>
    <m/>
    <m/>
    <n v="56516.520510000395"/>
    <m/>
    <m/>
    <m/>
    <m/>
    <m/>
    <m/>
    <m/>
    <m/>
    <m/>
    <m/>
    <m/>
    <m/>
    <n v="133499.07269999999"/>
    <n v="-61689.963900000032"/>
    <m/>
    <m/>
    <m/>
    <m/>
    <n v="-61689.933899999989"/>
    <n v="0"/>
    <n v="30"/>
    <n v="-478.92389748820278"/>
    <n v="0"/>
    <n v="0"/>
    <n v="0"/>
    <n v="0"/>
    <n v="0"/>
    <n v="0"/>
    <n v="0"/>
    <n v="-62.499166723529925"/>
    <n v="0"/>
    <n v="0"/>
    <n v="-6.9627421908080578E-6"/>
    <n v="0"/>
    <n v="0"/>
    <n v="0"/>
    <n v="-9.6050825959537178E-7"/>
    <n v="0"/>
    <n v="-354.14455336915125"/>
    <m/>
    <n v="0"/>
    <n v="0"/>
    <n v="0"/>
    <n v="0"/>
    <n v="-47.296456017395712"/>
    <n v="-14.983713454878"/>
    <n v="0"/>
    <n v="0"/>
    <m/>
    <m/>
    <m/>
    <n v="99830.961801240395"/>
    <n v="0"/>
    <n v="0"/>
    <n v="-61689.933900000004"/>
    <n v="0"/>
    <n v="0"/>
    <n v="0"/>
    <n v="-61210.86723451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89"/>
    <s v="Refaturamento - Regular"/>
    <s v="Convencional"/>
    <s v="B3"/>
    <s v="Poder público"/>
    <s v="Não se aplica"/>
    <s v="Não se aplica"/>
    <s v="Não se aplica"/>
    <s v="Não se aplica"/>
    <s v="CATIVO"/>
    <x v="9"/>
    <n v="0"/>
    <n v="0"/>
    <n v="-0.03"/>
    <n v="-0.03"/>
    <n v="-0.03"/>
    <n v="-0.03"/>
    <m/>
    <n v="739.04"/>
    <n v="252.22"/>
    <m/>
    <n v="-29.7378"/>
    <n v="-29.7378"/>
    <n v="-20.339099999999998"/>
    <n v="0"/>
    <n v="-1.855594698702183"/>
    <n v="0"/>
    <n v="0"/>
    <n v="0"/>
    <n v="-3.7049274268870498"/>
    <n v="-15.209633101605869"/>
    <n v="-7.5666830243087695"/>
    <n v="0"/>
    <n v="0"/>
    <n v="0"/>
    <n v="0"/>
    <n v="0"/>
    <n v="-0.2868308755199781"/>
    <m/>
    <n v="-7.02989561754941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438274388470461"/>
    <n v="0"/>
    <n v="0"/>
    <n v="0"/>
    <n v="-8.19"/>
    <n v="0"/>
    <m/>
    <m/>
    <m/>
    <m/>
    <m/>
    <m/>
    <m/>
    <m/>
    <m/>
    <n v="-8.6105104631558156"/>
    <m/>
    <m/>
    <m/>
    <m/>
    <m/>
    <m/>
    <m/>
    <m/>
    <m/>
    <m/>
    <m/>
    <m/>
    <n v="-20.339099999999998"/>
    <n v="9.3686999999999969"/>
    <m/>
    <m/>
    <m/>
    <m/>
    <n v="9.3986999999999981"/>
    <n v="0"/>
    <n v="30"/>
    <n v="7.2965907900288229E-2"/>
    <n v="0"/>
    <n v="0"/>
    <n v="0"/>
    <n v="0"/>
    <n v="0"/>
    <n v="0"/>
    <n v="0"/>
    <n v="9.5219897501701567E-3"/>
    <n v="0"/>
    <n v="0"/>
    <n v="1.0608003364609431E-9"/>
    <n v="0"/>
    <n v="0"/>
    <n v="0"/>
    <n v="1.4633716460821233E-10"/>
    <n v="0"/>
    <n v="5.3955292270958966E-2"/>
    <m/>
    <n v="0"/>
    <n v="0"/>
    <n v="0"/>
    <n v="0"/>
    <n v="7.2057979814223461E-3"/>
    <n v="2.2828266906014943E-3"/>
    <n v="0"/>
    <n v="0"/>
    <m/>
    <m/>
    <m/>
    <n v="-15.209633101605869"/>
    <n v="0"/>
    <n v="0"/>
    <n v="9.3986999999999998"/>
    <n v="0"/>
    <n v="0"/>
    <n v="0"/>
    <n v="9.3257123408427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0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2.5739999999999998"/>
    <n v="2.5739999999999998"/>
    <n v="2.5739999999999998"/>
    <n v="2.5739999999999998"/>
    <m/>
    <n v="739.04"/>
    <n v="252.22"/>
    <m/>
    <n v="2551.50324"/>
    <n v="2551.50324"/>
    <n v="1745.0947799999999"/>
    <n v="0"/>
    <n v="159.2100251486473"/>
    <n v="0"/>
    <n v="0"/>
    <n v="0"/>
    <n v="317.88277322690885"/>
    <n v="1304.9865201177836"/>
    <n v="649.22140348569246"/>
    <n v="0"/>
    <n v="0"/>
    <n v="0"/>
    <n v="0"/>
    <n v="0"/>
    <n v="24.61008911961412"/>
    <m/>
    <n v="6.0316504398574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560394253076552"/>
    <n v="0"/>
    <n v="0"/>
    <n v="0"/>
    <n v="752.85"/>
    <n v="3"/>
    <m/>
    <m/>
    <m/>
    <m/>
    <m/>
    <m/>
    <m/>
    <m/>
    <m/>
    <n v="738.781797738769"/>
    <m/>
    <m/>
    <m/>
    <m/>
    <m/>
    <m/>
    <m/>
    <m/>
    <m/>
    <m/>
    <m/>
    <m/>
    <n v="1742.3829000000001"/>
    <n v="-809.15033999999969"/>
    <m/>
    <m/>
    <m/>
    <m/>
    <n v="-806.40845999999988"/>
    <n v="0"/>
    <n v="30"/>
    <n v="-6.2604748978449152"/>
    <n v="0"/>
    <n v="0"/>
    <n v="0"/>
    <n v="0"/>
    <n v="0"/>
    <n v="0"/>
    <n v="0"/>
    <n v="-0.81698672056455734"/>
    <n v="0"/>
    <n v="0"/>
    <n v="-9.1016659098386299E-8"/>
    <n v="0"/>
    <n v="0"/>
    <n v="0"/>
    <n v="-1.2555730677377142E-8"/>
    <n v="0"/>
    <n v="-4.629364076848276"/>
    <m/>
    <n v="0"/>
    <n v="0"/>
    <n v="0"/>
    <n v="0"/>
    <n v="-0.61825746680603544"/>
    <n v="-0.19586653005360777"/>
    <n v="0"/>
    <n v="0"/>
    <m/>
    <m/>
    <m/>
    <n v="1304.9865201177836"/>
    <n v="0"/>
    <n v="0"/>
    <n v="-806.40845999999988"/>
    <n v="0"/>
    <n v="0"/>
    <n v="0"/>
    <n v="-800.1461188443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1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415.815"/>
    <n v="415.815"/>
    <n v="415.815"/>
    <n v="415.815"/>
    <m/>
    <n v="406.47"/>
    <n v="138.72"/>
    <m/>
    <n v="226698.17985000001"/>
    <n v="226698.17985000001"/>
    <n v="155049.09719999999"/>
    <n v="0"/>
    <n v="14145.70867674886"/>
    <n v="0"/>
    <n v="0"/>
    <n v="0"/>
    <n v="28243.680630202482"/>
    <n v="115947.2157826445"/>
    <n v="57682.905532137251"/>
    <n v="0"/>
    <n v="0"/>
    <n v="0"/>
    <n v="0"/>
    <n v="0"/>
    <n v="2186.5906425795615"/>
    <m/>
    <n v="535.90827513874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57.3836188767109"/>
    <n v="0"/>
    <n v="0"/>
    <n v="0"/>
    <n v="49131.32"/>
    <n v="39"/>
    <m/>
    <m/>
    <m/>
    <m/>
    <m/>
    <m/>
    <m/>
    <m/>
    <m/>
    <n v="65640.28915101396"/>
    <m/>
    <m/>
    <m/>
    <m/>
    <m/>
    <m/>
    <m/>
    <m/>
    <m/>
    <m/>
    <m/>
    <m/>
    <n v="155050.96160000001"/>
    <n v="-71647.248250000033"/>
    <m/>
    <m/>
    <m/>
    <m/>
    <n v="-71649.082650000011"/>
    <n v="0"/>
    <n v="30"/>
    <n v="-556.23918154819694"/>
    <n v="0"/>
    <n v="0"/>
    <n v="0"/>
    <n v="0"/>
    <n v="0"/>
    <n v="0"/>
    <n v="0"/>
    <n v="-72.588746412788169"/>
    <n v="0"/>
    <n v="0"/>
    <n v="-8.0863464972935617E-6"/>
    <n v="0"/>
    <n v="0"/>
    <n v="0"/>
    <n v="-1.1155480024171993E-6"/>
    <n v="0"/>
    <n v="-411.31603068688855"/>
    <m/>
    <n v="0"/>
    <n v="0"/>
    <n v="0"/>
    <n v="0"/>
    <n v="-54.931779606828968"/>
    <n v="-17.402615639796181"/>
    <n v="0"/>
    <n v="0"/>
    <m/>
    <m/>
    <m/>
    <n v="115947.2157826445"/>
    <n v="0"/>
    <n v="0"/>
    <n v="-71649.082650000011"/>
    <n v="0"/>
    <n v="0"/>
    <n v="0"/>
    <n v="-71092.469745137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2"/>
    <s v="Refaturamento - 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-519.51099999999997"/>
    <n v="-519.51099999999997"/>
    <n v="-519.51099999999997"/>
    <n v="-519.51099999999997"/>
    <m/>
    <n v="406.47"/>
    <n v="138.72"/>
    <m/>
    <n v="-283232.20209000004"/>
    <n v="-283232.20209000004"/>
    <n v="-193715.26168"/>
    <n v="0"/>
    <n v="-17673.36738782025"/>
    <n v="0"/>
    <n v="0"/>
    <n v="0"/>
    <n v="-35287.093461941295"/>
    <n v="-144862.1478745534"/>
    <n v="-72067.876185097106"/>
    <n v="0"/>
    <n v="0"/>
    <n v="0"/>
    <n v="0"/>
    <n v="0"/>
    <n v="-2731.8829078247554"/>
    <m/>
    <n v="-669.55315206426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941.7970040192358"/>
    <n v="0"/>
    <n v="0"/>
    <n v="0"/>
    <n v="-66871.45"/>
    <n v="0"/>
    <m/>
    <m/>
    <m/>
    <m/>
    <m/>
    <m/>
    <m/>
    <m/>
    <m/>
    <n v="-82009.673189116336"/>
    <m/>
    <m/>
    <m/>
    <m/>
    <m/>
    <m/>
    <m/>
    <m/>
    <m/>
    <m/>
    <m/>
    <m/>
    <n v="-193714.88879999999"/>
    <n v="89517.283290000021"/>
    <m/>
    <m/>
    <m/>
    <m/>
    <n v="89516.94041000001"/>
    <n v="0"/>
    <n v="30"/>
    <n v="694.95418261797749"/>
    <n v="0"/>
    <n v="0"/>
    <n v="0"/>
    <n v="0"/>
    <n v="0"/>
    <n v="0"/>
    <n v="0"/>
    <n v="90.690937646919338"/>
    <n v="0"/>
    <n v="0"/>
    <n v="1.0102929081767797E-5"/>
    <n v="0"/>
    <n v="0"/>
    <n v="0"/>
    <n v="1.3937442417955026E-6"/>
    <n v="0"/>
    <n v="513.89007712126113"/>
    <m/>
    <n v="0"/>
    <n v="0"/>
    <n v="0"/>
    <n v="0"/>
    <n v="68.630674110658674"/>
    <n v="21.742482242454457"/>
    <n v="0"/>
    <n v="0"/>
    <m/>
    <m/>
    <m/>
    <n v="-144862.1478745534"/>
    <n v="0"/>
    <n v="0"/>
    <n v="89516.940410000025"/>
    <n v="0"/>
    <n v="0"/>
    <n v="0"/>
    <n v="88821.51930489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90.352999999999994"/>
    <n v="84.931820000000002"/>
    <n v="90.352999999999994"/>
    <n v="84.931820000000002"/>
    <m/>
    <n v="739.04"/>
    <n v="252.22"/>
    <m/>
    <n v="89563.314780000001"/>
    <n v="89563.314780000001"/>
    <n v="61256.62341"/>
    <n v="0"/>
    <n v="5588.6182603946108"/>
    <n v="0"/>
    <n v="0"/>
    <n v="0"/>
    <n v="11158.376926717519"/>
    <n v="45807.865987646503"/>
    <n v="22789.083709845676"/>
    <n v="0"/>
    <n v="0"/>
    <n v="0"/>
    <n v="0"/>
    <n v="0"/>
    <n v="863.86766986188604"/>
    <m/>
    <n v="211.72405291081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43.7646860715718"/>
    <n v="0"/>
    <n v="0"/>
    <n v="0"/>
    <n v="24266.61"/>
    <n v="28"/>
    <m/>
    <m/>
    <m/>
    <m/>
    <n v="3675.3974045999948"/>
    <m/>
    <m/>
    <m/>
    <m/>
    <n v="25932.848395917248"/>
    <m/>
    <m/>
    <m/>
    <m/>
    <m/>
    <m/>
    <m/>
    <m/>
    <m/>
    <m/>
    <m/>
    <m/>
    <n v="57579.992100000003"/>
    <n v="-26609.553793200001"/>
    <m/>
    <m/>
    <m/>
    <m/>
    <n v="-28306.691369999993"/>
    <n v="0"/>
    <n v="30"/>
    <n v="-219.7562892171627"/>
    <n v="0"/>
    <n v="0"/>
    <n v="0"/>
    <n v="0"/>
    <n v="0"/>
    <n v="0"/>
    <n v="0"/>
    <n v="-28.678011329902802"/>
    <n v="0"/>
    <n v="0"/>
    <n v="-3.1948839023243636E-6"/>
    <n v="0"/>
    <n v="0"/>
    <n v="0"/>
    <n v="-4.4073340177419595E-7"/>
    <n v="0"/>
    <n v="-162.50075075193126"/>
    <m/>
    <n v="0"/>
    <n v="0"/>
    <n v="0"/>
    <n v="0"/>
    <n v="-21.702182167181718"/>
    <n v="-6.875341332530553"/>
    <n v="0"/>
    <n v="0"/>
    <m/>
    <m/>
    <m/>
    <n v="45807.865987646503"/>
    <n v="0"/>
    <n v="0"/>
    <n v="-28306.69137"/>
    <n v="0"/>
    <n v="0"/>
    <n v="0"/>
    <n v="-28086.86957107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4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6.6120000000000001"/>
    <n v="6.6120000000000001"/>
    <n v="6.6120000000000001"/>
    <n v="6.6120000000000001"/>
    <m/>
    <n v="739.04"/>
    <n v="252.22"/>
    <m/>
    <n v="6554.2111199999999"/>
    <n v="6554.2111199999999"/>
    <n v="4482.7376400000003"/>
    <n v="0"/>
    <n v="408.97307159396115"/>
    <n v="0"/>
    <n v="0"/>
    <n v="0"/>
    <n v="816.56600488590584"/>
    <n v="3352.2031355939339"/>
    <n v="1667.6969385576531"/>
    <n v="0"/>
    <n v="0"/>
    <n v="0"/>
    <n v="0"/>
    <n v="0"/>
    <n v="63.217524964603179"/>
    <m/>
    <n v="15.493889941078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.05956752188897"/>
    <n v="0"/>
    <n v="0"/>
    <n v="0"/>
    <n v="1776.14"/>
    <n v="11"/>
    <m/>
    <m/>
    <m/>
    <m/>
    <m/>
    <m/>
    <m/>
    <m/>
    <m/>
    <n v="1897.7565060795421"/>
    <m/>
    <m/>
    <m/>
    <m/>
    <m/>
    <m/>
    <m/>
    <m/>
    <m/>
    <m/>
    <m/>
    <m/>
    <n v="4481.3816999999999"/>
    <n v="-2072.8594200000007"/>
    <m/>
    <m/>
    <m/>
    <m/>
    <n v="-2071.4734799999997"/>
    <n v="0"/>
    <n v="30"/>
    <n v="-16.081686101224932"/>
    <n v="0"/>
    <n v="0"/>
    <n v="0"/>
    <n v="0"/>
    <n v="0"/>
    <n v="0"/>
    <n v="0"/>
    <n v="-2.0986465409374659"/>
    <n v="0"/>
    <n v="0"/>
    <n v="-2.3380061975331046E-7"/>
    <n v="0"/>
    <n v="0"/>
    <n v="0"/>
    <n v="-3.2252700066237594E-8"/>
    <n v="0"/>
    <n v="-11.891746416519368"/>
    <m/>
    <n v="0"/>
    <n v="0"/>
    <n v="0"/>
    <n v="0"/>
    <n v="-1.5881578751054874"/>
    <n v="-0.50313500260856969"/>
    <n v="0"/>
    <n v="0"/>
    <m/>
    <m/>
    <m/>
    <n v="3352.2031355939339"/>
    <n v="0"/>
    <n v="0"/>
    <n v="-2071.4734799999997"/>
    <n v="0"/>
    <n v="0"/>
    <n v="0"/>
    <n v="-2055.3869999217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5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5.78"/>
    <n v="3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96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.5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497"/>
    <s v="Regular"/>
    <s v="Convencional"/>
    <s v="B2"/>
    <s v="Rural"/>
    <s v="Agropecuária rural"/>
    <s v="IRRIG./AQUIC."/>
    <s v="Não se aplica"/>
    <s v="Não se aplica"/>
    <s v="CATIVO"/>
    <x v="9"/>
    <n v="0"/>
    <n v="0"/>
    <n v="27.771999999999998"/>
    <n v="27.771999999999998"/>
    <n v="27.771999999999998"/>
    <n v="27.771999999999998"/>
    <m/>
    <n v="739.04"/>
    <n v="252.22"/>
    <m/>
    <n v="27529.272719999997"/>
    <n v="27529.272719999997"/>
    <n v="18828.582839999999"/>
    <n v="0"/>
    <n v="1717.7858657452341"/>
    <n v="0"/>
    <n v="0"/>
    <n v="0"/>
    <n v="3429.7748166502379"/>
    <n v="14080.064349926606"/>
    <n v="7004.7306983701055"/>
    <n v="0"/>
    <n v="0"/>
    <n v="0"/>
    <n v="0"/>
    <n v="0"/>
    <n v="265.52890249802772"/>
    <m/>
    <n v="65.078087030194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30585438867206"/>
    <n v="0"/>
    <n v="0"/>
    <n v="0"/>
    <n v="0"/>
    <n v="0"/>
    <m/>
    <m/>
    <m/>
    <m/>
    <m/>
    <n v="2732.2093599999998"/>
    <m/>
    <m/>
    <m/>
    <n v="7971.0365527587774"/>
    <m/>
    <m/>
    <m/>
    <m/>
    <m/>
    <m/>
    <m/>
    <m/>
    <m/>
    <m/>
    <m/>
    <m/>
    <n v="16095.2143"/>
    <n v="-7309.6686999999911"/>
    <m/>
    <m/>
    <m/>
    <m/>
    <n v="-8700.6898799999981"/>
    <n v="0"/>
    <n v="30"/>
    <n v="-67.546973140229966"/>
    <n v="0"/>
    <n v="0"/>
    <n v="0"/>
    <n v="0"/>
    <n v="0"/>
    <n v="0"/>
    <n v="0"/>
    <n v="-8.8148233113906826"/>
    <n v="0"/>
    <n v="0"/>
    <n v="-9.8201871878700331E-7"/>
    <n v="0"/>
    <n v="0"/>
    <n v="0"/>
    <n v="-1.3546912214223994E-7"/>
    <n v="0"/>
    <n v="-49.948212564969026"/>
    <m/>
    <n v="0"/>
    <n v="0"/>
    <n v="0"/>
    <n v="0"/>
    <n v="-6.6706473846687118"/>
    <n v="-2.1132887617128233"/>
    <n v="0"/>
    <n v="0"/>
    <m/>
    <m/>
    <m/>
    <n v="14080.064349926606"/>
    <n v="0"/>
    <n v="0"/>
    <n v="-8700.6898799999981"/>
    <n v="0"/>
    <n v="0"/>
    <n v="0"/>
    <n v="-8633.122770996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8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2"/>
    <n v="0.2"/>
    <n v="0.2"/>
    <n v="0.2"/>
    <m/>
    <n v="739.04"/>
    <n v="252.22"/>
    <m/>
    <n v="198.25200000000001"/>
    <n v="198.25200000000001"/>
    <n v="135.59399999999999"/>
    <n v="0"/>
    <n v="12.37063132468122"/>
    <n v="0"/>
    <n v="0"/>
    <n v="0"/>
    <n v="24.699516179246999"/>
    <n v="101.3975540107058"/>
    <n v="50.444553495391801"/>
    <n v="0"/>
    <n v="0"/>
    <n v="0"/>
    <n v="0"/>
    <n v="0"/>
    <n v="1.9122058367998542"/>
    <m/>
    <n v="0.46865970783662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588495923136406"/>
    <n v="0"/>
    <n v="0"/>
    <n v="0"/>
    <n v="0"/>
    <n v="0"/>
    <m/>
    <m/>
    <m/>
    <m/>
    <m/>
    <n v="19.676000000000002"/>
    <m/>
    <m/>
    <m/>
    <n v="57.403403087705442"/>
    <m/>
    <m/>
    <m/>
    <m/>
    <m/>
    <m/>
    <m/>
    <m/>
    <m/>
    <m/>
    <m/>
    <m/>
    <n v="115.91800000000001"/>
    <n v="-52.662000000000006"/>
    <m/>
    <m/>
    <m/>
    <m/>
    <n v="-62.657999999999994"/>
    <n v="0"/>
    <n v="30"/>
    <n v="-0.48643938600194758"/>
    <n v="0"/>
    <n v="0"/>
    <n v="0"/>
    <n v="0"/>
    <n v="0"/>
    <n v="0"/>
    <n v="0"/>
    <n v="-6.347993166779986E-2"/>
    <n v="0"/>
    <n v="0"/>
    <n v="-7.0720034273108467E-9"/>
    <n v="0"/>
    <n v="0"/>
    <n v="0"/>
    <n v="-9.7558050526913576E-10"/>
    <n v="0"/>
    <n v="-0.35970194847305947"/>
    <m/>
    <n v="0"/>
    <n v="0"/>
    <n v="0"/>
    <n v="0"/>
    <n v="-4.8038653209482307E-2"/>
    <n v="-1.5218844604009962E-2"/>
    <n v="0"/>
    <n v="0"/>
    <m/>
    <m/>
    <m/>
    <n v="101.3975540107058"/>
    <n v="0"/>
    <n v="0"/>
    <n v="-62.657999999999987"/>
    <n v="0"/>
    <n v="0"/>
    <n v="0"/>
    <n v="-62.17141560561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499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26.43"/>
    <n v="10.571999999999999"/>
    <n v="26.43"/>
    <n v="10.571999999999999"/>
    <m/>
    <n v="739.04"/>
    <n v="252.22"/>
    <m/>
    <n v="26199.001799999998"/>
    <n v="26199.001799999998"/>
    <n v="17918.747100000001"/>
    <n v="0"/>
    <n v="1634.7789295566233"/>
    <n v="0"/>
    <n v="0"/>
    <n v="0"/>
    <n v="3264.0410630874908"/>
    <n v="13399.686762514772"/>
    <n v="6666.2477444160268"/>
    <n v="0"/>
    <n v="0"/>
    <n v="0"/>
    <n v="0"/>
    <n v="0"/>
    <n v="252.69800133310071"/>
    <m/>
    <n v="61.933380390610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9.61197362424764"/>
    <n v="0"/>
    <n v="0"/>
    <n v="0"/>
    <n v="0"/>
    <n v="0"/>
    <m/>
    <m/>
    <m/>
    <m/>
    <m/>
    <m/>
    <n v="11791.321620000001"/>
    <m/>
    <m/>
    <n v="7585.8597180402739"/>
    <m/>
    <m/>
    <m/>
    <m/>
    <m/>
    <m/>
    <m/>
    <m/>
    <m/>
    <m/>
    <m/>
    <m/>
    <n v="6126.2663000000002"/>
    <n v="-2783.3166999999985"/>
    <m/>
    <m/>
    <m/>
    <m/>
    <n v="-8280.2546999999995"/>
    <n v="0"/>
    <n v="30"/>
    <n v="-64.282964860156426"/>
    <n v="0"/>
    <n v="0"/>
    <n v="0"/>
    <n v="0"/>
    <n v="0"/>
    <n v="0"/>
    <n v="0"/>
    <n v="-8.388872969899694"/>
    <n v="0"/>
    <n v="0"/>
    <n v="-9.3456583272200078E-7"/>
    <n v="0"/>
    <n v="0"/>
    <n v="0"/>
    <n v="-1.2892303402622929E-7"/>
    <n v="0"/>
    <n v="-47.534612490714835"/>
    <m/>
    <n v="0"/>
    <n v="0"/>
    <n v="0"/>
    <n v="0"/>
    <n v="-6.3483080216330734"/>
    <n v="-2.011170314419914"/>
    <n v="0"/>
    <n v="0"/>
    <m/>
    <m/>
    <m/>
    <n v="13399.686762514772"/>
    <n v="0"/>
    <n v="0"/>
    <n v="-8280.2546999999995"/>
    <n v="0"/>
    <n v="0"/>
    <n v="0"/>
    <n v="-8215.9525722824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0"/>
    <s v="Sistema de Compensação"/>
    <s v="Convencional"/>
    <s v="B2"/>
    <s v="Rural"/>
    <s v="Agropecuária rural"/>
    <s v="IRRIG./AQUIC. PR"/>
    <s v="Não se aplica"/>
    <s v="Não se aplica"/>
    <s v="CATIVO"/>
    <x v="9"/>
    <n v="0"/>
    <n v="0"/>
    <n v="0.2"/>
    <n v="0.2"/>
    <n v="0.2"/>
    <n v="0.2"/>
    <m/>
    <n v="739.04"/>
    <n v="252.22"/>
    <m/>
    <n v="198.25200000000001"/>
    <n v="198.25200000000001"/>
    <n v="135.59399999999999"/>
    <n v="0"/>
    <n v="12.37063132468122"/>
    <n v="0"/>
    <n v="0"/>
    <n v="0"/>
    <n v="24.699516179246999"/>
    <n v="101.3975540107058"/>
    <n v="50.444553495391801"/>
    <n v="0"/>
    <n v="0"/>
    <n v="0"/>
    <n v="0"/>
    <n v="0"/>
    <n v="1.9122058367998542"/>
    <m/>
    <n v="0.46865970783662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588495923136406"/>
    <n v="0"/>
    <n v="0"/>
    <n v="0"/>
    <n v="0"/>
    <n v="0"/>
    <m/>
    <m/>
    <m/>
    <m/>
    <m/>
    <n v="19.676000000000002"/>
    <m/>
    <m/>
    <m/>
    <n v="57.403403087705442"/>
    <m/>
    <m/>
    <m/>
    <m/>
    <m/>
    <m/>
    <m/>
    <m/>
    <m/>
    <m/>
    <m/>
    <m/>
    <n v="115.91800000000001"/>
    <n v="-52.662000000000006"/>
    <m/>
    <m/>
    <m/>
    <m/>
    <n v="-62.657999999999994"/>
    <n v="0"/>
    <n v="30"/>
    <n v="-0.48643938600194758"/>
    <n v="0"/>
    <n v="0"/>
    <n v="0"/>
    <n v="0"/>
    <n v="0"/>
    <n v="0"/>
    <n v="0"/>
    <n v="-6.347993166779986E-2"/>
    <n v="0"/>
    <n v="0"/>
    <n v="-7.0720034273108467E-9"/>
    <n v="0"/>
    <n v="0"/>
    <n v="0"/>
    <n v="-9.7558050526913576E-10"/>
    <n v="0"/>
    <n v="-0.35970194847305947"/>
    <m/>
    <n v="0"/>
    <n v="0"/>
    <n v="0"/>
    <n v="0"/>
    <n v="-4.8038653209482307E-2"/>
    <n v="-1.5218844604009962E-2"/>
    <n v="0"/>
    <n v="0"/>
    <m/>
    <m/>
    <m/>
    <n v="101.3975540107058"/>
    <n v="0"/>
    <n v="0"/>
    <n v="-62.657999999999987"/>
    <n v="0"/>
    <n v="0"/>
    <n v="0"/>
    <n v="-62.17141560561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1"/>
    <s v="Regular"/>
    <s v="Verde"/>
    <s v="A4"/>
    <s v="Rural"/>
    <s v="Agropecuária rural"/>
    <s v="Não se aplica"/>
    <s v="Não se aplica"/>
    <s v="Ponta"/>
    <s v="CATIVO"/>
    <x v="9"/>
    <n v="0"/>
    <n v="0"/>
    <n v="5.7729999999999997"/>
    <n v="5.5420800000000003"/>
    <n v="5.7729999999999997"/>
    <n v="5.5420800000000003"/>
    <m/>
    <n v="2641.06"/>
    <n v="252.22"/>
    <m/>
    <n v="16702.905439999999"/>
    <n v="16702.905439999999"/>
    <n v="9914.2038199999988"/>
    <n v="0"/>
    <n v="310.65809767262334"/>
    <n v="0"/>
    <n v="0"/>
    <n v="0"/>
    <n v="3739.5588363830148"/>
    <n v="11038.497536862486"/>
    <n v="1456.0820366444843"/>
    <n v="0"/>
    <n v="0"/>
    <n v="0"/>
    <n v="0"/>
    <n v="0"/>
    <n v="55.195821479227789"/>
    <m/>
    <n v="13.889296132589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036062665779951"/>
    <n v="0"/>
    <n v="0"/>
    <n v="0"/>
    <n v="0"/>
    <n v="0"/>
    <m/>
    <m/>
    <m/>
    <m/>
    <m/>
    <n v="396.56815279999887"/>
    <m/>
    <m/>
    <m/>
    <n v="1545.1180993102644"/>
    <m/>
    <m/>
    <m/>
    <m/>
    <m/>
    <m/>
    <m/>
    <m/>
    <m/>
    <m/>
    <m/>
    <m/>
    <n v="9514.0635999999995"/>
    <n v="-6520.7556224000018"/>
    <m/>
    <m/>
    <m/>
    <m/>
    <n v="-6788.7016199999998"/>
    <n v="0"/>
    <n v="30"/>
    <n v="-20.481693459518283"/>
    <n v="0"/>
    <n v="0"/>
    <n v="0"/>
    <n v="0"/>
    <n v="0"/>
    <n v="0"/>
    <n v="0"/>
    <n v="-9.6109955222941608"/>
    <n v="0"/>
    <n v="0"/>
    <n v="-2.0413335732882842E-7"/>
    <n v="0"/>
    <n v="0"/>
    <n v="0"/>
    <n v="-1.2482374245337269E-8"/>
    <n v="0"/>
    <n v="-9.0330331661270975"/>
    <m/>
    <n v="0"/>
    <n v="0"/>
    <n v="0"/>
    <n v="0"/>
    <n v="-1.3866357248917112"/>
    <n v="-0.4510288295887861"/>
    <n v="0"/>
    <n v="0"/>
    <m/>
    <m/>
    <m/>
    <n v="11038.497536862486"/>
    <n v="0"/>
    <n v="0"/>
    <n v="-6788.7016199999998"/>
    <n v="0"/>
    <n v="0"/>
    <n v="0"/>
    <n v="-6768.2009168920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2"/>
    <s v="Regular"/>
    <s v="Verde"/>
    <s v="A4"/>
    <s v="Rural"/>
    <s v="Agropecuária rural"/>
    <s v="Não se aplica"/>
    <s v="Não se aplica"/>
    <s v="Fora ponta"/>
    <s v="CATIVO"/>
    <x v="9"/>
    <n v="0"/>
    <n v="0"/>
    <n v="53.862000000000002"/>
    <n v="51.707520000000002"/>
    <n v="53.862000000000002"/>
    <n v="51.707520000000002"/>
    <m/>
    <n v="81.2"/>
    <n v="252.22"/>
    <m/>
    <n v="17958.66804"/>
    <n v="17958.66804"/>
    <n v="17857.407480000002"/>
    <n v="0"/>
    <n v="2898.4352081834122"/>
    <n v="0"/>
    <n v="0"/>
    <n v="0"/>
    <n v="0"/>
    <n v="0"/>
    <n v="13585.222701843966"/>
    <n v="0"/>
    <n v="0"/>
    <n v="0"/>
    <n v="0"/>
    <n v="0"/>
    <n v="514.97615390856868"/>
    <m/>
    <n v="129.58691638550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0.70507661601255"/>
    <n v="0"/>
    <n v="0"/>
    <n v="0"/>
    <n v="0"/>
    <n v="0"/>
    <m/>
    <m/>
    <m/>
    <m/>
    <m/>
    <n v="714.29629919999979"/>
    <m/>
    <m/>
    <m/>
    <n v="14415.927778459978"/>
    <m/>
    <m/>
    <m/>
    <m/>
    <m/>
    <m/>
    <m/>
    <m/>
    <m/>
    <m/>
    <m/>
    <m/>
    <n v="17143.933400000002"/>
    <n v="-96.417918399998598"/>
    <m/>
    <m/>
    <m/>
    <m/>
    <n v="-101.26056000000052"/>
    <n v="0"/>
    <n v="30"/>
    <n v="-101.42344228213187"/>
    <n v="0"/>
    <n v="0"/>
    <n v="0"/>
    <n v="0"/>
    <n v="0"/>
    <n v="0"/>
    <n v="0"/>
    <n v="0"/>
    <n v="0"/>
    <n v="0"/>
    <n v="-1.9045601220568642E-6"/>
    <n v="0"/>
    <n v="0"/>
    <n v="0"/>
    <n v="-1.164604555015103E-7"/>
    <n v="0"/>
    <n v="-84.278058616653198"/>
    <m/>
    <n v="0"/>
    <n v="0"/>
    <n v="0"/>
    <n v="0"/>
    <n v="-12.937289695845607"/>
    <n v="-4.2080919486075175"/>
    <n v="0"/>
    <n v="0"/>
    <m/>
    <m/>
    <m/>
    <n v="0"/>
    <n v="0"/>
    <n v="0"/>
    <n v="-101.26056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3"/>
    <s v="Regular"/>
    <s v="Verde"/>
    <s v="A4"/>
    <s v="Rural"/>
    <s v="Agropecuária rural"/>
    <s v="Não se aplica"/>
    <s v="Não se aplica"/>
    <s v="Não se aplica"/>
    <s v="CATIVO"/>
    <x v="9"/>
    <n v="5013"/>
    <n v="4812.4799999999996"/>
    <n v="0"/>
    <n v="0"/>
    <n v="0"/>
    <n v="0"/>
    <n v="74.44"/>
    <m/>
    <m/>
    <n v="373167.72"/>
    <m/>
    <n v="373167.72"/>
    <n v="227690.46000000002"/>
    <n v="0"/>
    <n v="0"/>
    <n v="0"/>
    <n v="0"/>
    <n v="0"/>
    <n v="136439.28485515487"/>
    <n v="236721.569664035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0.15"/>
    <n v="25"/>
    <m/>
    <m/>
    <m/>
    <m/>
    <m/>
    <n v="9107.6184000000194"/>
    <m/>
    <m/>
    <m/>
    <n v="0"/>
    <m/>
    <m/>
    <m/>
    <m/>
    <m/>
    <m/>
    <m/>
    <m/>
    <m/>
    <m/>
    <m/>
    <m/>
    <n v="218582.84159999999"/>
    <n v="-139658.19959999999"/>
    <m/>
    <m/>
    <m/>
    <m/>
    <n v="-145477.25999999998"/>
    <n v="0"/>
    <n v="30"/>
    <n v="-350.66097718520905"/>
    <n v="0"/>
    <n v="0"/>
    <n v="0"/>
    <n v="0"/>
    <m/>
    <m/>
    <m/>
    <n v="-350.660977185209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6721.56966403531"/>
    <m/>
    <n v="0"/>
    <n v="0"/>
    <n v="-145477.25999999995"/>
    <m/>
    <n v="0"/>
    <m/>
    <n v="-145144.6756678486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04"/>
    <s v="Sistema de Compensação"/>
    <s v="Verde"/>
    <s v="A4"/>
    <s v="Rural"/>
    <s v="Agropecuária rural"/>
    <s v="Não se aplica"/>
    <s v="Não se aplica"/>
    <s v="Não se aplica"/>
    <s v="CATIVO"/>
    <x v="9"/>
    <n v="18"/>
    <n v="17.28"/>
    <n v="0"/>
    <n v="0"/>
    <n v="0"/>
    <n v="0"/>
    <n v="74.44"/>
    <m/>
    <m/>
    <n v="1339.92"/>
    <m/>
    <n v="1339.92"/>
    <n v="817.56000000000006"/>
    <n v="0"/>
    <n v="0"/>
    <n v="0"/>
    <n v="0"/>
    <n v="0"/>
    <n v="489.9076655481324"/>
    <n v="849.987682815207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.6500000000000004"/>
    <n v="2"/>
    <m/>
    <m/>
    <m/>
    <m/>
    <m/>
    <n v="32.702399999999948"/>
    <m/>
    <m/>
    <m/>
    <n v="0"/>
    <m/>
    <m/>
    <m/>
    <m/>
    <m/>
    <m/>
    <m/>
    <m/>
    <m/>
    <m/>
    <m/>
    <m/>
    <n v="784.85760000000005"/>
    <n v="-501.49559999999997"/>
    <m/>
    <m/>
    <m/>
    <m/>
    <n v="-522.3599999999999"/>
    <n v="0"/>
    <n v="30"/>
    <n v="-1.2591058426758082"/>
    <n v="0"/>
    <n v="0"/>
    <n v="0"/>
    <n v="0"/>
    <m/>
    <m/>
    <m/>
    <n v="-1.259105842675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9.98768281520756"/>
    <m/>
    <n v="0"/>
    <n v="0"/>
    <n v="-522.36"/>
    <m/>
    <n v="0"/>
    <m/>
    <n v="-521.1658013208209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05"/>
    <s v="Regular"/>
    <s v="Verde"/>
    <s v="A4"/>
    <s v="Rural"/>
    <s v="Agropecuária rural"/>
    <s v="IRRIG./AQUIC. PR"/>
    <s v="Não se aplica"/>
    <s v="Fora ponta"/>
    <s v="CATIVO"/>
    <x v="9"/>
    <n v="0"/>
    <n v="0"/>
    <n v="40.447000000000003"/>
    <n v="12.1341"/>
    <n v="40.447000000000003"/>
    <n v="12.1341"/>
    <m/>
    <n v="81.2"/>
    <n v="252.22"/>
    <m/>
    <n v="13485.838739999999"/>
    <n v="13485.838739999999"/>
    <n v="13409.79838"/>
    <n v="0"/>
    <n v="2176.5439245738085"/>
    <n v="0"/>
    <n v="0"/>
    <n v="0"/>
    <n v="0"/>
    <n v="0"/>
    <n v="10201.654276140562"/>
    <n v="0"/>
    <n v="0"/>
    <n v="0"/>
    <n v="0"/>
    <n v="0"/>
    <n v="386.71494740521854"/>
    <m/>
    <n v="97.311685549082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3.80766094626745"/>
    <n v="0"/>
    <n v="0"/>
    <n v="0"/>
    <n v="0"/>
    <n v="0"/>
    <m/>
    <m/>
    <m/>
    <m/>
    <m/>
    <m/>
    <n v="9386.8588660000005"/>
    <m/>
    <m/>
    <n v="10825.461937086829"/>
    <m/>
    <m/>
    <m/>
    <m/>
    <m/>
    <m/>
    <m/>
    <m/>
    <m/>
    <m/>
    <m/>
    <m/>
    <n v="4021.5802000000003"/>
    <n v="-24.201421999999639"/>
    <m/>
    <m/>
    <m/>
    <m/>
    <n v="-76.040360000000391"/>
    <n v="0"/>
    <n v="30"/>
    <n v="-76.162674426966987"/>
    <n v="0"/>
    <n v="0"/>
    <n v="0"/>
    <n v="0"/>
    <n v="0"/>
    <n v="0"/>
    <n v="0"/>
    <n v="0"/>
    <n v="0"/>
    <n v="0"/>
    <n v="-1.4302058843895793E-6"/>
    <n v="0"/>
    <n v="0"/>
    <n v="0"/>
    <n v="-8.7454509412054904E-8"/>
    <n v="0"/>
    <n v="-63.287561488020401"/>
    <m/>
    <n v="0"/>
    <n v="0"/>
    <n v="0"/>
    <n v="0"/>
    <n v="-9.7150970318196528"/>
    <n v="-3.1600143894643367"/>
    <n v="0"/>
    <n v="0"/>
    <m/>
    <m/>
    <m/>
    <n v="0"/>
    <n v="0"/>
    <n v="0"/>
    <n v="-76.04036000000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6"/>
    <s v="Regular"/>
    <s v="Convencional"/>
    <s v="B1"/>
    <s v="Residencial"/>
    <s v="Residencial"/>
    <s v="Não se aplica"/>
    <s v="Não se aplica"/>
    <s v="Não se aplica"/>
    <s v="CATIVO"/>
    <x v="10"/>
    <n v="0"/>
    <n v="0"/>
    <n v="979.10699999999997"/>
    <n v="979.10699999999997"/>
    <n v="979.10699999999997"/>
    <n v="979.10699999999997"/>
    <m/>
    <n v="739.04"/>
    <n v="252.22"/>
    <m/>
    <n v="970549.60481999989"/>
    <n v="970549.60481999989"/>
    <n v="663805.17278999998"/>
    <n v="0"/>
    <n v="60560.858622073276"/>
    <n v="0"/>
    <n v="0"/>
    <n v="0"/>
    <n v="120917.34593856995"/>
    <n v="496395.27457380062"/>
    <n v="246953.07719606289"/>
    <n v="0"/>
    <n v="0"/>
    <n v="0"/>
    <n v="0"/>
    <n v="0"/>
    <n v="9361.2706012579729"/>
    <m/>
    <n v="2294.3400028039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67.291738907159"/>
    <n v="0"/>
    <n v="0"/>
    <n v="0"/>
    <n v="216225.65"/>
    <n v="7771"/>
    <m/>
    <m/>
    <m/>
    <m/>
    <m/>
    <m/>
    <m/>
    <m/>
    <m/>
    <n v="281020.36893497006"/>
    <m/>
    <m/>
    <m/>
    <m/>
    <m/>
    <m/>
    <m/>
    <m/>
    <m/>
    <m/>
    <m/>
    <m/>
    <n v="663807.20669999998"/>
    <n v="-306742.42811999994"/>
    <m/>
    <m/>
    <m/>
    <m/>
    <n v="-306744.43202999997"/>
    <n v="0"/>
    <n v="31"/>
    <n v="-2381.3810395509936"/>
    <n v="0"/>
    <n v="0"/>
    <n v="0"/>
    <n v="0"/>
    <n v="0"/>
    <n v="0"/>
    <n v="0"/>
    <n v="-310.7682272773236"/>
    <n v="0"/>
    <n v="0"/>
    <n v="-3.4621247323229909E-5"/>
    <n v="0"/>
    <n v="0"/>
    <n v="0"/>
    <n v="-4.7759895096533E-6"/>
    <n v="0"/>
    <n v="-1760.9334783180602"/>
    <m/>
    <n v="0"/>
    <n v="0"/>
    <n v="0"/>
    <n v="0"/>
    <n v="-235.17490813988297"/>
    <n v="-74.504386418491777"/>
    <n v="0"/>
    <n v="0"/>
    <m/>
    <m/>
    <m/>
    <n v="496395.27457380062"/>
    <n v="0"/>
    <n v="0"/>
    <n v="-306744.43202999991"/>
    <n v="0"/>
    <n v="0"/>
    <n v="0"/>
    <n v="-304362.3410968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7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2"/>
    <n v="-0.2"/>
    <n v="-0.2"/>
    <n v="-0.2"/>
    <m/>
    <n v="739.04"/>
    <n v="252.22"/>
    <m/>
    <n v="-198.25200000000001"/>
    <n v="-198.25200000000001"/>
    <n v="-135.59399999999999"/>
    <n v="0"/>
    <n v="-12.37063132468122"/>
    <n v="0"/>
    <n v="0"/>
    <n v="0"/>
    <n v="-24.699516179246999"/>
    <n v="-101.3975540107058"/>
    <n v="-50.444553495391801"/>
    <n v="0"/>
    <n v="0"/>
    <n v="0"/>
    <n v="0"/>
    <n v="0"/>
    <n v="-1.9122058367998542"/>
    <m/>
    <n v="-0.46865970783662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9588495923136406"/>
    <n v="0"/>
    <n v="0"/>
    <n v="0"/>
    <n v="-59.51"/>
    <n v="0"/>
    <m/>
    <m/>
    <m/>
    <m/>
    <m/>
    <m/>
    <m/>
    <m/>
    <m/>
    <n v="-57.403403087705442"/>
    <m/>
    <m/>
    <m/>
    <m/>
    <m/>
    <m/>
    <m/>
    <m/>
    <m/>
    <m/>
    <m/>
    <m/>
    <n v="-135.59399999999999"/>
    <n v="62.628000000000043"/>
    <m/>
    <m/>
    <m/>
    <m/>
    <n v="62.657999999999994"/>
    <n v="0"/>
    <n v="31"/>
    <n v="0.48643938600194758"/>
    <n v="0"/>
    <n v="0"/>
    <n v="0"/>
    <n v="0"/>
    <n v="0"/>
    <n v="0"/>
    <n v="0"/>
    <n v="6.347993166779986E-2"/>
    <n v="0"/>
    <n v="0"/>
    <n v="7.0720034273108467E-9"/>
    <n v="0"/>
    <n v="0"/>
    <n v="0"/>
    <n v="9.7558050526913576E-10"/>
    <n v="0"/>
    <n v="0.35970194847305947"/>
    <m/>
    <n v="0"/>
    <n v="0"/>
    <n v="0"/>
    <n v="0"/>
    <n v="4.8038653209482307E-2"/>
    <n v="1.5218844604009962E-2"/>
    <n v="0"/>
    <n v="0"/>
    <m/>
    <m/>
    <m/>
    <n v="-101.3975540107058"/>
    <n v="0"/>
    <n v="0"/>
    <n v="62.657999999999987"/>
    <n v="0"/>
    <n v="0"/>
    <n v="0"/>
    <n v="62.17141560561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8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8.625999999999998"/>
    <n v="38.625999999999998"/>
    <n v="38.625999999999998"/>
    <n v="38.625999999999998"/>
    <m/>
    <n v="739.04"/>
    <n v="252.22"/>
    <m/>
    <n v="38288.408759999998"/>
    <n v="38288.408759999998"/>
    <n v="26187.269219999998"/>
    <n v="0"/>
    <n v="2389.1400277356838"/>
    <n v="0"/>
    <n v="0"/>
    <n v="0"/>
    <n v="4770.2175596979723"/>
    <n v="19582.909606087611"/>
    <n v="9742.3566165650172"/>
    <n v="0"/>
    <n v="0"/>
    <n v="0"/>
    <n v="0"/>
    <n v="0"/>
    <n v="369.30431326115581"/>
    <m/>
    <n v="90.512249374487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3.9626217635334"/>
    <n v="0"/>
    <n v="0"/>
    <n v="0"/>
    <n v="23734.54"/>
    <n v="517"/>
    <m/>
    <m/>
    <m/>
    <m/>
    <m/>
    <m/>
    <m/>
    <m/>
    <m/>
    <n v="11086.319238328551"/>
    <m/>
    <m/>
    <m/>
    <m/>
    <m/>
    <m/>
    <m/>
    <m/>
    <m/>
    <m/>
    <m/>
    <m/>
    <n v="26189.981100000001"/>
    <n v="-12098.457659999996"/>
    <m/>
    <m/>
    <m/>
    <m/>
    <n v="-12101.139539999998"/>
    <n v="0"/>
    <n v="31"/>
    <n v="-93.946038618556486"/>
    <n v="0"/>
    <n v="0"/>
    <n v="0"/>
    <n v="0"/>
    <n v="0"/>
    <n v="0"/>
    <n v="0"/>
    <n v="-12.259879203002129"/>
    <n v="0"/>
    <n v="0"/>
    <n v="-1.3658154784934595E-6"/>
    <n v="0"/>
    <n v="0"/>
    <n v="0"/>
    <n v="-1.8841410565073602E-7"/>
    <n v="0"/>
    <n v="-69.469237308601805"/>
    <m/>
    <n v="0"/>
    <n v="0"/>
    <n v="0"/>
    <n v="0"/>
    <n v="-9.2777050943473114"/>
    <n v="-2.9392154583724448"/>
    <n v="0"/>
    <n v="0"/>
    <m/>
    <m/>
    <m/>
    <n v="19582.909606087611"/>
    <n v="0"/>
    <n v="0"/>
    <n v="-12101.13954"/>
    <n v="0"/>
    <n v="0"/>
    <n v="0"/>
    <n v="-12007.16549591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09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65.7900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1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3.457000000000001"/>
    <n v="23.457000000000001"/>
    <n v="23.457000000000001"/>
    <n v="23.457000000000001"/>
    <m/>
    <n v="667.62"/>
    <n v="252.22"/>
    <m/>
    <n v="21576.686880000001"/>
    <n v="21576.686880000001"/>
    <n v="14275.695630000002"/>
    <n v="0"/>
    <n v="0"/>
    <n v="0"/>
    <n v="0"/>
    <n v="0"/>
    <n v="2896.8827550829842"/>
    <n v="11892.41212214563"/>
    <n v="5916.3894567070274"/>
    <n v="0"/>
    <n v="0"/>
    <n v="0"/>
    <n v="0"/>
    <n v="0"/>
    <n v="0"/>
    <m/>
    <n v="54.96675383361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6.16867443450542"/>
    <n v="0"/>
    <n v="0"/>
    <n v="0"/>
    <n v="1471.28"/>
    <n v="74"/>
    <m/>
    <m/>
    <m/>
    <m/>
    <m/>
    <m/>
    <m/>
    <n v="9279.1200599999993"/>
    <m/>
    <n v="6732.5581311415326"/>
    <m/>
    <m/>
    <m/>
    <m/>
    <m/>
    <m/>
    <m/>
    <m/>
    <m/>
    <m/>
    <m/>
    <m/>
    <n v="4997.2146000000002"/>
    <n v="-2554.79655"/>
    <m/>
    <m/>
    <m/>
    <m/>
    <n v="-7300.99125"/>
    <n v="0"/>
    <n v="31"/>
    <n v="-9.2301869188995624"/>
    <n v="0"/>
    <n v="0"/>
    <n v="0"/>
    <n v="0"/>
    <n v="0"/>
    <n v="0"/>
    <n v="0"/>
    <n v="-7.4452437856575671"/>
    <n v="0"/>
    <n v="0"/>
    <n v="-8.2944006862817332E-7"/>
    <n v="0"/>
    <n v="0"/>
    <n v="0"/>
    <n v="-1.1442102731962223E-7"/>
    <n v="0"/>
    <n v="0"/>
    <m/>
    <n v="0"/>
    <n v="0"/>
    <n v="0"/>
    <n v="0"/>
    <n v="0"/>
    <n v="-1.7849421893813044"/>
    <n v="0"/>
    <n v="0"/>
    <m/>
    <m/>
    <m/>
    <n v="11892.41212214563"/>
    <n v="0"/>
    <n v="0"/>
    <n v="-7300.9912500000009"/>
    <n v="0"/>
    <n v="0"/>
    <n v="0"/>
    <n v="-7291.7744793049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1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19900000000000001"/>
    <n v="-1.2238500000000001"/>
    <n v="0.19900000000000001"/>
    <n v="-1.2238500000000001"/>
    <m/>
    <n v="667.62"/>
    <n v="252.22"/>
    <m/>
    <n v="183.04816"/>
    <n v="183.04816"/>
    <n v="121.10941"/>
    <n v="0"/>
    <n v="0"/>
    <n v="0"/>
    <n v="0"/>
    <n v="0"/>
    <n v="24.576018598350764"/>
    <n v="100.89056624065228"/>
    <n v="50.192330727914843"/>
    <n v="0"/>
    <n v="0"/>
    <n v="0"/>
    <n v="0"/>
    <n v="0"/>
    <n v="0"/>
    <m/>
    <n v="0.46631640929744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240553443520731"/>
    <n v="0"/>
    <n v="0"/>
    <n v="0"/>
    <n v="18.75"/>
    <n v="0"/>
    <m/>
    <m/>
    <m/>
    <m/>
    <m/>
    <m/>
    <m/>
    <n v="381.80169850000004"/>
    <m/>
    <n v="57.11638607226692"/>
    <m/>
    <m/>
    <m/>
    <m/>
    <m/>
    <m/>
    <m/>
    <m/>
    <m/>
    <m/>
    <m/>
    <m/>
    <n v="-259.87220000000002"/>
    <n v="134.11630750000006"/>
    <m/>
    <m/>
    <m/>
    <m/>
    <n v="-61.938750000000006"/>
    <n v="0"/>
    <n v="31"/>
    <n v="-7.8305290397807426E-2"/>
    <n v="0"/>
    <n v="0"/>
    <n v="0"/>
    <n v="0"/>
    <n v="0"/>
    <n v="0"/>
    <n v="0"/>
    <n v="-6.3162532009460648E-2"/>
    <n v="0"/>
    <n v="0"/>
    <n v="-7.0366397153520666E-9"/>
    <n v="0"/>
    <n v="0"/>
    <n v="0"/>
    <n v="-9.7070351756656237E-10"/>
    <n v="0"/>
    <n v="0"/>
    <m/>
    <n v="0"/>
    <n v="0"/>
    <n v="0"/>
    <n v="0"/>
    <n v="0"/>
    <n v="-1.5142750380989889E-2"/>
    <n v="0"/>
    <n v="0"/>
    <m/>
    <m/>
    <m/>
    <n v="100.89056624065228"/>
    <n v="0"/>
    <n v="0"/>
    <n v="-61.938749999999999"/>
    <n v="0"/>
    <n v="0"/>
    <n v="0"/>
    <n v="-61.860558527590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2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40.398000000000003"/>
    <n v="40.398000000000003"/>
    <n v="40.398000000000003"/>
    <n v="40.398000000000003"/>
    <m/>
    <n v="667.62"/>
    <n v="252.22"/>
    <m/>
    <n v="37159.696320000003"/>
    <n v="37159.696320000003"/>
    <n v="24585.81882"/>
    <n v="0"/>
    <n v="0"/>
    <n v="0"/>
    <n v="0"/>
    <n v="0"/>
    <n v="4989.0552730461013"/>
    <n v="20481.291934622466"/>
    <n v="10189.29536053419"/>
    <n v="0"/>
    <n v="0"/>
    <n v="0"/>
    <n v="0"/>
    <n v="0"/>
    <n v="0"/>
    <m/>
    <n v="94.664574385920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5.6180291514324"/>
    <n v="0"/>
    <n v="0"/>
    <n v="0"/>
    <n v="4847.5"/>
    <n v="278"/>
    <m/>
    <m/>
    <m/>
    <m/>
    <m/>
    <m/>
    <m/>
    <n v="9834.489120000002"/>
    <m/>
    <n v="11594.913389685622"/>
    <m/>
    <m/>
    <m/>
    <m/>
    <m/>
    <m/>
    <m/>
    <m/>
    <m/>
    <m/>
    <m/>
    <m/>
    <n v="14752.06"/>
    <n v="-7543.6262000000006"/>
    <m/>
    <m/>
    <m/>
    <m/>
    <n v="-12573.877500000001"/>
    <n v="0"/>
    <n v="31"/>
    <n v="-15.896367444671341"/>
    <n v="0"/>
    <n v="0"/>
    <n v="0"/>
    <n v="0"/>
    <n v="0"/>
    <n v="0"/>
    <n v="0"/>
    <n v="-12.822311397578233"/>
    <n v="0"/>
    <n v="0"/>
    <n v="-1.4284723874880001E-6"/>
    <n v="0"/>
    <n v="0"/>
    <n v="0"/>
    <n v="-1.9705771592271049E-7"/>
    <n v="0"/>
    <n v="0"/>
    <m/>
    <n v="0"/>
    <n v="0"/>
    <n v="0"/>
    <n v="0"/>
    <n v="0"/>
    <n v="-3.0740544215639716"/>
    <n v="0"/>
    <n v="0"/>
    <m/>
    <m/>
    <m/>
    <n v="20481.291934622466"/>
    <n v="0"/>
    <n v="0"/>
    <n v="-12573.877500000001"/>
    <n v="0"/>
    <n v="0"/>
    <n v="0"/>
    <n v="-12558.004238178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3"/>
    <s v="Refaturamento - 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-1.4E-2"/>
    <n v="-1.4E-2"/>
    <n v="-1.4E-2"/>
    <n v="-1.4E-2"/>
    <m/>
    <n v="667.62"/>
    <n v="252.22"/>
    <m/>
    <n v="-12.877760000000002"/>
    <n v="-12.877760000000002"/>
    <n v="-8.5202600000000004"/>
    <n v="0"/>
    <n v="0"/>
    <n v="0"/>
    <n v="0"/>
    <n v="0"/>
    <n v="-1.72896613254729"/>
    <n v="-7.0978287807494063"/>
    <n v="-3.5311187446774261"/>
    <n v="0"/>
    <n v="0"/>
    <n v="0"/>
    <n v="0"/>
    <n v="0"/>
    <n v="0"/>
    <m/>
    <n v="-3.28061795485639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8711947146195483"/>
    <n v="0"/>
    <n v="0"/>
    <n v="0"/>
    <n v="-1.71"/>
    <n v="0"/>
    <m/>
    <m/>
    <m/>
    <m/>
    <m/>
    <m/>
    <m/>
    <n v="-3.4081600000000001"/>
    <m/>
    <n v="-4.0182382161393813"/>
    <m/>
    <m/>
    <m/>
    <m/>
    <m/>
    <m/>
    <m/>
    <m/>
    <m/>
    <m/>
    <m/>
    <m/>
    <n v="-3.6515"/>
    <n v="4.0451000000000015"/>
    <m/>
    <m/>
    <m/>
    <m/>
    <n v="4.3574999999999999"/>
    <n v="0"/>
    <n v="31"/>
    <n v="5.5089149023581641E-3"/>
    <n v="0"/>
    <n v="0"/>
    <n v="0"/>
    <n v="0"/>
    <n v="0"/>
    <n v="0"/>
    <n v="0"/>
    <n v="4.4435952167460879E-3"/>
    <n v="0"/>
    <n v="0"/>
    <n v="4.9504000898537015E-10"/>
    <n v="0"/>
    <n v="0"/>
    <n v="0"/>
    <n v="6.8290650911961848E-11"/>
    <n v="0"/>
    <n v="0"/>
    <m/>
    <n v="0"/>
    <n v="0"/>
    <n v="0"/>
    <n v="0"/>
    <n v="0"/>
    <n v="1.0653191222806946E-3"/>
    <n v="0"/>
    <n v="0"/>
    <m/>
    <m/>
    <m/>
    <n v="-7.0978287807494063"/>
    <n v="0"/>
    <n v="0"/>
    <n v="4.3575000000000008"/>
    <n v="0"/>
    <n v="0"/>
    <n v="0"/>
    <n v="4.351999092393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4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158"/>
    <n v="-0.53720000000000001"/>
    <n v="0.158"/>
    <n v="-0.53720000000000001"/>
    <m/>
    <n v="667.62"/>
    <n v="252.22"/>
    <m/>
    <n v="145.33472"/>
    <n v="145.33472"/>
    <n v="96.157219999999995"/>
    <n v="0"/>
    <n v="0"/>
    <n v="0"/>
    <n v="0"/>
    <n v="0"/>
    <n v="19.51261778160513"/>
    <n v="80.104067668457589"/>
    <n v="39.851197261359523"/>
    <n v="0"/>
    <n v="0"/>
    <n v="0"/>
    <n v="0"/>
    <n v="0"/>
    <n v="0"/>
    <m/>
    <n v="0.37024116919093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974911779277758"/>
    <n v="0"/>
    <n v="0"/>
    <n v="0"/>
    <n v="54.97"/>
    <n v="2"/>
    <m/>
    <m/>
    <m/>
    <m/>
    <m/>
    <m/>
    <m/>
    <n v="292.31580000000002"/>
    <m/>
    <n v="45.348688439287301"/>
    <m/>
    <m/>
    <m/>
    <m/>
    <m/>
    <m/>
    <m/>
    <m/>
    <m/>
    <m/>
    <m/>
    <m/>
    <n v="-197.18100000000001"/>
    <n v="99.269680000000022"/>
    <m/>
    <m/>
    <m/>
    <m/>
    <n v="-49.177500000000002"/>
    <n v="0"/>
    <n v="31"/>
    <n v="-6.2172039612320873E-2"/>
    <n v="0"/>
    <n v="0"/>
    <n v="0"/>
    <n v="0"/>
    <n v="0"/>
    <n v="0"/>
    <n v="0"/>
    <n v="-5.0149146017563595E-2"/>
    <n v="0"/>
    <n v="0"/>
    <n v="-5.5868838444439461E-9"/>
    <n v="0"/>
    <n v="0"/>
    <n v="0"/>
    <n v="-7.7070883008900637E-10"/>
    <n v="0"/>
    <n v="0"/>
    <m/>
    <n v="0"/>
    <n v="0"/>
    <n v="0"/>
    <n v="0"/>
    <n v="0"/>
    <n v="-1.2022887237167879E-2"/>
    <n v="0"/>
    <n v="0"/>
    <m/>
    <m/>
    <m/>
    <n v="80.104067668457589"/>
    <n v="0"/>
    <n v="0"/>
    <n v="-49.177499999999995"/>
    <n v="0"/>
    <n v="0"/>
    <n v="0"/>
    <n v="-49.115418328438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5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25.114999999999998"/>
    <n v="25.114999999999998"/>
    <n v="25.114999999999998"/>
    <n v="25.114999999999998"/>
    <m/>
    <n v="667.62"/>
    <n v="252.22"/>
    <m/>
    <n v="23101.781599999998"/>
    <n v="23101.781599999998"/>
    <n v="15284.737849999998"/>
    <n v="0"/>
    <n v="0"/>
    <n v="0"/>
    <n v="0"/>
    <n v="0"/>
    <n v="3101.6417442089419"/>
    <n v="12732.99784489438"/>
    <n v="6334.5748051838254"/>
    <n v="0"/>
    <n v="0"/>
    <n v="0"/>
    <n v="0"/>
    <n v="0"/>
    <n v="0"/>
    <m/>
    <n v="58.85194281158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3.85753755478538"/>
    <n v="0"/>
    <n v="0"/>
    <n v="0"/>
    <n v="4584.8100000000004"/>
    <n v="363"/>
    <m/>
    <m/>
    <m/>
    <m/>
    <m/>
    <m/>
    <m/>
    <n v="1528.2477499999998"/>
    <m/>
    <n v="7208.4323427386107"/>
    <m/>
    <m/>
    <m/>
    <m/>
    <m/>
    <m/>
    <m/>
    <m/>
    <m/>
    <m/>
    <m/>
    <m/>
    <n v="13759.228800000001"/>
    <n v="-7032.5050999999949"/>
    <m/>
    <m/>
    <m/>
    <m/>
    <n v="-7817.0437499999998"/>
    <n v="0"/>
    <n v="31"/>
    <n v="-9.8825998409083695"/>
    <n v="0"/>
    <n v="0"/>
    <n v="0"/>
    <n v="0"/>
    <n v="0"/>
    <n v="0"/>
    <n v="0"/>
    <n v="-7.97149241918396"/>
    <n v="0"/>
    <n v="0"/>
    <n v="-8.8806700659915805E-7"/>
    <n v="0"/>
    <n v="0"/>
    <n v="0"/>
    <n v="-1.2250859526830027E-7"/>
    <n v="0"/>
    <n v="0"/>
    <m/>
    <n v="0"/>
    <n v="0"/>
    <n v="0"/>
    <n v="0"/>
    <n v="0"/>
    <n v="-1.9111064111485518"/>
    <n v="0"/>
    <n v="0"/>
    <m/>
    <m/>
    <m/>
    <n v="12732.99784489438"/>
    <n v="0"/>
    <n v="0"/>
    <n v="-7817.0437499999989"/>
    <n v="0"/>
    <n v="0"/>
    <n v="0"/>
    <n v="-7807.1755146755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6"/>
    <s v="Refaturamento - 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-0.12"/>
    <n v="-0.12"/>
    <n v="-0.12"/>
    <n v="-0.12"/>
    <m/>
    <n v="667.62"/>
    <n v="252.22"/>
    <m/>
    <n v="-110.38079999999999"/>
    <n v="-110.38079999999999"/>
    <n v="-73.030799999999999"/>
    <n v="0"/>
    <n v="0"/>
    <n v="0"/>
    <n v="0"/>
    <n v="0"/>
    <n v="-14.819709707548199"/>
    <n v="-60.838532406423475"/>
    <n v="-30.266732097235078"/>
    <n v="0"/>
    <n v="0"/>
    <n v="0"/>
    <n v="0"/>
    <n v="0"/>
    <n v="0"/>
    <m/>
    <n v="-0.28119582470197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1753097553881844"/>
    <n v="0"/>
    <n v="0"/>
    <n v="0"/>
    <n v="-21.91"/>
    <n v="0"/>
    <m/>
    <m/>
    <m/>
    <m/>
    <m/>
    <m/>
    <m/>
    <n v="-7.3019999999999987"/>
    <m/>
    <n v="-34.442041852623262"/>
    <m/>
    <m/>
    <m/>
    <m/>
    <m/>
    <m/>
    <m/>
    <m/>
    <m/>
    <m/>
    <m/>
    <m/>
    <n v="-65.728799999999993"/>
    <n v="33.584399999999988"/>
    <m/>
    <m/>
    <m/>
    <m/>
    <n v="37.35"/>
    <n v="0"/>
    <n v="31"/>
    <n v="4.7219270591632778E-2"/>
    <n v="0"/>
    <n v="0"/>
    <n v="0"/>
    <n v="0"/>
    <n v="0"/>
    <n v="0"/>
    <n v="0"/>
    <n v="3.8087959000680627E-2"/>
    <n v="0"/>
    <n v="0"/>
    <n v="4.2432013458437723E-9"/>
    <n v="0"/>
    <n v="0"/>
    <n v="0"/>
    <n v="5.8534865843284933E-10"/>
    <n v="0"/>
    <n v="0"/>
    <m/>
    <n v="0"/>
    <n v="0"/>
    <n v="0"/>
    <n v="0"/>
    <n v="0"/>
    <n v="9.1313067624059774E-3"/>
    <n v="0"/>
    <n v="0"/>
    <m/>
    <m/>
    <m/>
    <n v="-60.838532406423475"/>
    <n v="0"/>
    <n v="0"/>
    <n v="37.35"/>
    <n v="0"/>
    <n v="0"/>
    <n v="0"/>
    <n v="37.30284936337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7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8.9999999999999993E-3"/>
    <n v="8.9999999999999998E-4"/>
    <n v="8.9999999999999993E-3"/>
    <n v="8.9999999999999998E-4"/>
    <m/>
    <n v="667.62"/>
    <n v="252.22"/>
    <m/>
    <n v="8.2785599999999988"/>
    <n v="8.2785599999999988"/>
    <n v="5.4773099999999992"/>
    <n v="0"/>
    <n v="0"/>
    <n v="0"/>
    <n v="0"/>
    <n v="0"/>
    <n v="1.1114782280661148"/>
    <n v="4.5628899304817603"/>
    <n v="2.2700049072926309"/>
    <n v="0"/>
    <n v="0"/>
    <n v="0"/>
    <n v="0"/>
    <n v="0"/>
    <n v="0"/>
    <m/>
    <n v="2.108968685264825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314823165411382"/>
    <n v="0"/>
    <n v="0"/>
    <n v="0"/>
    <n v="90.63"/>
    <n v="6"/>
    <m/>
    <m/>
    <m/>
    <m/>
    <m/>
    <m/>
    <m/>
    <n v="4.9843440000000001"/>
    <m/>
    <n v="2.5831531389467446"/>
    <m/>
    <m/>
    <m/>
    <m/>
    <m/>
    <m/>
    <m/>
    <m/>
    <m/>
    <m/>
    <m/>
    <m/>
    <n v="0"/>
    <n v="-0.77507400000000004"/>
    <m/>
    <m/>
    <m/>
    <m/>
    <n v="-2.8012499999999996"/>
    <n v="0"/>
    <n v="31"/>
    <n v="-3.5414452943722807E-3"/>
    <n v="0"/>
    <n v="0"/>
    <n v="0"/>
    <n v="0"/>
    <n v="0"/>
    <n v="0"/>
    <n v="0"/>
    <n v="-2.8565969250509138E-3"/>
    <n v="0"/>
    <n v="0"/>
    <n v="-3.1824010093828292E-10"/>
    <n v="0"/>
    <n v="0"/>
    <n v="0"/>
    <n v="-4.3901160484693946E-11"/>
    <n v="0"/>
    <n v="0"/>
    <m/>
    <n v="0"/>
    <n v="0"/>
    <n v="0"/>
    <n v="0"/>
    <n v="0"/>
    <n v="-6.84848007180449E-4"/>
    <n v="0"/>
    <n v="0"/>
    <m/>
    <m/>
    <m/>
    <n v="4.5628899304817603"/>
    <n v="0"/>
    <n v="0"/>
    <n v="-2.8012499999999996"/>
    <n v="0"/>
    <n v="0"/>
    <n v="0"/>
    <n v="-2.7977137022528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8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6.0679999999999996"/>
    <n v="6.0679999999999996"/>
    <n v="6.0679999999999996"/>
    <n v="6.0679999999999996"/>
    <m/>
    <n v="667.62"/>
    <n v="252.22"/>
    <m/>
    <n v="5581.5891199999996"/>
    <n v="5581.5891199999996"/>
    <n v="3692.9241199999997"/>
    <n v="0"/>
    <n v="0"/>
    <n v="0"/>
    <n v="0"/>
    <n v="0"/>
    <n v="749.38332087835386"/>
    <n v="3076.4017886848137"/>
    <n v="1530.4877530501872"/>
    <n v="0"/>
    <n v="0"/>
    <n v="0"/>
    <n v="0"/>
    <n v="0"/>
    <n v="0"/>
    <m/>
    <n v="14.219135535763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13149663079585"/>
    <n v="0"/>
    <n v="0"/>
    <n v="0"/>
    <n v="1230.6300000000001"/>
    <n v="66"/>
    <m/>
    <m/>
    <m/>
    <m/>
    <m/>
    <m/>
    <m/>
    <m/>
    <m/>
    <n v="1741.6192496809831"/>
    <m/>
    <m/>
    <m/>
    <m/>
    <m/>
    <m/>
    <m/>
    <m/>
    <m/>
    <m/>
    <m/>
    <m/>
    <n v="3694.1413000000002"/>
    <n v="-1887.4778200000001"/>
    <m/>
    <m/>
    <m/>
    <m/>
    <n v="-1888.665"/>
    <n v="0"/>
    <n v="31"/>
    <n v="-2.3877211162507592"/>
    <n v="0"/>
    <n v="0"/>
    <n v="0"/>
    <n v="0"/>
    <n v="0"/>
    <n v="0"/>
    <n v="0"/>
    <n v="-1.925981126801048"/>
    <n v="0"/>
    <n v="0"/>
    <n v="-2.1456457943713758E-7"/>
    <n v="0"/>
    <n v="0"/>
    <n v="0"/>
    <n v="-2.9599135586977354E-8"/>
    <n v="0"/>
    <n v="0"/>
    <m/>
    <n v="0"/>
    <n v="0"/>
    <n v="0"/>
    <n v="0"/>
    <n v="0"/>
    <n v="-0.4617397452856622"/>
    <n v="0"/>
    <n v="0"/>
    <m/>
    <m/>
    <m/>
    <n v="3076.4017886848137"/>
    <n v="0"/>
    <n v="0"/>
    <n v="-1888.665"/>
    <n v="0"/>
    <n v="0"/>
    <n v="0"/>
    <n v="-1886.2807494744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19"/>
    <s v="Refaturamento - 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-0.46600000000000003"/>
    <n v="-0.46600000000000003"/>
    <n v="-0.46600000000000003"/>
    <n v="-0.46600000000000003"/>
    <m/>
    <n v="667.62"/>
    <n v="252.22"/>
    <m/>
    <n v="-428.64544000000001"/>
    <n v="-428.64544000000001"/>
    <n v="-283.60293999999999"/>
    <n v="0"/>
    <n v="0"/>
    <n v="0"/>
    <n v="0"/>
    <n v="0"/>
    <n v="-57.549872697645512"/>
    <n v="-236.25630084494452"/>
    <n v="-117.5358096442629"/>
    <n v="0"/>
    <n v="0"/>
    <n v="0"/>
    <n v="0"/>
    <n v="0"/>
    <n v="0"/>
    <m/>
    <n v="-1.0919771192593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214119550090782"/>
    <n v="0"/>
    <n v="0"/>
    <n v="0"/>
    <n v="-94.53"/>
    <n v="0"/>
    <m/>
    <m/>
    <m/>
    <m/>
    <m/>
    <m/>
    <m/>
    <m/>
    <m/>
    <n v="-133.74992919435368"/>
    <m/>
    <m/>
    <m/>
    <m/>
    <m/>
    <m/>
    <m/>
    <m/>
    <m/>
    <m/>
    <m/>
    <m/>
    <n v="-286.03729999999996"/>
    <n v="142.57814000000008"/>
    <m/>
    <m/>
    <m/>
    <m/>
    <n v="145.04250000000002"/>
    <n v="0"/>
    <n v="31"/>
    <n v="0.18336816746420936"/>
    <n v="0"/>
    <n v="0"/>
    <n v="0"/>
    <n v="0"/>
    <n v="0"/>
    <n v="0"/>
    <n v="0"/>
    <n v="0.14790824078597353"/>
    <n v="0"/>
    <n v="0"/>
    <n v="1.6477756048516312E-8"/>
    <n v="0"/>
    <n v="0"/>
    <n v="0"/>
    <n v="2.2731008186838153E-9"/>
    <n v="0"/>
    <n v="0"/>
    <m/>
    <n v="0"/>
    <n v="0"/>
    <n v="0"/>
    <n v="0"/>
    <n v="0"/>
    <n v="3.5459907927343215E-2"/>
    <n v="0"/>
    <n v="0"/>
    <m/>
    <m/>
    <m/>
    <n v="-236.25630084494452"/>
    <n v="0"/>
    <n v="0"/>
    <n v="145.04250000000002"/>
    <n v="0"/>
    <n v="0"/>
    <n v="0"/>
    <n v="144.8593983610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0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3.8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21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1.818999999999999"/>
    <n v="21.818999999999999"/>
    <n v="21.818999999999999"/>
    <n v="21.818999999999999"/>
    <m/>
    <n v="739.04"/>
    <n v="252.22"/>
    <m/>
    <n v="21628.301939999998"/>
    <n v="21628.301939999998"/>
    <n v="14792.62743"/>
    <n v="0"/>
    <n v="1349.5740243660975"/>
    <n v="0"/>
    <n v="0"/>
    <n v="0"/>
    <n v="2694.5937175749514"/>
    <n v="11061.966154797949"/>
    <n v="5503.2485635797684"/>
    <n v="0"/>
    <n v="0"/>
    <n v="0"/>
    <n v="0"/>
    <n v="0"/>
    <n v="208.61209576568007"/>
    <m/>
    <n v="51.128430826436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9.17569627345654"/>
    <n v="0"/>
    <n v="0"/>
    <n v="0"/>
    <n v="3066.15"/>
    <n v="14"/>
    <m/>
    <m/>
    <m/>
    <m/>
    <m/>
    <m/>
    <m/>
    <m/>
    <m/>
    <n v="6262.4242598532246"/>
    <m/>
    <m/>
    <m/>
    <m/>
    <m/>
    <m/>
    <m/>
    <m/>
    <m/>
    <m/>
    <m/>
    <m/>
    <n v="14793.305400000001"/>
    <n v="-6835.0265399999953"/>
    <m/>
    <m/>
    <m/>
    <m/>
    <n v="-6835.6745099999989"/>
    <n v="0"/>
    <n v="31"/>
    <n v="-53.06810481588218"/>
    <n v="0"/>
    <n v="0"/>
    <n v="0"/>
    <n v="0"/>
    <n v="0"/>
    <n v="0"/>
    <n v="0"/>
    <n v="-6.9253431452989389"/>
    <n v="0"/>
    <n v="0"/>
    <n v="-7.7152071753516793E-7"/>
    <n v="0"/>
    <n v="0"/>
    <n v="0"/>
    <n v="-1.0643088899087161E-7"/>
    <n v="0"/>
    <n v="-39.241684068668292"/>
    <m/>
    <n v="0"/>
    <n v="0"/>
    <n v="0"/>
    <n v="0"/>
    <n v="-5.2407768718884711"/>
    <n v="-1.6602998520744663"/>
    <n v="0"/>
    <n v="0"/>
    <m/>
    <m/>
    <m/>
    <n v="11061.966154797949"/>
    <n v="0"/>
    <n v="0"/>
    <n v="-6835.6745099999989"/>
    <n v="0"/>
    <n v="0"/>
    <n v="0"/>
    <n v="-6782.5905854949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2"/>
    <s v="Refaturamento - Regular"/>
    <s v="Convencional"/>
    <s v="B3"/>
    <s v="Industrial"/>
    <s v="Não se aplica"/>
    <s v="Não se aplica"/>
    <s v="Não se aplica"/>
    <s v="Não se aplica"/>
    <s v="CATIVO"/>
    <x v="10"/>
    <n v="0"/>
    <n v="0"/>
    <n v="-3.6619999999999999"/>
    <n v="-3.6619999999999999"/>
    <n v="-3.6619999999999999"/>
    <n v="-3.6619999999999999"/>
    <m/>
    <n v="739.04"/>
    <n v="252.22"/>
    <m/>
    <n v="-3629.9941199999998"/>
    <n v="-3629.9941199999998"/>
    <n v="-2482.7261399999998"/>
    <n v="0"/>
    <n v="-226.50625955491313"/>
    <n v="0"/>
    <n v="0"/>
    <n v="0"/>
    <n v="-452.24814124201254"/>
    <n v="-1856.5892139360233"/>
    <n v="-923.63977450062384"/>
    <n v="0"/>
    <n v="0"/>
    <n v="0"/>
    <n v="0"/>
    <n v="0"/>
    <n v="-35.012488871805331"/>
    <m/>
    <n v="-8.5811592504886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7.41653603526275"/>
    <n v="0"/>
    <n v="0"/>
    <n v="0"/>
    <n v="-615.01"/>
    <n v="0"/>
    <m/>
    <m/>
    <m/>
    <m/>
    <m/>
    <m/>
    <m/>
    <m/>
    <m/>
    <n v="-1051.0563105358865"/>
    <m/>
    <m/>
    <m/>
    <m/>
    <m/>
    <m/>
    <m/>
    <m/>
    <m/>
    <m/>
    <m/>
    <m/>
    <n v="-2481.3702000000003"/>
    <n v="1148.5939199999989"/>
    <m/>
    <m/>
    <m/>
    <m/>
    <n v="1147.2679799999999"/>
    <n v="0"/>
    <n v="31"/>
    <n v="8.9067051576951144"/>
    <n v="0"/>
    <n v="0"/>
    <n v="0"/>
    <n v="0"/>
    <n v="0"/>
    <n v="0"/>
    <n v="0"/>
    <n v="1.1623175488373931"/>
    <n v="0"/>
    <n v="0"/>
    <n v="1.2948839867021888E-7"/>
    <n v="0"/>
    <n v="0"/>
    <n v="0"/>
    <n v="1.7862873846752336E-8"/>
    <n v="0"/>
    <n v="6.5861426765417264"/>
    <m/>
    <n v="0"/>
    <n v="0"/>
    <n v="0"/>
    <n v="0"/>
    <n v="0.87958774026562025"/>
    <n v="0.27865704469942187"/>
    <n v="0"/>
    <n v="0"/>
    <m/>
    <m/>
    <m/>
    <n v="-1856.5892139360233"/>
    <n v="0"/>
    <n v="0"/>
    <n v="1147.2679799999999"/>
    <n v="0"/>
    <n v="0"/>
    <n v="0"/>
    <n v="1138.3586197388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3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5.0339999999999998"/>
    <n v="5.0339999999999998"/>
    <n v="5.0339999999999998"/>
    <n v="5.0339999999999998"/>
    <m/>
    <n v="739.04"/>
    <n v="252.22"/>
    <m/>
    <n v="4990.0028399999992"/>
    <n v="4990.0028399999992"/>
    <n v="3412.9009799999999"/>
    <n v="0"/>
    <n v="311.36879044222627"/>
    <n v="0"/>
    <n v="0"/>
    <n v="0"/>
    <n v="621.68682223164694"/>
    <n v="2552.176434449465"/>
    <n v="1269.6894114790116"/>
    <n v="0"/>
    <n v="0"/>
    <n v="0"/>
    <n v="0"/>
    <n v="0"/>
    <n v="48.130220912252327"/>
    <m/>
    <n v="11.796164846247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15424423853432"/>
    <n v="0"/>
    <n v="0"/>
    <n v="0"/>
    <n v="2277.64"/>
    <n v="11"/>
    <m/>
    <m/>
    <m/>
    <m/>
    <m/>
    <m/>
    <m/>
    <m/>
    <m/>
    <n v="1444.843655717546"/>
    <m/>
    <m/>
    <m/>
    <m/>
    <m/>
    <m/>
    <m/>
    <m/>
    <m/>
    <m/>
    <m/>
    <m/>
    <n v="3410.1891000000001"/>
    <n v="-1579.8437399999998"/>
    <m/>
    <m/>
    <m/>
    <m/>
    <n v="-1577.1018599999998"/>
    <n v="0"/>
    <n v="31"/>
    <n v="-12.243679345669079"/>
    <n v="0"/>
    <n v="0"/>
    <n v="0"/>
    <n v="0"/>
    <n v="0"/>
    <n v="0"/>
    <n v="0"/>
    <n v="-1.5977898800784942"/>
    <n v="0"/>
    <n v="0"/>
    <n v="-1.7800243767851498E-7"/>
    <n v="0"/>
    <n v="0"/>
    <n v="0"/>
    <n v="-2.4555362188038998E-8"/>
    <n v="0"/>
    <n v="-9.0536980430669018"/>
    <m/>
    <n v="0"/>
    <n v="0"/>
    <n v="0"/>
    <n v="0"/>
    <n v="-1.2091329012826719"/>
    <n v="-0.38305831868293261"/>
    <n v="0"/>
    <n v="0"/>
    <m/>
    <m/>
    <m/>
    <n v="2552.176434449465"/>
    <n v="0"/>
    <n v="0"/>
    <n v="-1577.1018599999998"/>
    <n v="0"/>
    <n v="0"/>
    <n v="0"/>
    <n v="-1564.85453079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4"/>
    <s v="Regular"/>
    <s v="Verde"/>
    <s v="A4"/>
    <s v="Industrial"/>
    <s v="Não se aplica"/>
    <s v="Não se aplica"/>
    <s v="Não se aplica"/>
    <s v="Ponta"/>
    <s v="CATIVO"/>
    <x v="10"/>
    <n v="0"/>
    <n v="0"/>
    <n v="49.643000000000001"/>
    <n v="49.643000000000001"/>
    <n v="49.643000000000001"/>
    <n v="49.643000000000001"/>
    <m/>
    <n v="2641.06"/>
    <n v="252.22"/>
    <m/>
    <n v="143631.09904"/>
    <n v="143631.09904"/>
    <n v="85253.909620000006"/>
    <n v="0"/>
    <n v="2671.4013412025015"/>
    <n v="0"/>
    <n v="0"/>
    <n v="0"/>
    <n v="32157.096711339342"/>
    <n v="94921.900783382007"/>
    <n v="12521.094845858675"/>
    <n v="0"/>
    <n v="0"/>
    <n v="0"/>
    <n v="0"/>
    <n v="0"/>
    <n v="474.63817178127579"/>
    <m/>
    <n v="119.4363983908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5.63610928759988"/>
    <n v="0"/>
    <n v="0"/>
    <n v="0"/>
    <n v="0"/>
    <n v="0"/>
    <m/>
    <m/>
    <m/>
    <m/>
    <m/>
    <m/>
    <m/>
    <m/>
    <m/>
    <n v="13286.730955146275"/>
    <m/>
    <m/>
    <m/>
    <m/>
    <m/>
    <m/>
    <m/>
    <m/>
    <m/>
    <m/>
    <m/>
    <m/>
    <n v="85248.757599999997"/>
    <n v="-58382.371440000032"/>
    <m/>
    <m/>
    <m/>
    <m/>
    <n v="-58377.189420000002"/>
    <n v="0"/>
    <n v="31"/>
    <n v="-176.12553410891996"/>
    <n v="0"/>
    <n v="0"/>
    <n v="0"/>
    <n v="0"/>
    <n v="0"/>
    <n v="0"/>
    <n v="0"/>
    <n v="-82.64657036432618"/>
    <n v="0"/>
    <n v="0"/>
    <n v="-1.7553757061250508E-6"/>
    <n v="0"/>
    <n v="0"/>
    <n v="0"/>
    <n v="-1.0733799626905238E-7"/>
    <n v="0"/>
    <n v="-77.676574652009094"/>
    <m/>
    <n v="0"/>
    <n v="0"/>
    <n v="0"/>
    <n v="0"/>
    <n v="-11.923914306391623"/>
    <n v="-3.878472923484523"/>
    <n v="0"/>
    <n v="0"/>
    <m/>
    <m/>
    <m/>
    <n v="94921.900783382007"/>
    <n v="0"/>
    <n v="0"/>
    <n v="-58377.189419999995"/>
    <n v="0"/>
    <n v="0"/>
    <n v="0"/>
    <n v="-58200.90041872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5"/>
    <s v="Refaturamento - Regular"/>
    <s v="Verde"/>
    <s v="A4"/>
    <s v="Industrial"/>
    <s v="Não se aplica"/>
    <s v="Não se aplica"/>
    <s v="Não se aplica"/>
    <s v="Ponta"/>
    <s v="CATIVO"/>
    <x v="10"/>
    <n v="0"/>
    <n v="0"/>
    <n v="-4.9020000000000001"/>
    <n v="-4.9020000000000001"/>
    <n v="-4.9020000000000001"/>
    <n v="-4.9020000000000001"/>
    <m/>
    <n v="2641.06"/>
    <n v="252.22"/>
    <m/>
    <n v="-14182.858559999999"/>
    <n v="-14182.858559999999"/>
    <n v="-8418.4006799999988"/>
    <n v="0"/>
    <n v="-263.7876311781049"/>
    <n v="0"/>
    <n v="0"/>
    <n v="0"/>
    <n v="-3175.3537876233399"/>
    <n v="-9373.0668501125765"/>
    <n v="-1236.3960061720531"/>
    <n v="0"/>
    <n v="0"/>
    <n v="0"/>
    <n v="0"/>
    <n v="0"/>
    <n v="-46.868165059964426"/>
    <m/>
    <n v="-11.793751886706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5.602767917487157"/>
    <n v="0"/>
    <n v="0"/>
    <n v="0"/>
    <n v="0"/>
    <n v="0"/>
    <m/>
    <m/>
    <m/>
    <m/>
    <m/>
    <m/>
    <m/>
    <m/>
    <m/>
    <n v="-1311.9987740895403"/>
    <m/>
    <m/>
    <m/>
    <m/>
    <m/>
    <m/>
    <m/>
    <m/>
    <m/>
    <m/>
    <m/>
    <m/>
    <n v="-8414.9660000000003"/>
    <n v="5767.8625599999978"/>
    <m/>
    <m/>
    <m/>
    <m/>
    <n v="5764.4578800000008"/>
    <n v="0"/>
    <n v="31"/>
    <n v="17.391522837097909"/>
    <n v="0"/>
    <n v="0"/>
    <n v="0"/>
    <n v="0"/>
    <n v="0"/>
    <n v="0"/>
    <n v="0"/>
    <n v="8.1609388619935999"/>
    <n v="0"/>
    <n v="0"/>
    <n v="1.7333491086901631E-7"/>
    <n v="0"/>
    <n v="0"/>
    <n v="0"/>
    <n v="1.0599094935059838E-8"/>
    <n v="0"/>
    <n v="7.6701764386549485"/>
    <m/>
    <n v="0"/>
    <n v="0"/>
    <n v="0"/>
    <n v="0"/>
    <n v="1.1774273901644108"/>
    <n v="0.38297996234959797"/>
    <n v="0"/>
    <n v="0"/>
    <m/>
    <m/>
    <m/>
    <n v="-9373.0668501125765"/>
    <n v="0"/>
    <n v="0"/>
    <n v="5764.4578799999999"/>
    <n v="0"/>
    <n v="0"/>
    <n v="0"/>
    <n v="5747.050215590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6"/>
    <s v="Regular"/>
    <s v="Verde"/>
    <s v="A4"/>
    <s v="Industrial"/>
    <s v="Não se aplica"/>
    <s v="Não se aplica"/>
    <s v="Não se aplica"/>
    <s v="Fora ponta"/>
    <s v="CATIVO"/>
    <x v="10"/>
    <n v="0"/>
    <n v="0"/>
    <n v="661.17499999999995"/>
    <n v="661.17499999999995"/>
    <n v="661.17499999999995"/>
    <n v="661.17499999999995"/>
    <m/>
    <n v="81.2"/>
    <n v="252.22"/>
    <m/>
    <n v="220448.96849999999"/>
    <n v="220448.96849999999"/>
    <n v="219205.95949999997"/>
    <n v="0"/>
    <n v="35579.311922518056"/>
    <n v="0"/>
    <n v="0"/>
    <n v="0"/>
    <n v="0"/>
    <n v="0"/>
    <n v="166763.38828657835"/>
    <n v="0"/>
    <n v="0"/>
    <n v="0"/>
    <n v="0"/>
    <n v="0"/>
    <n v="6321.513470730717"/>
    <m/>
    <n v="1590.7249905534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97.197078303665"/>
    <n v="0"/>
    <n v="0"/>
    <n v="0"/>
    <n v="0"/>
    <n v="0"/>
    <m/>
    <m/>
    <m/>
    <m/>
    <m/>
    <m/>
    <m/>
    <m/>
    <m/>
    <n v="176960.58536488202"/>
    <m/>
    <m/>
    <m/>
    <m/>
    <m/>
    <m/>
    <m/>
    <m/>
    <m/>
    <m/>
    <m/>
    <m/>
    <n v="219207.61719999998"/>
    <n v="-1241.3813000000082"/>
    <m/>
    <m/>
    <m/>
    <m/>
    <n v="-1243.0090000000064"/>
    <n v="0"/>
    <n v="31"/>
    <n v="-1245.0084373192221"/>
    <n v="0"/>
    <n v="0"/>
    <n v="0"/>
    <n v="0"/>
    <n v="0"/>
    <n v="0"/>
    <n v="0"/>
    <n v="0"/>
    <n v="0"/>
    <n v="0"/>
    <n v="-2.3379165213555098E-5"/>
    <n v="0"/>
    <n v="0"/>
    <n v="0"/>
    <n v="-1.4295928849605843E-6"/>
    <n v="0"/>
    <n v="-1034.5428206502838"/>
    <m/>
    <n v="0"/>
    <n v="0"/>
    <n v="0"/>
    <n v="0"/>
    <n v="-158.80978267889714"/>
    <n v="-51.655809181251698"/>
    <n v="0"/>
    <n v="0"/>
    <m/>
    <m/>
    <m/>
    <n v="0"/>
    <n v="0"/>
    <n v="0"/>
    <n v="-1243.00900000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7"/>
    <s v="Refaturamento - Regular"/>
    <s v="Verde"/>
    <s v="A4"/>
    <s v="Industrial"/>
    <s v="Não se aplica"/>
    <s v="Não se aplica"/>
    <s v="Não se aplica"/>
    <s v="Fora ponta"/>
    <s v="CATIVO"/>
    <x v="10"/>
    <n v="0"/>
    <n v="0"/>
    <n v="-65.236999999999995"/>
    <n v="-65.236999999999995"/>
    <n v="-65.236999999999995"/>
    <n v="-65.236999999999995"/>
    <m/>
    <n v="81.2"/>
    <n v="252.22"/>
    <m/>
    <n v="-21751.320539999997"/>
    <n v="-21751.320539999997"/>
    <n v="-21628.674979999996"/>
    <n v="0"/>
    <n v="-3510.5495094177945"/>
    <n v="0"/>
    <n v="0"/>
    <n v="0"/>
    <n v="0"/>
    <n v="0"/>
    <n v="-16454.256681894374"/>
    <n v="0"/>
    <n v="0"/>
    <n v="0"/>
    <n v="0"/>
    <n v="0"/>
    <n v="-623.73286087656038"/>
    <m/>
    <n v="-156.95409870115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06.1398960899855"/>
    <n v="0"/>
    <n v="0"/>
    <n v="0"/>
    <n v="0"/>
    <n v="0"/>
    <m/>
    <m/>
    <m/>
    <m/>
    <m/>
    <m/>
    <m/>
    <m/>
    <m/>
    <n v="-17460.39657798436"/>
    <m/>
    <m/>
    <m/>
    <m/>
    <m/>
    <m/>
    <m/>
    <m/>
    <m/>
    <m/>
    <m/>
    <m/>
    <n v="-21629.669600000001"/>
    <n v="121.62093999999706"/>
    <m/>
    <m/>
    <m/>
    <m/>
    <n v="122.64556000000061"/>
    <n v="0"/>
    <n v="31"/>
    <n v="122.84284104116159"/>
    <n v="0"/>
    <n v="0"/>
    <n v="0"/>
    <n v="0"/>
    <n v="0"/>
    <n v="0"/>
    <n v="0"/>
    <n v="0"/>
    <n v="0"/>
    <n v="0"/>
    <n v="2.3067805159371346E-6"/>
    <n v="0"/>
    <n v="0"/>
    <n v="0"/>
    <n v="1.4105535228736699E-7"/>
    <n v="0"/>
    <n v="102.07656065453557"/>
    <m/>
    <n v="0"/>
    <n v="0"/>
    <n v="0"/>
    <n v="0"/>
    <n v="15.669488097134945"/>
    <n v="5.09678984165663"/>
    <n v="0"/>
    <n v="0"/>
    <m/>
    <m/>
    <m/>
    <n v="0"/>
    <n v="0"/>
    <n v="0"/>
    <n v="122.6455600000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28"/>
    <s v="Regular"/>
    <s v="Verde"/>
    <s v="A4"/>
    <s v="Industrial"/>
    <s v="Não se aplica"/>
    <s v="Não se aplica"/>
    <s v="Não se aplica"/>
    <s v="Não se aplica"/>
    <s v="CATIVO"/>
    <x v="10"/>
    <n v="3351"/>
    <n v="3351"/>
    <n v="0"/>
    <n v="0"/>
    <n v="0"/>
    <n v="0"/>
    <n v="74.44"/>
    <m/>
    <m/>
    <n v="249448.44"/>
    <m/>
    <n v="249448.44"/>
    <n v="152202.42000000001"/>
    <n v="0"/>
    <n v="0"/>
    <n v="0"/>
    <n v="0"/>
    <n v="0"/>
    <n v="91204.47706954398"/>
    <n v="158239.373617431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3515.13"/>
    <n v="12"/>
    <m/>
    <m/>
    <m/>
    <m/>
    <m/>
    <m/>
    <m/>
    <m/>
    <m/>
    <n v="0"/>
    <m/>
    <m/>
    <m/>
    <m/>
    <m/>
    <m/>
    <m/>
    <m/>
    <m/>
    <m/>
    <m/>
    <m/>
    <n v="152202.42000000001"/>
    <n v="-97246.050000000017"/>
    <m/>
    <m/>
    <m/>
    <m/>
    <n v="-97246.01999999999"/>
    <n v="0"/>
    <n v="31"/>
    <n v="-234.40353771147784"/>
    <n v="0"/>
    <n v="0"/>
    <n v="0"/>
    <n v="0"/>
    <m/>
    <m/>
    <m/>
    <n v="-234.403537711477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8239.37361743115"/>
    <m/>
    <n v="0"/>
    <n v="0"/>
    <n v="-97246.01999999999"/>
    <m/>
    <n v="0"/>
    <m/>
    <n v="-97023.70001255950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29"/>
    <s v="Refaturamento - Regular"/>
    <s v="Verde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7272.8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30"/>
    <s v="Sistema de Compensação"/>
    <s v="Verde"/>
    <s v="A4"/>
    <s v="Industrial"/>
    <s v="Não se aplica"/>
    <s v="Não se aplica"/>
    <s v="Não se aplica"/>
    <s v="Não se aplica"/>
    <s v="CATIVO"/>
    <x v="10"/>
    <n v="204"/>
    <n v="204"/>
    <n v="0"/>
    <n v="0"/>
    <n v="0"/>
    <n v="0"/>
    <n v="74.44"/>
    <m/>
    <m/>
    <n v="15185.76"/>
    <m/>
    <n v="15185.76"/>
    <n v="9265.68"/>
    <n v="0"/>
    <n v="0"/>
    <n v="0"/>
    <n v="0"/>
    <n v="0"/>
    <n v="5552.286876212167"/>
    <n v="9633.19373857235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88.46"/>
    <n v="1"/>
    <m/>
    <m/>
    <m/>
    <m/>
    <m/>
    <m/>
    <m/>
    <m/>
    <m/>
    <n v="0"/>
    <m/>
    <m/>
    <m/>
    <m/>
    <m/>
    <m/>
    <m/>
    <m/>
    <m/>
    <m/>
    <m/>
    <m/>
    <n v="9265.68"/>
    <n v="-5920.1100000000006"/>
    <m/>
    <m/>
    <m/>
    <m/>
    <n v="-5920.079999999999"/>
    <n v="0"/>
    <n v="31"/>
    <n v="-14.269866216992341"/>
    <n v="0"/>
    <n v="0"/>
    <n v="0"/>
    <n v="0"/>
    <m/>
    <m/>
    <m/>
    <n v="-14.2698662169923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33.1937385723522"/>
    <m/>
    <n v="0"/>
    <n v="0"/>
    <n v="-5920.08"/>
    <m/>
    <n v="0"/>
    <m/>
    <n v="-5906.545748302637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31"/>
    <s v="Regular"/>
    <s v="Convencional"/>
    <s v="B3"/>
    <s v="Comercial"/>
    <s v="Não se aplica"/>
    <s v="Não se aplica"/>
    <s v="Não se aplica"/>
    <s v="Não se aplica"/>
    <s v="CATIVO"/>
    <x v="10"/>
    <n v="0"/>
    <n v="0"/>
    <n v="400.81599999999997"/>
    <n v="400.81599999999997"/>
    <n v="400.81599999999997"/>
    <n v="400.81599999999997"/>
    <m/>
    <n v="739.04"/>
    <n v="252.22"/>
    <m/>
    <n v="397312.86815999995"/>
    <n v="397312.86815999995"/>
    <n v="271741.22352"/>
    <n v="0"/>
    <n v="24791.734825167139"/>
    <n v="0"/>
    <n v="0"/>
    <n v="0"/>
    <n v="49499.806384505318"/>
    <n v="203208.81004177526"/>
    <n v="101094.92076904479"/>
    <n v="0"/>
    <n v="0"/>
    <n v="0"/>
    <n v="0"/>
    <n v="0"/>
    <n v="3832.2134734138513"/>
    <m/>
    <n v="939.23154728122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46.091290963919"/>
    <n v="0"/>
    <n v="0"/>
    <n v="0"/>
    <n v="92396.04"/>
    <n v="843"/>
    <m/>
    <m/>
    <m/>
    <m/>
    <m/>
    <m/>
    <m/>
    <m/>
    <m/>
    <n v="115041.01206000871"/>
    <m/>
    <m/>
    <m/>
    <m/>
    <m/>
    <m/>
    <m/>
    <m/>
    <m/>
    <m/>
    <m/>
    <m/>
    <n v="271743.93539999996"/>
    <n v="-125568.96276000002"/>
    <m/>
    <m/>
    <m/>
    <m/>
    <n v="-125571.64463999998"/>
    <n v="0"/>
    <n v="31"/>
    <n v="-974.86344469874166"/>
    <n v="0"/>
    <n v="0"/>
    <n v="0"/>
    <n v="0"/>
    <n v="0"/>
    <n v="0"/>
    <n v="0"/>
    <n v="-127.21886145680037"/>
    <n v="0"/>
    <n v="0"/>
    <n v="-1.4172866940498352E-5"/>
    <n v="0"/>
    <n v="0"/>
    <n v="0"/>
    <n v="-1.9551407604012638E-6"/>
    <n v="0"/>
    <n v="-720.87148089589027"/>
    <m/>
    <n v="0"/>
    <n v="0"/>
    <n v="0"/>
    <n v="0"/>
    <n v="-96.273304124058996"/>
    <n v="-30.499782094004331"/>
    <n v="0"/>
    <n v="0"/>
    <m/>
    <m/>
    <m/>
    <n v="203208.81004177526"/>
    <n v="0"/>
    <n v="0"/>
    <n v="-125571.64463999998"/>
    <n v="0"/>
    <n v="0"/>
    <n v="0"/>
    <n v="-124596.4905869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2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85.409000000000006"/>
    <n v="85.409000000000006"/>
    <n v="85.409000000000006"/>
    <n v="85.409000000000006"/>
    <m/>
    <n v="739.04"/>
    <n v="252.22"/>
    <m/>
    <n v="84662.525339999993"/>
    <n v="84662.525339999993"/>
    <n v="57904.739730000001"/>
    <n v="0"/>
    <n v="5282.8162540484918"/>
    <n v="0"/>
    <n v="0"/>
    <n v="0"/>
    <n v="10547.804886766535"/>
    <n v="43301.318452501859"/>
    <n v="21542.094347439594"/>
    <n v="0"/>
    <n v="0"/>
    <n v="0"/>
    <n v="0"/>
    <n v="0"/>
    <n v="816.59794157619376"/>
    <m/>
    <n v="200.13878493309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1.7419241495791"/>
    <n v="0"/>
    <n v="0"/>
    <n v="0"/>
    <n v="29199.17"/>
    <n v="122"/>
    <m/>
    <m/>
    <m/>
    <m/>
    <m/>
    <m/>
    <m/>
    <m/>
    <m/>
    <n v="24513.836271589171"/>
    <m/>
    <m/>
    <m/>
    <m/>
    <m/>
    <m/>
    <m/>
    <m/>
    <m/>
    <m/>
    <m/>
    <m/>
    <n v="57905.417699999991"/>
    <n v="-26757.137640000015"/>
    <m/>
    <m/>
    <m/>
    <m/>
    <n v="-26757.785609999999"/>
    <n v="0"/>
    <n v="31"/>
    <n v="-207.73150759518467"/>
    <n v="0"/>
    <n v="0"/>
    <n v="0"/>
    <n v="0"/>
    <n v="0"/>
    <n v="0"/>
    <n v="0"/>
    <n v="-27.108787419074361"/>
    <n v="0"/>
    <n v="0"/>
    <n v="-3.0200644687283784E-6"/>
    <n v="0"/>
    <n v="0"/>
    <n v="0"/>
    <n v="-4.1661724026198499E-7"/>
    <n v="0"/>
    <n v="-153.6089185856772"/>
    <m/>
    <n v="0"/>
    <n v="0"/>
    <n v="0"/>
    <n v="0"/>
    <n v="-20.514666659843328"/>
    <n v="-6.4991314939194353"/>
    <n v="0"/>
    <n v="0"/>
    <m/>
    <m/>
    <m/>
    <n v="43301.318452501859"/>
    <n v="0"/>
    <n v="0"/>
    <n v="-26757.785609999999"/>
    <n v="0"/>
    <n v="0"/>
    <n v="0"/>
    <n v="-26549.992177301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3"/>
    <s v="Regular"/>
    <s v="Verde"/>
    <s v="A4"/>
    <s v="Comercial"/>
    <s v="Não se aplica"/>
    <s v="Não se aplica"/>
    <s v="Não se aplica"/>
    <s v="Ponta"/>
    <s v="CATIVO"/>
    <x v="10"/>
    <n v="0"/>
    <n v="0"/>
    <n v="37.75"/>
    <n v="37.75"/>
    <n v="37.75"/>
    <n v="37.75"/>
    <m/>
    <n v="2641.06"/>
    <n v="252.22"/>
    <m/>
    <n v="109221.32"/>
    <n v="109221.32"/>
    <n v="64829.584999999999"/>
    <n v="0"/>
    <n v="2031.4122964042147"/>
    <n v="0"/>
    <n v="0"/>
    <n v="0"/>
    <n v="24453.203892856196"/>
    <n v="72181.410361434057"/>
    <n v="9521.4094722552018"/>
    <n v="0"/>
    <n v="0"/>
    <n v="0"/>
    <n v="0"/>
    <n v="0"/>
    <n v="360.92885169597247"/>
    <m/>
    <n v="90.82295669587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21225803450432"/>
    <n v="0"/>
    <n v="0"/>
    <n v="0"/>
    <n v="0"/>
    <n v="0"/>
    <m/>
    <m/>
    <m/>
    <m/>
    <m/>
    <m/>
    <m/>
    <m/>
    <m/>
    <n v="10103.621730289706"/>
    <m/>
    <m/>
    <m/>
    <m/>
    <m/>
    <m/>
    <m/>
    <m/>
    <m/>
    <m/>
    <m/>
    <m/>
    <n v="64829.584999999999"/>
    <n v="-44391.764999999992"/>
    <m/>
    <m/>
    <m/>
    <m/>
    <n v="-44391.735000000001"/>
    <n v="0"/>
    <n v="31"/>
    <n v="-133.93104592010786"/>
    <n v="0"/>
    <n v="0"/>
    <n v="0"/>
    <n v="0"/>
    <n v="0"/>
    <n v="0"/>
    <n v="0"/>
    <n v="-62.846887401112326"/>
    <n v="0"/>
    <n v="0"/>
    <n v="-1.3348399079404771E-6"/>
    <n v="0"/>
    <n v="0"/>
    <n v="0"/>
    <n v="-8.1623056757962331E-8"/>
    <n v="0"/>
    <n v="-59.067556213632088"/>
    <m/>
    <n v="0"/>
    <n v="0"/>
    <n v="0"/>
    <n v="0"/>
    <n v="-9.0672957932897589"/>
    <n v="-2.9493050956134965"/>
    <n v="0"/>
    <n v="0"/>
    <m/>
    <m/>
    <m/>
    <n v="72181.410361434057"/>
    <n v="0"/>
    <n v="0"/>
    <n v="-44391.735000000001"/>
    <n v="0"/>
    <n v="0"/>
    <n v="0"/>
    <n v="-44257.67964882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4"/>
    <s v="Sistema de Compensação"/>
    <s v="Verde"/>
    <s v="A4"/>
    <s v="Comercial"/>
    <s v="Não se aplica"/>
    <s v="Não se aplica"/>
    <s v="Não se aplica"/>
    <s v="Ponta"/>
    <s v="CATIVO"/>
    <x v="10"/>
    <n v="0"/>
    <n v="0"/>
    <n v="6.29"/>
    <n v="6.29"/>
    <n v="6.29"/>
    <n v="6.29"/>
    <m/>
    <n v="2641.06"/>
    <n v="252.22"/>
    <m/>
    <n v="18198.731200000002"/>
    <n v="18198.731200000002"/>
    <n v="10802.068599999999"/>
    <n v="0"/>
    <n v="338.47902899026519"/>
    <n v="0"/>
    <n v="0"/>
    <n v="0"/>
    <n v="4074.4543704918005"/>
    <n v="12027.048243004509"/>
    <n v="1586.4812074300721"/>
    <n v="0"/>
    <n v="0"/>
    <n v="0"/>
    <n v="0"/>
    <n v="0"/>
    <n v="60.138873567355411"/>
    <m/>
    <n v="15.133149605748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009671603629982"/>
    <n v="0"/>
    <n v="0"/>
    <n v="0"/>
    <n v="0"/>
    <n v="0"/>
    <m/>
    <m/>
    <m/>
    <m/>
    <m/>
    <m/>
    <m/>
    <m/>
    <m/>
    <n v="1683.4908790337022"/>
    <m/>
    <m/>
    <m/>
    <m/>
    <m/>
    <m/>
    <m/>
    <m/>
    <m/>
    <m/>
    <m/>
    <m/>
    <n v="10802.068599999999"/>
    <n v="-7396.6925999999985"/>
    <m/>
    <m/>
    <m/>
    <m/>
    <n v="-7396.6626000000006"/>
    <n v="0"/>
    <n v="31"/>
    <n v="-22.315927916224609"/>
    <n v="0"/>
    <n v="0"/>
    <n v="0"/>
    <n v="0"/>
    <n v="0"/>
    <n v="0"/>
    <n v="0"/>
    <n v="-10.471706536503007"/>
    <n v="0"/>
    <n v="0"/>
    <n v="-2.2241442820813973E-7"/>
    <n v="0"/>
    <n v="0"/>
    <n v="0"/>
    <n v="-1.3600228498944489E-8"/>
    <n v="0"/>
    <n v="-9.8419848631456262"/>
    <m/>
    <n v="0"/>
    <n v="0"/>
    <n v="0"/>
    <n v="0"/>
    <n v="-1.5108156434382138"/>
    <n v="-0.4914206371234151"/>
    <n v="0"/>
    <n v="0"/>
    <m/>
    <m/>
    <m/>
    <n v="12027.048243004509"/>
    <n v="0"/>
    <n v="0"/>
    <n v="-7396.6626000000015"/>
    <n v="0"/>
    <n v="0"/>
    <n v="0"/>
    <n v="-7374.3259600296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5"/>
    <s v="Regular"/>
    <s v="Verde"/>
    <s v="A4"/>
    <s v="Comercial"/>
    <s v="Não se aplica"/>
    <s v="Não se aplica"/>
    <s v="Não se aplica"/>
    <s v="Fora ponta"/>
    <s v="CATIVO"/>
    <x v="10"/>
    <n v="0"/>
    <n v="0"/>
    <n v="514.86"/>
    <n v="514.86"/>
    <n v="514.86"/>
    <n v="514.86"/>
    <m/>
    <n v="81.2"/>
    <n v="252.22"/>
    <m/>
    <n v="171664.62119999999"/>
    <n v="171664.62119999999"/>
    <n v="170696.6844"/>
    <n v="0"/>
    <n v="27705.77311064037"/>
    <n v="0"/>
    <n v="0"/>
    <n v="0"/>
    <n v="0"/>
    <n v="0"/>
    <n v="129859.41406318711"/>
    <n v="0"/>
    <n v="0"/>
    <n v="0"/>
    <n v="0"/>
    <n v="0"/>
    <n v="4922.5914856738646"/>
    <m/>
    <n v="1238.7048340247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40.6040575270172"/>
    <n v="0"/>
    <n v="0"/>
    <n v="0"/>
    <n v="0"/>
    <n v="0"/>
    <m/>
    <m/>
    <m/>
    <m/>
    <m/>
    <m/>
    <m/>
    <m/>
    <m/>
    <n v="137800.01812071414"/>
    <m/>
    <m/>
    <m/>
    <m/>
    <m/>
    <m/>
    <m/>
    <m/>
    <m/>
    <m/>
    <m/>
    <m/>
    <n v="170696.6844"/>
    <n v="-967.9668000000238"/>
    <m/>
    <m/>
    <m/>
    <m/>
    <n v="-967.93680000000495"/>
    <n v="0"/>
    <n v="31"/>
    <n v="-969.49377099581761"/>
    <n v="0"/>
    <n v="0"/>
    <n v="0"/>
    <n v="0"/>
    <n v="0"/>
    <n v="0"/>
    <n v="0"/>
    <n v="0"/>
    <n v="0"/>
    <n v="0"/>
    <n v="-1.8205450032837689E-5"/>
    <n v="0"/>
    <n v="0"/>
    <n v="0"/>
    <n v="-1.1132297004223801E-6"/>
    <n v="0"/>
    <n v="-805.60323158014944"/>
    <m/>
    <n v="0"/>
    <n v="0"/>
    <n v="0"/>
    <n v="0"/>
    <n v="-123.66590495716991"/>
    <n v="-40.224615139803063"/>
    <n v="0"/>
    <n v="0"/>
    <m/>
    <m/>
    <m/>
    <n v="0"/>
    <n v="0"/>
    <n v="0"/>
    <n v="-967.9368000000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6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58.043999999999997"/>
    <n v="58.043999999999997"/>
    <n v="58.043999999999997"/>
    <n v="58.043999999999997"/>
    <m/>
    <n v="81.2"/>
    <n v="252.22"/>
    <m/>
    <n v="19353.030480000001"/>
    <n v="19353.030480000001"/>
    <n v="19243.907759999998"/>
    <n v="0"/>
    <n v="3123.4780220526154"/>
    <n v="0"/>
    <n v="0"/>
    <n v="0"/>
    <n v="0"/>
    <n v="0"/>
    <n v="14640.018315432608"/>
    <n v="0"/>
    <n v="0"/>
    <n v="0"/>
    <n v="0"/>
    <n v="0"/>
    <n v="554.96037795605366"/>
    <m/>
    <n v="139.64841585311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5.20339881734481"/>
    <n v="0"/>
    <n v="0"/>
    <n v="0"/>
    <n v="0"/>
    <n v="0"/>
    <m/>
    <m/>
    <m/>
    <m/>
    <m/>
    <m/>
    <m/>
    <m/>
    <m/>
    <n v="15535.221714249952"/>
    <m/>
    <m/>
    <m/>
    <m/>
    <m/>
    <m/>
    <m/>
    <m/>
    <m/>
    <m/>
    <m/>
    <m/>
    <n v="19242.581599999998"/>
    <n v="-110.47887999999875"/>
    <m/>
    <m/>
    <m/>
    <m/>
    <n v="-109.12272000000056"/>
    <n v="0"/>
    <n v="31"/>
    <n v="-109.29824892918987"/>
    <n v="0"/>
    <n v="0"/>
    <n v="0"/>
    <n v="0"/>
    <n v="0"/>
    <n v="0"/>
    <n v="0"/>
    <n v="0"/>
    <n v="0"/>
    <n v="0"/>
    <n v="-2.0524366846075282E-6"/>
    <n v="0"/>
    <n v="0"/>
    <n v="0"/>
    <n v="-1.2550276551337447E-7"/>
    <n v="0"/>
    <n v="-90.821648552690476"/>
    <m/>
    <n v="0"/>
    <n v="0"/>
    <n v="0"/>
    <n v="0"/>
    <n v="-13.941777934456013"/>
    <n v="-4.5348202641004036"/>
    <n v="0"/>
    <n v="0"/>
    <m/>
    <m/>
    <m/>
    <n v="0"/>
    <n v="0"/>
    <n v="0"/>
    <n v="-109.12272000000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37"/>
    <s v="Regular"/>
    <s v="Verde"/>
    <s v="A4"/>
    <s v="Comercial"/>
    <s v="Não se aplica"/>
    <s v="Não se aplica"/>
    <s v="Não se aplica"/>
    <s v="Não se aplica"/>
    <s v="CATIVO"/>
    <x v="10"/>
    <n v="3523"/>
    <n v="3523"/>
    <n v="0"/>
    <n v="0"/>
    <n v="0"/>
    <n v="0"/>
    <n v="74.44"/>
    <m/>
    <m/>
    <n v="262252.12"/>
    <m/>
    <n v="262252.12"/>
    <n v="160014.66"/>
    <n v="0"/>
    <n v="0"/>
    <n v="0"/>
    <n v="0"/>
    <n v="0"/>
    <n v="95885.81698478169"/>
    <n v="166361.478142109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9355.14000000001"/>
    <n v="14"/>
    <m/>
    <m/>
    <m/>
    <m/>
    <m/>
    <m/>
    <m/>
    <m/>
    <m/>
    <n v="0"/>
    <m/>
    <m/>
    <m/>
    <m/>
    <m/>
    <m/>
    <m/>
    <m/>
    <m/>
    <m/>
    <m/>
    <m/>
    <n v="160014.66"/>
    <n v="-102237.49000000002"/>
    <m/>
    <m/>
    <m/>
    <m/>
    <n v="-102237.45999999999"/>
    <n v="0"/>
    <n v="31"/>
    <n v="-246.4349935414939"/>
    <n v="0"/>
    <n v="0"/>
    <n v="0"/>
    <n v="0"/>
    <m/>
    <m/>
    <m/>
    <n v="-246.43499354149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6361.47814210982"/>
    <m/>
    <n v="0"/>
    <n v="0"/>
    <n v="-102237.45999999999"/>
    <m/>
    <n v="0"/>
    <m/>
    <n v="-102003.72878073627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38"/>
    <s v="Sistema de Compensação"/>
    <s v="Verde"/>
    <s v="A4"/>
    <s v="Comercial"/>
    <s v="Não se aplica"/>
    <s v="Não se aplica"/>
    <s v="Não se aplica"/>
    <s v="Não se aplica"/>
    <s v="CATIVO"/>
    <x v="10"/>
    <n v="326"/>
    <n v="326"/>
    <n v="0"/>
    <n v="0"/>
    <n v="0"/>
    <n v="0"/>
    <n v="74.44"/>
    <m/>
    <m/>
    <n v="24267.439999999999"/>
    <m/>
    <n v="24267.439999999999"/>
    <n v="14806.92"/>
    <n v="0"/>
    <n v="0"/>
    <n v="0"/>
    <n v="0"/>
    <n v="0"/>
    <n v="8872.7721649272862"/>
    <n v="15394.2213665420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102.169999999998"/>
    <n v="2"/>
    <m/>
    <m/>
    <m/>
    <m/>
    <m/>
    <m/>
    <m/>
    <m/>
    <m/>
    <n v="0"/>
    <m/>
    <m/>
    <m/>
    <m/>
    <m/>
    <m/>
    <m/>
    <m/>
    <m/>
    <m/>
    <m/>
    <m/>
    <n v="14806.92"/>
    <n v="-9460.5499999999938"/>
    <m/>
    <m/>
    <m/>
    <m/>
    <n v="-9460.5199999999986"/>
    <n v="0"/>
    <n v="31"/>
    <n v="-22.803805817349712"/>
    <n v="0"/>
    <n v="0"/>
    <n v="0"/>
    <n v="0"/>
    <m/>
    <m/>
    <m/>
    <n v="-22.8038058173497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394.221366542093"/>
    <m/>
    <n v="0"/>
    <n v="0"/>
    <n v="-9460.5199999999986"/>
    <m/>
    <n v="0"/>
    <m/>
    <n v="-9438.891735032648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39"/>
    <s v="Regular"/>
    <s v="Convencional"/>
    <s v="B2"/>
    <s v="Rural"/>
    <s v="Não se aplica"/>
    <s v="Não se aplica"/>
    <s v="Não se aplica"/>
    <s v="Não se aplica"/>
    <s v="CATIVO"/>
    <x v="10"/>
    <n v="0"/>
    <n v="0"/>
    <n v="2998.78"/>
    <n v="2998.78"/>
    <n v="2998.78"/>
    <n v="2998.78"/>
    <m/>
    <n v="739.04"/>
    <n v="252.22"/>
    <m/>
    <n v="2972570.6628"/>
    <n v="2972570.6628"/>
    <n v="2033082.8766000001"/>
    <n v="0"/>
    <n v="185484.00901913777"/>
    <n v="0"/>
    <n v="0"/>
    <n v="0"/>
    <n v="370342.07564001158"/>
    <n v="1520344.7850811218"/>
    <n v="756360.59065455513"/>
    <n v="0"/>
    <n v="0"/>
    <n v="0"/>
    <n v="0"/>
    <n v="0"/>
    <n v="28671.423096393333"/>
    <m/>
    <n v="7027.0367933316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340.2949021915"/>
    <n v="0"/>
    <n v="0"/>
    <n v="0"/>
    <n v="103104.28"/>
    <n v="12028"/>
    <m/>
    <m/>
    <m/>
    <m/>
    <m/>
    <n v="243950.75299999991"/>
    <m/>
    <m/>
    <m/>
    <n v="860700.88555674662"/>
    <m/>
    <m/>
    <m/>
    <m/>
    <m/>
    <m/>
    <m/>
    <m/>
    <m/>
    <m/>
    <m/>
    <m/>
    <n v="1789132.1236"/>
    <n v="-826733.68819999974"/>
    <m/>
    <m/>
    <m/>
    <m/>
    <n v="-939487.78619999997"/>
    <n v="0"/>
    <n v="31"/>
    <n v="-7293.6235097742174"/>
    <n v="0"/>
    <n v="0"/>
    <n v="0"/>
    <n v="0"/>
    <n v="0"/>
    <n v="0"/>
    <n v="0"/>
    <n v="-951.81174743379233"/>
    <n v="0"/>
    <n v="0"/>
    <n v="-1.0603689588606358E-4"/>
    <n v="0"/>
    <n v="0"/>
    <n v="0"/>
    <n v="-1.46277598105371E-5"/>
    <n v="0"/>
    <n v="-5393.3350452102022"/>
    <m/>
    <n v="0"/>
    <n v="0"/>
    <n v="0"/>
    <n v="0"/>
    <n v="-720.2867623576567"/>
    <n v="-228.18983410806504"/>
    <n v="0"/>
    <n v="0"/>
    <m/>
    <m/>
    <m/>
    <n v="1520344.7850811218"/>
    <n v="0"/>
    <n v="0"/>
    <n v="-939487.78619999974"/>
    <n v="0"/>
    <n v="0"/>
    <n v="0"/>
    <n v="-932191.9884490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0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3.1880000000000002"/>
    <n v="-3.1880000000000002"/>
    <n v="-3.1880000000000002"/>
    <n v="-3.1880000000000002"/>
    <m/>
    <n v="739.04"/>
    <n v="252.22"/>
    <m/>
    <n v="-3160.13688"/>
    <n v="-3160.13688"/>
    <n v="-2161.3683600000004"/>
    <n v="0"/>
    <n v="-197.18786331541867"/>
    <n v="0"/>
    <n v="0"/>
    <n v="0"/>
    <n v="-393.71028789719719"/>
    <n v="-1616.2770109306505"/>
    <n v="-804.08618271654541"/>
    <n v="0"/>
    <n v="0"/>
    <n v="0"/>
    <n v="0"/>
    <n v="0"/>
    <n v="-30.480561038589677"/>
    <m/>
    <n v="-7.470435742915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0.92406250147944"/>
    <n v="0"/>
    <n v="0"/>
    <n v="0"/>
    <n v="-31.06"/>
    <n v="0"/>
    <m/>
    <m/>
    <m/>
    <m/>
    <m/>
    <n v="-259.34379999999987"/>
    <m/>
    <m/>
    <m/>
    <n v="-915.01024521802481"/>
    <m/>
    <m/>
    <m/>
    <m/>
    <m/>
    <m/>
    <m/>
    <m/>
    <m/>
    <m/>
    <m/>
    <m/>
    <n v="-1903.2178000000001"/>
    <n v="877.6764799999994"/>
    <m/>
    <m/>
    <m/>
    <m/>
    <n v="998.76851999999997"/>
    <n v="0"/>
    <n v="31"/>
    <n v="7.7538438128710823"/>
    <n v="0"/>
    <n v="0"/>
    <n v="0"/>
    <n v="0"/>
    <n v="0"/>
    <n v="0"/>
    <n v="0"/>
    <n v="1.0118701107847414"/>
    <n v="0"/>
    <n v="0"/>
    <n v="1.1272777555859648E-7"/>
    <n v="0"/>
    <n v="0"/>
    <n v="0"/>
    <n v="1.555076778458897E-8"/>
    <n v="0"/>
    <n v="5.7336490586605748"/>
    <m/>
    <n v="0"/>
    <n v="0"/>
    <n v="0"/>
    <n v="0"/>
    <n v="0.76573613215914804"/>
    <n v="0.24258838298791918"/>
    <n v="0"/>
    <n v="0"/>
    <m/>
    <m/>
    <m/>
    <n v="-1616.2770109306505"/>
    <n v="0"/>
    <n v="0"/>
    <n v="998.76851999999963"/>
    <n v="0"/>
    <n v="0"/>
    <n v="0"/>
    <n v="991.0123647535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1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68.28399999999999"/>
    <n v="168.28399999999999"/>
    <n v="168.28399999999999"/>
    <n v="168.28399999999999"/>
    <m/>
    <n v="739.04"/>
    <n v="252.22"/>
    <m/>
    <n v="166813.19783999998"/>
    <n v="166813.19783999998"/>
    <n v="114091.50348"/>
    <n v="0"/>
    <n v="10408.896609213272"/>
    <n v="0"/>
    <n v="0"/>
    <n v="0"/>
    <n v="20782.666903542009"/>
    <n v="85317.929895688067"/>
    <n v="42445.056202092564"/>
    <n v="0"/>
    <n v="0"/>
    <n v="0"/>
    <n v="0"/>
    <n v="0"/>
    <n v="1608.9682352001332"/>
    <m/>
    <n v="394.3396513678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5.3152239645433"/>
    <n v="0"/>
    <n v="0"/>
    <n v="0"/>
    <n v="7901.85"/>
    <n v="954"/>
    <m/>
    <m/>
    <m/>
    <m/>
    <m/>
    <n v="13689.903399999994"/>
    <m/>
    <m/>
    <m/>
    <n v="48300.371426057107"/>
    <m/>
    <m/>
    <m/>
    <m/>
    <m/>
    <m/>
    <m/>
    <m/>
    <m/>
    <m/>
    <m/>
    <m/>
    <n v="100399.2136"/>
    <n v="-46396.632440000001"/>
    <m/>
    <m/>
    <m/>
    <m/>
    <n v="-52721.694359999994"/>
    <n v="0"/>
    <n v="31"/>
    <n v="-409.29982816975098"/>
    <n v="0"/>
    <n v="0"/>
    <n v="0"/>
    <n v="0"/>
    <n v="0"/>
    <n v="0"/>
    <n v="0"/>
    <n v="-53.413284103920887"/>
    <n v="0"/>
    <n v="0"/>
    <n v="-5.9505255194380879E-6"/>
    <n v="0"/>
    <n v="0"/>
    <n v="0"/>
    <n v="-8.2087353803217411E-7"/>
    <n v="0"/>
    <n v="-302.66041348420185"/>
    <m/>
    <n v="0"/>
    <n v="0"/>
    <n v="0"/>
    <n v="0"/>
    <n v="-40.420683583522532"/>
    <n v="-12.805440226706082"/>
    <n v="0"/>
    <n v="0"/>
    <m/>
    <m/>
    <m/>
    <n v="85317.929895688067"/>
    <n v="0"/>
    <n v="0"/>
    <n v="-52721.694359999994"/>
    <n v="0"/>
    <n v="0"/>
    <n v="0"/>
    <n v="-52312.272518879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2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-0.61499999999999999"/>
    <n v="-0.61499999999999999"/>
    <n v="-0.61499999999999999"/>
    <n v="-0.61499999999999999"/>
    <m/>
    <n v="739.04"/>
    <n v="252.22"/>
    <m/>
    <n v="-609.62490000000003"/>
    <n v="-609.62490000000003"/>
    <n v="-416.95155"/>
    <n v="0"/>
    <n v="-38.039691323394749"/>
    <n v="0"/>
    <n v="0"/>
    <n v="0"/>
    <n v="-75.951012251184522"/>
    <n v="-311.79747858292035"/>
    <n v="-155.11700199832978"/>
    <n v="0"/>
    <n v="0"/>
    <n v="0"/>
    <n v="0"/>
    <n v="0"/>
    <n v="-5.8800329481595517"/>
    <m/>
    <n v="-1.441128601597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398462496364445"/>
    <n v="0"/>
    <n v="0"/>
    <n v="0"/>
    <n v="-7.52"/>
    <n v="6"/>
    <m/>
    <m/>
    <m/>
    <m/>
    <m/>
    <n v="-50.030249999999981"/>
    <m/>
    <m/>
    <m/>
    <n v="-176.51546449469424"/>
    <m/>
    <m/>
    <m/>
    <m/>
    <m/>
    <m/>
    <m/>
    <m/>
    <m/>
    <m/>
    <m/>
    <m/>
    <n v="-369.90440000000001"/>
    <n v="166.53625"/>
    <m/>
    <m/>
    <m/>
    <m/>
    <n v="192.67334999999997"/>
    <n v="0"/>
    <n v="31"/>
    <n v="1.4958011119559274"/>
    <n v="0"/>
    <n v="0"/>
    <n v="0"/>
    <n v="0"/>
    <n v="0"/>
    <n v="0"/>
    <n v="0"/>
    <n v="0.19520078987848422"/>
    <n v="0"/>
    <n v="0"/>
    <n v="2.174641622332274E-8"/>
    <n v="0"/>
    <n v="0"/>
    <n v="0"/>
    <n v="2.999911430379143E-9"/>
    <n v="0"/>
    <n v="1.1060834915546565"/>
    <m/>
    <n v="0"/>
    <n v="0"/>
    <n v="0"/>
    <n v="0"/>
    <n v="0.14771885861915823"/>
    <n v="4.6797947157330766E-2"/>
    <n v="0"/>
    <n v="0"/>
    <m/>
    <m/>
    <m/>
    <n v="-311.79747858292035"/>
    <n v="0"/>
    <n v="0"/>
    <n v="192.67334999999997"/>
    <n v="0"/>
    <n v="0"/>
    <n v="0"/>
    <n v="191.17710298727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3"/>
    <s v="Sistema de Compensação"/>
    <s v="Azul"/>
    <s v="A4"/>
    <s v="Rural"/>
    <s v="Não se aplica"/>
    <s v="Não se aplica"/>
    <s v="Não se aplica"/>
    <s v="Ponta"/>
    <s v="CATIVO"/>
    <x v="10"/>
    <n v="80"/>
    <n v="76.8"/>
    <n v="1.125"/>
    <n v="1.08"/>
    <n v="1.125"/>
    <n v="1.08"/>
    <n v="106.38"/>
    <n v="81.2"/>
    <n v="252.22"/>
    <n v="8510.4"/>
    <n v="375.09750000000003"/>
    <n v="8885.4974999999995"/>
    <n v="4977.7825000000003"/>
    <n v="0"/>
    <n v="60.538777045158717"/>
    <n v="0"/>
    <n v="0"/>
    <n v="0"/>
    <n v="2150.1532691333118"/>
    <n v="6360.4001695067918"/>
    <n v="283.75061341157891"/>
    <n v="0"/>
    <n v="0"/>
    <n v="0"/>
    <n v="0"/>
    <n v="0"/>
    <n v="10.756157831999179"/>
    <m/>
    <n v="2.7066444048438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350696431491851"/>
    <n v="0"/>
    <n v="0"/>
    <n v="0"/>
    <n v="0"/>
    <n v="0"/>
    <m/>
    <m/>
    <m/>
    <m/>
    <m/>
    <n v="199.11130000000017"/>
    <m/>
    <m/>
    <m/>
    <n v="301.10130984307074"/>
    <m/>
    <m/>
    <m/>
    <m/>
    <m/>
    <m/>
    <m/>
    <m/>
    <m/>
    <m/>
    <m/>
    <m/>
    <n v="4778.6712000000007"/>
    <n v="-3751.4364000000005"/>
    <m/>
    <m/>
    <m/>
    <m/>
    <n v="-3907.7149999999997"/>
    <n v="0"/>
    <n v="31"/>
    <n v="-7.6444853233970207"/>
    <n v="0"/>
    <n v="0"/>
    <n v="0"/>
    <n v="0"/>
    <n v="0"/>
    <n v="0"/>
    <n v="0"/>
    <n v="-5.5260832483277227"/>
    <n v="0"/>
    <n v="0"/>
    <n v="-3.9780047700332943E-8"/>
    <n v="0"/>
    <n v="0"/>
    <n v="0"/>
    <n v="-2.4324755543148058E-9"/>
    <n v="0"/>
    <n v="-1.7602914103400309"/>
    <m/>
    <n v="0"/>
    <n v="0"/>
    <n v="0"/>
    <n v="0"/>
    <n v="-0.27021742430333795"/>
    <n v="-8.7893198213647494E-2"/>
    <n v="0"/>
    <n v="0"/>
    <m/>
    <m/>
    <n v="6360.4001695067918"/>
    <n v="0"/>
    <n v="0"/>
    <n v="0"/>
    <n v="-3907.7150000000001"/>
    <n v="0"/>
    <n v="0"/>
    <n v="0"/>
    <n v="-3899.848336723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4"/>
    <s v="Sistema de Compensação"/>
    <s v="Azul"/>
    <s v="A4"/>
    <s v="Rural"/>
    <s v="Não se aplica"/>
    <s v="Não se aplica"/>
    <s v="Não se aplica"/>
    <s v="Fora ponta"/>
    <s v="CATIVO"/>
    <x v="10"/>
    <n v="93"/>
    <n v="89.28"/>
    <n v="10.872999999999999"/>
    <n v="10.438079999999999"/>
    <n v="10.872999999999999"/>
    <n v="10.438079999999999"/>
    <n v="74.44"/>
    <n v="81.2"/>
    <n v="252.22"/>
    <n v="6922.92"/>
    <n v="3625.2756599999998"/>
    <n v="10548.195659999999"/>
    <n v="7828.8944200000005"/>
    <n v="0"/>
    <n v="585.10055361067612"/>
    <n v="0"/>
    <n v="0"/>
    <n v="0"/>
    <n v="2531.1896053320174"/>
    <n v="4391.6030278785729"/>
    <n v="2742.4181507769749"/>
    <n v="0"/>
    <n v="0"/>
    <n v="0"/>
    <n v="0"/>
    <n v="0"/>
    <n v="103.95707031762406"/>
    <m/>
    <n v="26.159417434548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69255315520965"/>
    <n v="0"/>
    <n v="0"/>
    <n v="0"/>
    <n v="0"/>
    <n v="0"/>
    <m/>
    <m/>
    <m/>
    <m/>
    <m/>
    <n v="313.15577679999996"/>
    <m/>
    <m/>
    <m/>
    <n v="2910.1107039321846"/>
    <m/>
    <m/>
    <m/>
    <m/>
    <m/>
    <m/>
    <m/>
    <m/>
    <m/>
    <m/>
    <m/>
    <m/>
    <n v="7516.3752000000004"/>
    <n v="-2609.9226335999992"/>
    <m/>
    <m/>
    <m/>
    <m/>
    <n v="-2719.3012399999998"/>
    <n v="0"/>
    <n v="31"/>
    <n v="-26.979500864697002"/>
    <n v="0"/>
    <n v="0"/>
    <n v="0"/>
    <n v="0"/>
    <n v="0"/>
    <n v="0"/>
    <n v="0"/>
    <n v="-6.5053801871586074"/>
    <n v="0"/>
    <n v="0"/>
    <n v="-3.8446933103841729E-7"/>
    <n v="0"/>
    <n v="0"/>
    <n v="0"/>
    <n v="-2.3509585389547283E-8"/>
    <n v="0"/>
    <n v="-17.013020893001908"/>
    <m/>
    <n v="0"/>
    <n v="0"/>
    <n v="0"/>
    <n v="0"/>
    <n v="-2.6116213817334994"/>
    <n v="-0.84947799482398523"/>
    <n v="0"/>
    <n v="0"/>
    <m/>
    <m/>
    <n v="4391.6030278785729"/>
    <n v="0"/>
    <n v="0"/>
    <n v="0"/>
    <n v="-2719.3012399999998"/>
    <n v="0"/>
    <n v="0"/>
    <n v="0"/>
    <n v="-2692.6899734909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5"/>
    <s v="Sistema de Compensação"/>
    <s v="Azul"/>
    <s v="A4"/>
    <s v="Rur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4.3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46"/>
    <s v="Regular"/>
    <s v="Verde"/>
    <s v="A4"/>
    <s v="Rural"/>
    <s v="Não se aplica"/>
    <s v="Não se aplica"/>
    <s v="Não se aplica"/>
    <s v="Ponta"/>
    <s v="CATIVO"/>
    <x v="10"/>
    <n v="0"/>
    <n v="0"/>
    <n v="5.03"/>
    <n v="4.8288000000000002"/>
    <n v="5.03"/>
    <n v="4.8288000000000002"/>
    <m/>
    <n v="2641.06"/>
    <n v="252.22"/>
    <m/>
    <n v="14553.198400000001"/>
    <n v="14553.198400000001"/>
    <n v="8638.2201999999997"/>
    <n v="0"/>
    <n v="270.67559869968744"/>
    <n v="0"/>
    <n v="0"/>
    <n v="0"/>
    <n v="3258.2679624123621"/>
    <n v="9617.814413722208"/>
    <n v="1268.6805204091038"/>
    <n v="0"/>
    <n v="0"/>
    <n v="0"/>
    <n v="0"/>
    <n v="0"/>
    <n v="48.091976795516331"/>
    <m/>
    <n v="12.101707872323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576891600359119"/>
    <n v="0"/>
    <n v="0"/>
    <n v="0"/>
    <n v="0"/>
    <n v="0"/>
    <m/>
    <m/>
    <m/>
    <m/>
    <m/>
    <n v="345.52880800000003"/>
    <m/>
    <m/>
    <m/>
    <n v="1346.257412009463"/>
    <m/>
    <m/>
    <m/>
    <m/>
    <m/>
    <m/>
    <m/>
    <m/>
    <m/>
    <m/>
    <m/>
    <m/>
    <n v="8294.752199999999"/>
    <n v="-5676.348264000002"/>
    <m/>
    <m/>
    <m/>
    <m/>
    <n v="-5914.9782000000005"/>
    <n v="0"/>
    <n v="31"/>
    <n v="-17.845646648428556"/>
    <n v="0"/>
    <n v="0"/>
    <n v="0"/>
    <n v="0"/>
    <n v="0"/>
    <n v="0"/>
    <n v="0"/>
    <n v="-8.3740355927839119"/>
    <n v="0"/>
    <n v="0"/>
    <n v="-1.7786078387871385E-7"/>
    <n v="0"/>
    <n v="0"/>
    <n v="0"/>
    <n v="-1.0875865541493113E-8"/>
    <n v="0"/>
    <n v="-7.8704584835647893"/>
    <m/>
    <n v="0"/>
    <n v="0"/>
    <n v="0"/>
    <n v="0"/>
    <n v="-1.2081721282184787"/>
    <n v="-0.39298025512412949"/>
    <n v="0"/>
    <n v="0"/>
    <m/>
    <m/>
    <m/>
    <n v="9617.814413722208"/>
    <n v="0"/>
    <n v="0"/>
    <n v="-5914.9782000000005"/>
    <n v="0"/>
    <n v="0"/>
    <n v="0"/>
    <n v="-5897.115990293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7"/>
    <s v="Sistema de Compensação"/>
    <s v="Verde"/>
    <s v="A4"/>
    <s v="Rural"/>
    <s v="Não se aplica"/>
    <s v="Não se aplica"/>
    <s v="Não se aplica"/>
    <s v="Ponta"/>
    <s v="CATIVO"/>
    <x v="10"/>
    <n v="0"/>
    <n v="0"/>
    <n v="2.157"/>
    <n v="2.0707200000000001"/>
    <n v="2.157"/>
    <n v="2.0707200000000001"/>
    <m/>
    <n v="2641.06"/>
    <n v="252.22"/>
    <m/>
    <n v="6240.8049599999995"/>
    <n v="6240.8049599999995"/>
    <n v="3704.3023799999996"/>
    <n v="0"/>
    <n v="116.07301518791765"/>
    <n v="0"/>
    <n v="0"/>
    <n v="0"/>
    <n v="1397.2333985931341"/>
    <n v="4124.3788648904174"/>
    <n v="544.04450944780058"/>
    <n v="0"/>
    <n v="0"/>
    <n v="0"/>
    <n v="0"/>
    <n v="0"/>
    <n v="20.623139949886426"/>
    <m/>
    <n v="5.1895395388872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267068624647038"/>
    <n v="0"/>
    <n v="0"/>
    <n v="0"/>
    <n v="0"/>
    <n v="0"/>
    <m/>
    <m/>
    <m/>
    <m/>
    <m/>
    <n v="148.17209519999983"/>
    <m/>
    <m/>
    <m/>
    <n v="577.31157807244767"/>
    <m/>
    <m/>
    <m/>
    <m/>
    <m/>
    <m/>
    <m/>
    <m/>
    <m/>
    <m/>
    <m/>
    <m/>
    <n v="3554.8937999999998"/>
    <n v="-2436.3089616000007"/>
    <m/>
    <m/>
    <m/>
    <m/>
    <n v="-2536.5025800000003"/>
    <n v="0"/>
    <n v="31"/>
    <n v="-7.652695789396148"/>
    <n v="0"/>
    <n v="0"/>
    <n v="0"/>
    <n v="0"/>
    <n v="0"/>
    <n v="0"/>
    <n v="0"/>
    <n v="-3.5910128774621626"/>
    <n v="0"/>
    <n v="0"/>
    <n v="-7.6271589932730421E-8"/>
    <n v="0"/>
    <n v="0"/>
    <n v="0"/>
    <n v="-4.6638604089821456E-9"/>
    <n v="0"/>
    <n v="-3.3750653974252884"/>
    <m/>
    <n v="0"/>
    <n v="0"/>
    <n v="0"/>
    <n v="0"/>
    <n v="-0.51809687486426625"/>
    <n v="-0.16852055870829918"/>
    <n v="0"/>
    <n v="0"/>
    <m/>
    <m/>
    <m/>
    <n v="4124.3788648904174"/>
    <n v="0"/>
    <n v="0"/>
    <n v="-2536.5025800000003"/>
    <n v="0"/>
    <n v="0"/>
    <n v="0"/>
    <n v="-2528.84278152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8"/>
    <s v="Regular"/>
    <s v="Verde"/>
    <s v="A4"/>
    <s v="Rural"/>
    <s v="Não se aplica"/>
    <s v="Não se aplica"/>
    <s v="Não se aplica"/>
    <s v="Fora ponta"/>
    <s v="CATIVO"/>
    <x v="10"/>
    <n v="0"/>
    <n v="0"/>
    <n v="51.518000000000001"/>
    <n v="49.457279999999997"/>
    <n v="51.518000000000001"/>
    <n v="49.457279999999997"/>
    <m/>
    <n v="81.2"/>
    <n v="252.22"/>
    <m/>
    <n v="17177.131560000002"/>
    <n v="17177.131560000002"/>
    <n v="17080.277719999998"/>
    <n v="0"/>
    <n v="2772.2993029444328"/>
    <n v="0"/>
    <n v="0"/>
    <n v="0"/>
    <n v="0"/>
    <n v="0"/>
    <n v="12994.012534877975"/>
    <n v="0"/>
    <n v="0"/>
    <n v="0"/>
    <n v="0"/>
    <n v="0"/>
    <n v="492.5651015012744"/>
    <m/>
    <n v="123.94747239888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4.55393667341968"/>
    <n v="0"/>
    <n v="0"/>
    <n v="0"/>
    <n v="0"/>
    <n v="0"/>
    <m/>
    <m/>
    <m/>
    <m/>
    <m/>
    <n v="683.21110880000106"/>
    <m/>
    <m/>
    <m/>
    <n v="13788.566471551394"/>
    <m/>
    <m/>
    <m/>
    <m/>
    <m/>
    <m/>
    <m/>
    <m/>
    <m/>
    <m/>
    <m/>
    <m/>
    <n v="16397.968399999998"/>
    <n v="-92.107897599998978"/>
    <m/>
    <m/>
    <m/>
    <m/>
    <n v="-96.853840000000503"/>
    <n v="0"/>
    <n v="31"/>
    <n v="-97.009633869718527"/>
    <n v="0"/>
    <n v="0"/>
    <n v="0"/>
    <n v="0"/>
    <n v="0"/>
    <n v="0"/>
    <n v="0"/>
    <n v="0"/>
    <n v="0"/>
    <n v="0"/>
    <n v="-1.8216778698842973E-6"/>
    <n v="0"/>
    <n v="0"/>
    <n v="0"/>
    <n v="-1.1139218258904293E-7"/>
    <n v="0"/>
    <n v="-80.610393669242512"/>
    <m/>
    <n v="0"/>
    <n v="0"/>
    <n v="0"/>
    <n v="0"/>
    <n v="-12.374276680230537"/>
    <n v="-4.0249615871739337"/>
    <n v="0"/>
    <n v="0"/>
    <m/>
    <m/>
    <m/>
    <n v="0"/>
    <n v="0"/>
    <n v="0"/>
    <n v="-96.853840000000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49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11.651"/>
    <n v="11.18496"/>
    <n v="11.651"/>
    <n v="11.18496"/>
    <m/>
    <n v="81.2"/>
    <n v="252.22"/>
    <m/>
    <n v="3884.6764200000002"/>
    <n v="3884.6764200000002"/>
    <n v="3862.7725399999999"/>
    <n v="0"/>
    <n v="626.96648120279485"/>
    <n v="0"/>
    <n v="0"/>
    <n v="0"/>
    <n v="0"/>
    <n v="0"/>
    <n v="2938.6474638740492"/>
    <n v="0"/>
    <n v="0"/>
    <n v="0"/>
    <n v="0"/>
    <n v="0"/>
    <n v="111.39555102277549"/>
    <m/>
    <n v="28.031212409631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69152366516582"/>
    <n v="0"/>
    <n v="0"/>
    <n v="0"/>
    <n v="0"/>
    <n v="0"/>
    <m/>
    <m/>
    <m/>
    <m/>
    <m/>
    <n v="154.51090159999984"/>
    <m/>
    <m/>
    <m/>
    <n v="3118.3389875392149"/>
    <m/>
    <m/>
    <m/>
    <m/>
    <m/>
    <m/>
    <m/>
    <m/>
    <m/>
    <m/>
    <m/>
    <m/>
    <n v="3706.6171999999997"/>
    <n v="-22.702163200000541"/>
    <m/>
    <m/>
    <m/>
    <m/>
    <n v="-21.903880000000111"/>
    <n v="0"/>
    <n v="31"/>
    <n v="-21.939113401452687"/>
    <n v="0"/>
    <n v="0"/>
    <n v="0"/>
    <n v="0"/>
    <n v="0"/>
    <n v="0"/>
    <n v="0"/>
    <n v="0"/>
    <n v="0"/>
    <n v="0"/>
    <n v="-4.1197927203029394E-7"/>
    <n v="0"/>
    <n v="0"/>
    <n v="0"/>
    <n v="-2.5191781105604605E-8"/>
    <n v="0"/>
    <n v="-18.230360197219284"/>
    <m/>
    <n v="0"/>
    <n v="0"/>
    <n v="0"/>
    <n v="0"/>
    <n v="-2.7984917427183831"/>
    <n v="-0.91026102434418021"/>
    <n v="0"/>
    <n v="0"/>
    <m/>
    <m/>
    <m/>
    <n v="0"/>
    <n v="0"/>
    <n v="0"/>
    <n v="-21.90388000000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0"/>
    <s v="Regular"/>
    <s v="Verde"/>
    <s v="A4"/>
    <s v="Rural"/>
    <s v="Não se aplica"/>
    <s v="Não se aplica"/>
    <s v="Não se aplica"/>
    <s v="Não se aplica"/>
    <s v="CATIVO"/>
    <x v="10"/>
    <n v="380"/>
    <n v="364.8"/>
    <n v="0"/>
    <n v="0"/>
    <n v="0"/>
    <n v="0"/>
    <n v="74.44"/>
    <m/>
    <m/>
    <n v="28287.200000000001"/>
    <m/>
    <n v="28287.200000000001"/>
    <n v="17259.600000000002"/>
    <n v="0"/>
    <n v="0"/>
    <n v="0"/>
    <n v="0"/>
    <n v="0"/>
    <n v="10342.495161571684"/>
    <n v="17944.1844149877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.58"/>
    <n v="3"/>
    <m/>
    <m/>
    <m/>
    <m/>
    <m/>
    <n v="690.38399999999956"/>
    <m/>
    <m/>
    <m/>
    <n v="0"/>
    <m/>
    <m/>
    <m/>
    <m/>
    <m/>
    <m/>
    <m/>
    <m/>
    <m/>
    <m/>
    <m/>
    <m/>
    <n v="16569.216"/>
    <n v="-10586.525999999994"/>
    <m/>
    <m/>
    <m/>
    <m/>
    <n v="-11027.599999999999"/>
    <n v="0"/>
    <n v="31"/>
    <n v="-26.581123345376909"/>
    <n v="0"/>
    <n v="0"/>
    <n v="0"/>
    <n v="0"/>
    <m/>
    <m/>
    <m/>
    <n v="-26.5811233453769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944.184414987718"/>
    <m/>
    <n v="0"/>
    <n v="0"/>
    <n v="-11027.599999999999"/>
    <m/>
    <n v="0"/>
    <m/>
    <n v="-11002.38913899511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51"/>
    <s v="Sistema de Compensação"/>
    <s v="Verde"/>
    <s v="A4"/>
    <s v="Rural"/>
    <s v="Não se aplica"/>
    <s v="Não se aplica"/>
    <s v="Não se aplica"/>
    <s v="Não se aplica"/>
    <s v="CATIVO"/>
    <x v="10"/>
    <n v="768"/>
    <n v="737.28"/>
    <n v="0"/>
    <n v="0"/>
    <n v="0"/>
    <n v="0"/>
    <n v="74.44"/>
    <m/>
    <m/>
    <n v="57169.919999999998"/>
    <m/>
    <n v="57169.919999999998"/>
    <n v="34882.559999999998"/>
    <n v="0"/>
    <n v="0"/>
    <n v="0"/>
    <n v="0"/>
    <n v="0"/>
    <n v="20902.727063386985"/>
    <n v="36266.1411334488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.6"/>
    <n v="3"/>
    <m/>
    <m/>
    <m/>
    <m/>
    <m/>
    <n v="1395.3024000000014"/>
    <m/>
    <m/>
    <m/>
    <n v="0"/>
    <m/>
    <m/>
    <m/>
    <m/>
    <m/>
    <m/>
    <m/>
    <m/>
    <m/>
    <m/>
    <m/>
    <m/>
    <n v="33487.257599999997"/>
    <n v="-21395.895600000003"/>
    <m/>
    <m/>
    <m/>
    <m/>
    <n v="-22287.359999999997"/>
    <n v="0"/>
    <n v="31"/>
    <n v="-53.721849287503574"/>
    <n v="0"/>
    <n v="0"/>
    <n v="0"/>
    <n v="0"/>
    <m/>
    <m/>
    <m/>
    <n v="-53.7218492875035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266.141133448858"/>
    <m/>
    <n v="0"/>
    <n v="0"/>
    <n v="-22287.360000000001"/>
    <m/>
    <n v="0"/>
    <m/>
    <n v="-22236.40752302169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52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00.042"/>
    <n v="200.042"/>
    <n v="200.042"/>
    <n v="200.042"/>
    <m/>
    <n v="739.04"/>
    <n v="252.22"/>
    <m/>
    <n v="198293.63292"/>
    <n v="198293.63292"/>
    <n v="135622.47474000001"/>
    <n v="0"/>
    <n v="12373.229157259404"/>
    <n v="0"/>
    <n v="0"/>
    <n v="0"/>
    <n v="24704.703077644641"/>
    <n v="101418.84749704805"/>
    <n v="50455.146851625832"/>
    <n v="0"/>
    <n v="0"/>
    <n v="0"/>
    <n v="0"/>
    <n v="0"/>
    <n v="1912.6074000255821"/>
    <m/>
    <n v="468.75812637527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0.3109507280269"/>
    <n v="0"/>
    <n v="0"/>
    <n v="0"/>
    <n v="42713.32"/>
    <n v="376"/>
    <m/>
    <m/>
    <m/>
    <m/>
    <m/>
    <m/>
    <m/>
    <m/>
    <m/>
    <n v="57415.457802353856"/>
    <m/>
    <m/>
    <m/>
    <m/>
    <m/>
    <m/>
    <m/>
    <m/>
    <m/>
    <m/>
    <m/>
    <m/>
    <n v="135621.1188"/>
    <n v="-62672.544120000035"/>
    <m/>
    <m/>
    <m/>
    <m/>
    <n v="-62671.158179999991"/>
    <n v="0"/>
    <n v="31"/>
    <n v="-486.54153827298433"/>
    <n v="0"/>
    <n v="0"/>
    <n v="0"/>
    <n v="0"/>
    <n v="0"/>
    <n v="0"/>
    <n v="0"/>
    <n v="-63.493262453448551"/>
    <n v="0"/>
    <n v="0"/>
    <n v="-7.0734895416535437E-6"/>
    <n v="0"/>
    <n v="0"/>
    <n v="0"/>
    <n v="-9.7578595159575343E-7"/>
    <n v="0"/>
    <n v="-359.77748588223949"/>
    <m/>
    <n v="0"/>
    <n v="0"/>
    <n v="0"/>
    <n v="0"/>
    <n v="-48.048741326656227"/>
    <n v="-15.222040561376843"/>
    <n v="0"/>
    <n v="0"/>
    <m/>
    <m/>
    <m/>
    <n v="101418.84749704805"/>
    <n v="0"/>
    <n v="0"/>
    <n v="-62671.158179999984"/>
    <n v="0"/>
    <n v="0"/>
    <n v="0"/>
    <n v="-62184.471602895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3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2.14"/>
    <n v="2.14"/>
    <n v="2.14"/>
    <n v="2.14"/>
    <m/>
    <n v="739.04"/>
    <n v="252.22"/>
    <m/>
    <n v="2121.2964000000002"/>
    <n v="2121.2964000000002"/>
    <n v="1450.8558"/>
    <n v="0"/>
    <n v="132.36575517408906"/>
    <n v="0"/>
    <n v="0"/>
    <n v="0"/>
    <n v="264.28482311794289"/>
    <n v="1084.9538279145522"/>
    <n v="539.7567224006923"/>
    <n v="0"/>
    <n v="0"/>
    <n v="0"/>
    <n v="0"/>
    <n v="0"/>
    <n v="20.46060245375844"/>
    <m/>
    <n v="5.0146588738519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459690637755955"/>
    <n v="0"/>
    <n v="0"/>
    <n v="0"/>
    <n v="675.43"/>
    <n v="5"/>
    <m/>
    <m/>
    <m/>
    <m/>
    <m/>
    <m/>
    <m/>
    <m/>
    <m/>
    <n v="614.21641303844831"/>
    <m/>
    <m/>
    <m/>
    <m/>
    <m/>
    <m/>
    <m/>
    <m/>
    <m/>
    <m/>
    <m/>
    <m/>
    <n v="1450.8558"/>
    <n v="-670.47059999999988"/>
    <m/>
    <m/>
    <m/>
    <m/>
    <n v="-670.44060000000002"/>
    <n v="0"/>
    <n v="31"/>
    <n v="-5.204901430220616"/>
    <n v="0"/>
    <n v="0"/>
    <n v="0"/>
    <n v="0"/>
    <n v="0"/>
    <n v="0"/>
    <n v="0"/>
    <n v="-0.67923526884544572"/>
    <n v="0"/>
    <n v="0"/>
    <n v="-7.5670413934858516E-8"/>
    <n v="0"/>
    <n v="0"/>
    <n v="0"/>
    <n v="-1.0438711228744069E-8"/>
    <n v="0"/>
    <n v="-3.8488108486617421"/>
    <m/>
    <n v="0"/>
    <n v="0"/>
    <n v="0"/>
    <n v="0"/>
    <n v="-0.51401358934145946"/>
    <n v="-0.16284163726290668"/>
    <n v="0"/>
    <n v="0"/>
    <m/>
    <m/>
    <m/>
    <n v="1084.9538279145522"/>
    <n v="0"/>
    <n v="0"/>
    <n v="-670.4405999999999"/>
    <n v="0"/>
    <n v="0"/>
    <n v="0"/>
    <n v="-665.2341469801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4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447.61700000000002"/>
    <n v="447.61700000000002"/>
    <n v="447.61700000000002"/>
    <n v="447.61700000000002"/>
    <m/>
    <n v="406.47"/>
    <n v="138.72"/>
    <m/>
    <n v="244036.31223000004"/>
    <n v="244036.31223000004"/>
    <n v="166907.42696000001"/>
    <n v="0"/>
    <n v="15227.588424564517"/>
    <n v="0"/>
    <n v="0"/>
    <n v="0"/>
    <n v="30403.789167416628"/>
    <n v="124814.98956742779"/>
    <n v="62094.559180353477"/>
    <n v="0"/>
    <n v="0"/>
    <n v="0"/>
    <n v="0"/>
    <n v="0"/>
    <n v="2353.8235601398114"/>
    <m/>
    <n v="576.89514421744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5.973289397296"/>
    <n v="0"/>
    <n v="0"/>
    <n v="0"/>
    <n v="41734.31"/>
    <n v="38"/>
    <m/>
    <m/>
    <m/>
    <m/>
    <m/>
    <m/>
    <m/>
    <m/>
    <m/>
    <n v="70660.532469750775"/>
    <m/>
    <m/>
    <m/>
    <m/>
    <m/>
    <m/>
    <m/>
    <m/>
    <m/>
    <m/>
    <m/>
    <m/>
    <n v="166908.54560000001"/>
    <n v="-77127.796630000055"/>
    <m/>
    <m/>
    <m/>
    <m/>
    <n v="-77128.885270000013"/>
    <n v="0"/>
    <n v="31"/>
    <n v="-598.78098127065459"/>
    <n v="0"/>
    <n v="0"/>
    <n v="0"/>
    <n v="0"/>
    <n v="0"/>
    <n v="0"/>
    <n v="0"/>
    <n v="-78.140415576766827"/>
    <n v="0"/>
    <n v="0"/>
    <n v="-8.7048028944991529E-6"/>
    <n v="0"/>
    <n v="0"/>
    <n v="0"/>
    <n v="-1.2008658814011142E-6"/>
    <n v="0"/>
    <n v="-442.77394444157471"/>
    <m/>
    <n v="0"/>
    <n v="0"/>
    <n v="0"/>
    <n v="0"/>
    <n v="-59.133024042590932"/>
    <n v="-18.733587304062326"/>
    <n v="0"/>
    <n v="0"/>
    <m/>
    <m/>
    <m/>
    <n v="124814.98956742779"/>
    <n v="0"/>
    <n v="0"/>
    <n v="-77128.885270000013"/>
    <n v="0"/>
    <n v="0"/>
    <n v="0"/>
    <n v="-76529.70198263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5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86.266000000000005"/>
    <n v="81.090040000000002"/>
    <n v="86.266000000000005"/>
    <n v="81.090040000000002"/>
    <m/>
    <n v="739.04"/>
    <n v="252.22"/>
    <m/>
    <n v="85512.035159999999"/>
    <n v="85512.035159999999"/>
    <n v="58485.760020000002"/>
    <n v="0"/>
    <n v="5335.8244092747509"/>
    <n v="0"/>
    <n v="0"/>
    <n v="0"/>
    <n v="10653.642313594608"/>
    <n v="43735.806971437734"/>
    <n v="21758.249259167347"/>
    <n v="0"/>
    <n v="0"/>
    <n v="0"/>
    <n v="0"/>
    <n v="0"/>
    <n v="824.79174358688113"/>
    <m/>
    <n v="202.14699178117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1.560594652643"/>
    <n v="0"/>
    <n v="0"/>
    <n v="0"/>
    <n v="19783.03"/>
    <n v="28"/>
    <m/>
    <m/>
    <m/>
    <m/>
    <n v="3509.1456012000026"/>
    <m/>
    <m/>
    <m/>
    <m/>
    <n v="24759.809853819992"/>
    <m/>
    <m/>
    <m/>
    <m/>
    <m/>
    <m/>
    <m/>
    <m/>
    <m/>
    <m/>
    <m/>
    <m/>
    <n v="54976.587300000007"/>
    <n v="-25404.755750399992"/>
    <m/>
    <m/>
    <m/>
    <m/>
    <n v="-27026.275139999998"/>
    <n v="0"/>
    <n v="31"/>
    <n v="-209.81590036421403"/>
    <n v="0"/>
    <n v="0"/>
    <n v="0"/>
    <n v="0"/>
    <n v="0"/>
    <n v="0"/>
    <n v="0"/>
    <n v="-27.380798926271382"/>
    <n v="0"/>
    <n v="0"/>
    <n v="-3.0503688321914524E-6"/>
    <n v="0"/>
    <n v="0"/>
    <n v="0"/>
    <n v="-4.2079727791133337E-7"/>
    <n v="0"/>
    <n v="-155.15024143488426"/>
    <m/>
    <n v="0"/>
    <n v="0"/>
    <n v="0"/>
    <n v="0"/>
    <n v="-20.720512288845953"/>
    <n v="-6.5643442430476284"/>
    <n v="0"/>
    <n v="0"/>
    <m/>
    <m/>
    <m/>
    <n v="43735.806971437734"/>
    <n v="0"/>
    <n v="0"/>
    <n v="-27026.275139999998"/>
    <n v="0"/>
    <n v="0"/>
    <n v="0"/>
    <n v="-26816.39669317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6.6580000000000004"/>
    <n v="6.6580000000000004"/>
    <n v="6.6580000000000004"/>
    <n v="6.6580000000000004"/>
    <m/>
    <n v="739.04"/>
    <n v="252.22"/>
    <m/>
    <n v="6599.8090800000009"/>
    <n v="6599.8090800000009"/>
    <n v="4513.9242599999998"/>
    <n v="0"/>
    <n v="411.81831679863785"/>
    <n v="0"/>
    <n v="0"/>
    <n v="0"/>
    <n v="822.24689360713262"/>
    <n v="3375.5245730163965"/>
    <n v="1679.2991858615931"/>
    <n v="0"/>
    <n v="0"/>
    <n v="0"/>
    <n v="0"/>
    <n v="0"/>
    <n v="63.657332307067144"/>
    <m/>
    <n v="15.601681673881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.66010292812112"/>
    <n v="0"/>
    <n v="0"/>
    <n v="0"/>
    <n v="1524.83"/>
    <n v="11"/>
    <m/>
    <m/>
    <m/>
    <m/>
    <m/>
    <m/>
    <m/>
    <m/>
    <m/>
    <n v="1910.9592887897143"/>
    <m/>
    <m/>
    <m/>
    <m/>
    <m/>
    <m/>
    <m/>
    <m/>
    <m/>
    <m/>
    <m/>
    <m/>
    <n v="4515.2802000000001"/>
    <n v="-2084.5588800000014"/>
    <m/>
    <m/>
    <m/>
    <m/>
    <n v="-2085.8848199999998"/>
    <n v="0"/>
    <n v="31"/>
    <n v="-16.193567160004932"/>
    <n v="0"/>
    <n v="0"/>
    <n v="0"/>
    <n v="0"/>
    <n v="0"/>
    <n v="0"/>
    <n v="0"/>
    <n v="-2.1132469252210058"/>
    <n v="0"/>
    <n v="0"/>
    <n v="-2.3542679628008045E-7"/>
    <n v="0"/>
    <n v="0"/>
    <n v="0"/>
    <n v="-3.2477089462190634E-8"/>
    <n v="0"/>
    <n v="-11.974477864668188"/>
    <m/>
    <n v="0"/>
    <n v="0"/>
    <n v="0"/>
    <n v="0"/>
    <n v="-1.5992067653436592"/>
    <n v="-0.50663533686749318"/>
    <n v="0"/>
    <n v="0"/>
    <m/>
    <m/>
    <m/>
    <n v="3375.5245730163965"/>
    <n v="0"/>
    <n v="0"/>
    <n v="-2085.8848200000002"/>
    <n v="0"/>
    <n v="0"/>
    <n v="0"/>
    <n v="-2069.6864255110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57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9.75"/>
    <n v="3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58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.67000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59"/>
    <s v="Regular"/>
    <s v="Convencional"/>
    <s v="B2"/>
    <s v="Rural"/>
    <s v="Agropecuária rural"/>
    <s v="IRRIG./AQUIC."/>
    <s v="Não se aplica"/>
    <s v="Não se aplica"/>
    <s v="CATIVO"/>
    <x v="10"/>
    <n v="0"/>
    <n v="0"/>
    <n v="5.6420000000000003"/>
    <n v="5.6420000000000003"/>
    <n v="5.6420000000000003"/>
    <n v="5.6420000000000003"/>
    <m/>
    <n v="739.04"/>
    <n v="252.22"/>
    <m/>
    <n v="5592.6889199999996"/>
    <n v="5592.6889199999996"/>
    <n v="3825.1067400000002"/>
    <n v="0"/>
    <n v="348.97550966925724"/>
    <n v="0"/>
    <n v="0"/>
    <n v="0"/>
    <n v="696.77335141655783"/>
    <n v="2860.4249986420109"/>
    <n v="1423.0408541050028"/>
    <n v="0"/>
    <n v="0"/>
    <n v="0"/>
    <n v="0"/>
    <n v="0"/>
    <n v="53.943326656123887"/>
    <m/>
    <n v="13.220890358071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.30914699916781"/>
    <n v="0"/>
    <n v="0"/>
    <n v="0"/>
    <n v="0"/>
    <n v="0"/>
    <m/>
    <m/>
    <m/>
    <m/>
    <m/>
    <n v="555.05996000000005"/>
    <m/>
    <m/>
    <m/>
    <n v="1619.3500011041706"/>
    <m/>
    <m/>
    <m/>
    <m/>
    <m/>
    <m/>
    <m/>
    <m/>
    <m/>
    <m/>
    <m/>
    <m/>
    <n v="3268.8876"/>
    <n v="-1485.9379000000008"/>
    <m/>
    <m/>
    <m/>
    <m/>
    <n v="-1767.5821799999999"/>
    <n v="0"/>
    <n v="31"/>
    <n v="-13.722455079114297"/>
    <n v="0"/>
    <n v="0"/>
    <n v="0"/>
    <n v="0"/>
    <n v="0"/>
    <n v="0"/>
    <n v="0"/>
    <n v="-1.7907688723486217"/>
    <n v="0"/>
    <n v="0"/>
    <n v="-1.995013008126989E-7"/>
    <n v="0"/>
    <n v="0"/>
    <n v="0"/>
    <n v="-2.7521139145392226E-8"/>
    <n v="0"/>
    <n v="-10.147191966424998"/>
    <m/>
    <n v="0"/>
    <n v="0"/>
    <n v="0"/>
    <n v="0"/>
    <n v="-1.3551704070394948"/>
    <n v="-0.42932360627912125"/>
    <n v="0"/>
    <n v="0"/>
    <m/>
    <m/>
    <m/>
    <n v="2860.4249986420109"/>
    <n v="0"/>
    <n v="0"/>
    <n v="-1767.5821799999994"/>
    <n v="0"/>
    <n v="0"/>
    <n v="0"/>
    <n v="-1753.8556342344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0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3.2040000000000002"/>
    <n v="3.2040000000000002"/>
    <n v="3.2040000000000002"/>
    <n v="3.2040000000000002"/>
    <m/>
    <n v="739.04"/>
    <n v="252.22"/>
    <m/>
    <n v="3175.9970400000002"/>
    <n v="3175.9970400000002"/>
    <n v="2172.2158800000002"/>
    <n v="0"/>
    <n v="198.17751382139315"/>
    <n v="0"/>
    <n v="0"/>
    <n v="0"/>
    <n v="395.68624919153694"/>
    <n v="1624.3888152515069"/>
    <n v="808.12174699617674"/>
    <n v="0"/>
    <n v="0"/>
    <n v="0"/>
    <n v="0"/>
    <n v="0"/>
    <n v="30.633537505533663"/>
    <m/>
    <n v="7.507928519542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48077046886453"/>
    <n v="0"/>
    <n v="0"/>
    <n v="0"/>
    <n v="0"/>
    <n v="0"/>
    <m/>
    <m/>
    <m/>
    <m/>
    <m/>
    <n v="315.20952"/>
    <m/>
    <m/>
    <m/>
    <n v="919.60251746504127"/>
    <m/>
    <m/>
    <m/>
    <m/>
    <m/>
    <m/>
    <m/>
    <m/>
    <m/>
    <m/>
    <m/>
    <m/>
    <n v="1854.6880000000001"/>
    <n v="-845.51299999999992"/>
    <m/>
    <m/>
    <m/>
    <m/>
    <n v="-1003.7811599999999"/>
    <n v="0"/>
    <n v="31"/>
    <n v="-7.7927589637511119"/>
    <n v="0"/>
    <n v="0"/>
    <n v="0"/>
    <n v="0"/>
    <n v="0"/>
    <n v="0"/>
    <n v="0"/>
    <n v="-1.0169485053181688"/>
    <n v="0"/>
    <n v="0"/>
    <n v="-1.1329348126309924E-7"/>
    <n v="0"/>
    <n v="0"/>
    <n v="0"/>
    <n v="-1.562881379868486E-8"/>
    <n v="0"/>
    <n v="-5.7624252145384105"/>
    <m/>
    <n v="0"/>
    <n v="0"/>
    <n v="0"/>
    <n v="0"/>
    <n v="-0.76957922441590654"/>
    <n v="-0.24380589055623947"/>
    <n v="0"/>
    <n v="0"/>
    <m/>
    <m/>
    <m/>
    <n v="1624.3888152515069"/>
    <n v="0"/>
    <n v="0"/>
    <n v="-1003.78116"/>
    <n v="0"/>
    <n v="0"/>
    <n v="0"/>
    <n v="-995.98607800200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1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16"/>
    <n v="0.16"/>
    <n v="0.16"/>
    <n v="0.16"/>
    <m/>
    <n v="739.04"/>
    <n v="252.22"/>
    <m/>
    <n v="158.60159999999999"/>
    <n v="158.60159999999999"/>
    <n v="108.4752"/>
    <n v="0"/>
    <n v="9.8965050597449764"/>
    <n v="0"/>
    <n v="0"/>
    <n v="0"/>
    <n v="19.759612943397599"/>
    <n v="81.118043208564643"/>
    <n v="40.35564279631344"/>
    <n v="0"/>
    <n v="0"/>
    <n v="0"/>
    <n v="0"/>
    <n v="0"/>
    <n v="1.5297646694398832"/>
    <m/>
    <n v="0.37492776626930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670796738509125"/>
    <n v="0"/>
    <n v="0"/>
    <n v="0"/>
    <n v="0"/>
    <n v="0"/>
    <m/>
    <m/>
    <m/>
    <m/>
    <m/>
    <n v="15.7408"/>
    <m/>
    <m/>
    <m/>
    <n v="45.922722470164352"/>
    <m/>
    <m/>
    <m/>
    <m/>
    <m/>
    <m/>
    <m/>
    <m/>
    <m/>
    <m/>
    <m/>
    <m/>
    <n v="92.734399999999994"/>
    <n v="-42.135600000000011"/>
    <m/>
    <m/>
    <m/>
    <m/>
    <n v="-50.126399999999997"/>
    <n v="0"/>
    <n v="31"/>
    <n v="-0.3891515088015467"/>
    <n v="0"/>
    <n v="0"/>
    <n v="0"/>
    <n v="0"/>
    <n v="0"/>
    <n v="0"/>
    <n v="0"/>
    <n v="-5.0783945334238467E-2"/>
    <n v="0"/>
    <n v="0"/>
    <n v="-5.6575970575067913E-9"/>
    <n v="0"/>
    <n v="0"/>
    <n v="0"/>
    <n v="-7.8046458185099254E-10"/>
    <n v="0"/>
    <n v="-0.28776155877844722"/>
    <m/>
    <n v="0"/>
    <n v="0"/>
    <n v="0"/>
    <n v="0"/>
    <n v="-3.8430922567585624E-2"/>
    <n v="-1.217507568320797E-2"/>
    <n v="0"/>
    <n v="0"/>
    <m/>
    <m/>
    <m/>
    <n v="81.118043208564643"/>
    <n v="0"/>
    <n v="0"/>
    <n v="-50.12639999999999"/>
    <n v="0"/>
    <n v="0"/>
    <n v="0"/>
    <n v="-49.73713248449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2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2.2999999999999998"/>
    <n v="0.92"/>
    <n v="2.2999999999999998"/>
    <n v="0.92"/>
    <m/>
    <n v="739.04"/>
    <n v="252.22"/>
    <m/>
    <n v="2279.8979999999997"/>
    <n v="2279.8979999999997"/>
    <n v="1559.3309999999999"/>
    <n v="0"/>
    <n v="142.26226023383401"/>
    <n v="0"/>
    <n v="0"/>
    <n v="0"/>
    <n v="284.04443606134043"/>
    <n v="1166.0718711231166"/>
    <n v="580.11236519700572"/>
    <n v="0"/>
    <n v="0"/>
    <n v="0"/>
    <n v="0"/>
    <n v="0"/>
    <n v="21.990367123198322"/>
    <m/>
    <n v="5.3895866401212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026770311606867"/>
    <n v="0"/>
    <n v="0"/>
    <n v="0"/>
    <n v="0"/>
    <n v="0"/>
    <m/>
    <m/>
    <m/>
    <m/>
    <m/>
    <m/>
    <n v="1026.1081999999999"/>
    <m/>
    <m/>
    <n v="660.13913550861253"/>
    <m/>
    <m/>
    <m/>
    <m/>
    <m/>
    <m/>
    <m/>
    <m/>
    <m/>
    <m/>
    <m/>
    <m/>
    <n v="533.22280000000001"/>
    <n v="-242.13720000000001"/>
    <m/>
    <m/>
    <m/>
    <m/>
    <n v="-720.56699999999989"/>
    <n v="0"/>
    <n v="31"/>
    <n v="-5.594052939022049"/>
    <n v="0"/>
    <n v="0"/>
    <n v="0"/>
    <n v="0"/>
    <n v="0"/>
    <n v="0"/>
    <n v="0"/>
    <n v="-0.73001921417966287"/>
    <n v="0"/>
    <n v="0"/>
    <n v="-8.1328039414074738E-8"/>
    <n v="0"/>
    <n v="0"/>
    <n v="0"/>
    <n v="-1.1219185580557678E-8"/>
    <n v="0"/>
    <n v="-4.136572407440184"/>
    <m/>
    <n v="0"/>
    <n v="0"/>
    <n v="0"/>
    <n v="0"/>
    <n v="-0.55244451190904797"/>
    <n v="-0.17501671294611487"/>
    <n v="0"/>
    <n v="0"/>
    <m/>
    <m/>
    <m/>
    <n v="1166.0718711231166"/>
    <n v="0"/>
    <n v="0"/>
    <n v="-720.56699999999978"/>
    <n v="0"/>
    <n v="0"/>
    <n v="0"/>
    <n v="-714.9712794646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3"/>
    <s v="Refaturamento - Regular"/>
    <s v="Convencional"/>
    <s v="B2"/>
    <s v="Rural"/>
    <s v="Agropecuária rural"/>
    <s v="IRRIG./AQUIC. PR"/>
    <s v="Não se aplica"/>
    <s v="Não se aplica"/>
    <s v="CATIVO"/>
    <x v="10"/>
    <n v="0"/>
    <n v="0"/>
    <n v="-3.1019999999999999"/>
    <n v="-1.2407999999999999"/>
    <n v="-3.1019999999999999"/>
    <n v="-1.2407999999999999"/>
    <m/>
    <n v="739.04"/>
    <n v="252.22"/>
    <m/>
    <n v="-3074.8885199999995"/>
    <n v="-3074.8885199999995"/>
    <n v="-2103.0629399999998"/>
    <n v="0"/>
    <n v="-191.86849184580572"/>
    <n v="0"/>
    <n v="0"/>
    <n v="0"/>
    <n v="-383.08949594012091"/>
    <n v="-1572.6760627060469"/>
    <n v="-782.39502471352682"/>
    <n v="0"/>
    <n v="0"/>
    <n v="0"/>
    <n v="0"/>
    <n v="0"/>
    <n v="-29.658312528765737"/>
    <m/>
    <n v="-7.2689120685460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7.93175717678456"/>
    <n v="0"/>
    <n v="0"/>
    <n v="0"/>
    <n v="0"/>
    <n v="0"/>
    <m/>
    <m/>
    <m/>
    <m/>
    <m/>
    <m/>
    <n v="-1383.9076680000001"/>
    <m/>
    <m/>
    <n v="-890.32678189031139"/>
    <m/>
    <m/>
    <m/>
    <m/>
    <m/>
    <m/>
    <m/>
    <m/>
    <m/>
    <m/>
    <m/>
    <m/>
    <n v="-718.69160000000011"/>
    <n v="326.96259999999984"/>
    <m/>
    <m/>
    <m/>
    <m/>
    <n v="971.82557999999983"/>
    <n v="0"/>
    <n v="31"/>
    <n v="7.5446748768902125"/>
    <n v="0"/>
    <n v="0"/>
    <n v="0"/>
    <n v="0"/>
    <n v="0"/>
    <n v="0"/>
    <n v="0"/>
    <n v="0.98457374016754784"/>
    <n v="0"/>
    <n v="0"/>
    <n v="1.0968676633638097E-7"/>
    <n v="0"/>
    <n v="0"/>
    <n v="0"/>
    <n v="1.5131249142541492E-8"/>
    <n v="0"/>
    <n v="5.5789772208171655"/>
    <m/>
    <n v="0"/>
    <n v="0"/>
    <n v="0"/>
    <n v="0"/>
    <n v="0.7450795112790729"/>
    <n v="0.23604427980819498"/>
    <n v="0"/>
    <n v="0"/>
    <m/>
    <m/>
    <m/>
    <n v="-1572.6760627060469"/>
    <n v="0"/>
    <n v="0"/>
    <n v="971.82557999999972"/>
    <n v="0"/>
    <n v="0"/>
    <n v="0"/>
    <n v="964.278656043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4"/>
    <s v="Sistema de Compensação"/>
    <s v="Convencional"/>
    <s v="B2"/>
    <s v="Rural"/>
    <s v="Agropecuária rural"/>
    <s v="IRRIG./AQUIC. PR"/>
    <s v="Não se aplica"/>
    <s v="Não se aplica"/>
    <s v="CATIVO"/>
    <x v="10"/>
    <n v="0"/>
    <n v="0"/>
    <n v="0.04"/>
    <n v="0.04"/>
    <n v="0.04"/>
    <n v="0.04"/>
    <m/>
    <n v="739.04"/>
    <n v="252.22"/>
    <m/>
    <n v="39.650399999999998"/>
    <n v="39.650399999999998"/>
    <n v="27.1188"/>
    <n v="0"/>
    <n v="2.4741262649362441"/>
    <n v="0"/>
    <n v="0"/>
    <n v="0"/>
    <n v="4.9399032358493997"/>
    <n v="20.279510802141161"/>
    <n v="10.08891069907836"/>
    <n v="0"/>
    <n v="0"/>
    <n v="0"/>
    <n v="0"/>
    <n v="0"/>
    <n v="0.3824411673599708"/>
    <m/>
    <n v="9.37319415673255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917699184627281"/>
    <n v="0"/>
    <n v="0"/>
    <n v="0"/>
    <n v="0"/>
    <n v="0"/>
    <m/>
    <m/>
    <m/>
    <m/>
    <m/>
    <n v="3.9352"/>
    <m/>
    <m/>
    <m/>
    <n v="11.480680617541088"/>
    <m/>
    <m/>
    <m/>
    <m/>
    <m/>
    <m/>
    <m/>
    <m/>
    <m/>
    <m/>
    <m/>
    <m/>
    <n v="23.183599999999998"/>
    <n v="-10.556400000000004"/>
    <m/>
    <m/>
    <m/>
    <m/>
    <n v="-12.531599999999999"/>
    <n v="0"/>
    <n v="31"/>
    <n v="-9.7287877200386674E-2"/>
    <n v="0"/>
    <n v="0"/>
    <n v="0"/>
    <n v="0"/>
    <n v="0"/>
    <n v="0"/>
    <n v="0"/>
    <n v="-1.2695986333559617E-2"/>
    <n v="0"/>
    <n v="0"/>
    <n v="-1.4143992643766978E-9"/>
    <n v="0"/>
    <n v="0"/>
    <n v="0"/>
    <n v="-1.9511614546274814E-10"/>
    <n v="0"/>
    <n v="-7.1940389694611806E-2"/>
    <m/>
    <n v="0"/>
    <n v="0"/>
    <n v="0"/>
    <n v="0"/>
    <n v="-9.6077306418964059E-3"/>
    <n v="-3.0437689208019925E-3"/>
    <n v="0"/>
    <n v="0"/>
    <m/>
    <m/>
    <m/>
    <n v="20.279510802141161"/>
    <n v="0"/>
    <n v="0"/>
    <n v="-12.531599999999997"/>
    <n v="0"/>
    <n v="0"/>
    <n v="0"/>
    <n v="-12.43428312112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5"/>
    <s v="Regular"/>
    <s v="Verde"/>
    <s v="A4"/>
    <s v="Rural"/>
    <s v="Agropecuária rural"/>
    <s v="Não se aplica"/>
    <s v="Não se aplica"/>
    <s v="Ponta"/>
    <s v="CATIVO"/>
    <x v="10"/>
    <n v="0"/>
    <n v="0"/>
    <n v="5.4539999999999997"/>
    <n v="5.2358399999999996"/>
    <n v="5.4539999999999997"/>
    <n v="5.2358399999999996"/>
    <m/>
    <n v="2641.06"/>
    <n v="252.22"/>
    <m/>
    <n v="15779.949119999999"/>
    <n v="15779.949119999999"/>
    <n v="9366.3723599999994"/>
    <n v="0"/>
    <n v="293.49199111492942"/>
    <n v="0"/>
    <n v="0"/>
    <n v="0"/>
    <n v="3532.9211664009986"/>
    <n v="10428.540718179109"/>
    <n v="1375.6229738193344"/>
    <n v="0"/>
    <n v="0"/>
    <n v="0"/>
    <n v="0"/>
    <n v="0"/>
    <n v="52.145853169532018"/>
    <m/>
    <n v="13.121812074682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116176299872478"/>
    <n v="0"/>
    <n v="0"/>
    <n v="0"/>
    <n v="0"/>
    <n v="0"/>
    <m/>
    <m/>
    <m/>
    <m/>
    <m/>
    <n v="374.65489440000022"/>
    <m/>
    <m/>
    <m/>
    <n v="1459.7391501192069"/>
    <m/>
    <m/>
    <m/>
    <m/>
    <m/>
    <m/>
    <m/>
    <m/>
    <m/>
    <m/>
    <m/>
    <m/>
    <n v="8998.8616000000002"/>
    <n v="-6149.9195551999983"/>
    <m/>
    <m/>
    <m/>
    <m/>
    <n v="-6413.5767599999999"/>
    <n v="0"/>
    <n v="31"/>
    <n v="-19.34993177346405"/>
    <n v="0"/>
    <n v="0"/>
    <n v="0"/>
    <n v="0"/>
    <n v="0"/>
    <n v="0"/>
    <n v="0"/>
    <n v="-9.0799185135274456"/>
    <n v="0"/>
    <n v="0"/>
    <n v="-1.9285357666376512E-7"/>
    <n v="0"/>
    <n v="0"/>
    <n v="0"/>
    <n v="-1.1792621990025509E-8"/>
    <n v="0"/>
    <n v="-8.5338927573284309"/>
    <m/>
    <n v="0"/>
    <n v="0"/>
    <n v="0"/>
    <n v="0"/>
    <n v="-1.3100140730225789"/>
    <n v="-0.4261062249397618"/>
    <n v="0"/>
    <n v="0"/>
    <m/>
    <m/>
    <m/>
    <n v="10428.540718179109"/>
    <n v="0"/>
    <n v="0"/>
    <n v="-6413.5767600000008"/>
    <n v="0"/>
    <n v="0"/>
    <n v="0"/>
    <n v="-6394.2088689986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6"/>
    <s v="Regular"/>
    <s v="Verde"/>
    <s v="A4"/>
    <s v="Rural"/>
    <s v="Agropecuária rural"/>
    <s v="Não se aplica"/>
    <s v="Não se aplica"/>
    <s v="Fora ponta"/>
    <s v="CATIVO"/>
    <x v="10"/>
    <n v="0"/>
    <n v="0"/>
    <n v="29.379000000000001"/>
    <n v="28.20384"/>
    <n v="29.379000000000001"/>
    <n v="28.20384"/>
    <m/>
    <n v="81.2"/>
    <n v="252.22"/>
    <m/>
    <n v="9795.5461800000012"/>
    <n v="9795.5461800000012"/>
    <n v="9740.3136599999998"/>
    <n v="0"/>
    <n v="1580.9499829419715"/>
    <n v="0"/>
    <n v="0"/>
    <n v="0"/>
    <n v="0"/>
    <n v="0"/>
    <n v="7410.0526857055793"/>
    <n v="0"/>
    <n v="0"/>
    <n v="0"/>
    <n v="0"/>
    <n v="0"/>
    <n v="280.89347639671456"/>
    <m/>
    <n v="70.683116417694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.10765374293254"/>
    <n v="0"/>
    <n v="0"/>
    <n v="0"/>
    <n v="0"/>
    <n v="0"/>
    <m/>
    <m/>
    <m/>
    <m/>
    <m/>
    <n v="389.61254640000061"/>
    <m/>
    <m/>
    <m/>
    <n v="7863.1603394485119"/>
    <m/>
    <m/>
    <m/>
    <m/>
    <m/>
    <m/>
    <m/>
    <m/>
    <m/>
    <m/>
    <m/>
    <m/>
    <n v="9349.4279999999999"/>
    <n v="-54.326332800001182"/>
    <m/>
    <m/>
    <m/>
    <m/>
    <n v="-55.232520000000285"/>
    <n v="0"/>
    <n v="31"/>
    <n v="-55.321364056415405"/>
    <n v="0"/>
    <n v="0"/>
    <n v="0"/>
    <n v="0"/>
    <n v="0"/>
    <n v="0"/>
    <n v="0"/>
    <n v="0"/>
    <n v="0"/>
    <n v="0"/>
    <n v="-1.0388421287643723E-6"/>
    <n v="0"/>
    <n v="0"/>
    <n v="0"/>
    <n v="-6.3523259541398147E-8"/>
    <n v="0"/>
    <n v="-45.96942341722638"/>
    <m/>
    <n v="0"/>
    <n v="0"/>
    <n v="0"/>
    <n v="0"/>
    <n v="-7.0566379632068674"/>
    <n v="-2.2953015736166549"/>
    <n v="0"/>
    <n v="0"/>
    <m/>
    <m/>
    <m/>
    <n v="0"/>
    <n v="0"/>
    <n v="0"/>
    <n v="-55.232520000000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67"/>
    <s v="Regular"/>
    <s v="Verde"/>
    <s v="A4"/>
    <s v="Rural"/>
    <s v="Agropecuária rural"/>
    <s v="Não se aplica"/>
    <s v="Não se aplica"/>
    <s v="Não se aplica"/>
    <s v="CATIVO"/>
    <x v="10"/>
    <n v="637"/>
    <n v="611.52"/>
    <n v="0"/>
    <n v="0"/>
    <n v="0"/>
    <n v="0"/>
    <n v="74.44"/>
    <m/>
    <m/>
    <n v="47418.28"/>
    <m/>
    <n v="47418.28"/>
    <n v="28932.54"/>
    <n v="0"/>
    <n v="0"/>
    <n v="0"/>
    <n v="0"/>
    <n v="0"/>
    <n v="17337.287941897797"/>
    <n v="30080.1196640715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6.41"/>
    <n v="24"/>
    <m/>
    <m/>
    <m/>
    <m/>
    <m/>
    <n v="1157.3016000000009"/>
    <m/>
    <m/>
    <m/>
    <n v="0"/>
    <m/>
    <m/>
    <m/>
    <m/>
    <m/>
    <m/>
    <m/>
    <m/>
    <m/>
    <m/>
    <m/>
    <m/>
    <n v="27775.238400000002"/>
    <n v="-17746.340400000001"/>
    <m/>
    <m/>
    <m/>
    <m/>
    <n v="-18485.739999999998"/>
    <n v="0"/>
    <n v="31"/>
    <n v="-44.55835676580682"/>
    <n v="0"/>
    <n v="0"/>
    <n v="0"/>
    <n v="0"/>
    <m/>
    <m/>
    <m/>
    <n v="-44.558356765806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080.119664071513"/>
    <m/>
    <n v="0"/>
    <n v="0"/>
    <n v="-18485.739999999998"/>
    <m/>
    <n v="0"/>
    <m/>
    <n v="-18443.47863563127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68"/>
    <s v="Refaturamento - Regular"/>
    <s v="Verde"/>
    <s v="A4"/>
    <s v="Rural"/>
    <s v="Agropecuária rural"/>
    <s v="Não se aplica"/>
    <s v="Não se aplica"/>
    <s v="Não se aplica"/>
    <s v="CATIVO"/>
    <x v="10"/>
    <n v="-3781"/>
    <n v="-3629.76"/>
    <n v="0"/>
    <n v="0"/>
    <n v="0"/>
    <n v="0"/>
    <n v="74.44"/>
    <m/>
    <m/>
    <n v="-281457.64"/>
    <m/>
    <n v="-281457.64"/>
    <n v="-171733.02000000002"/>
    <n v="0"/>
    <n v="0"/>
    <n v="0"/>
    <n v="0"/>
    <n v="0"/>
    <n v="-102907.82685763825"/>
    <n v="-178544.634929127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n v="-6869.3207999999904"/>
    <m/>
    <m/>
    <m/>
    <n v="0"/>
    <m/>
    <m/>
    <m/>
    <m/>
    <m/>
    <m/>
    <m/>
    <m/>
    <m/>
    <m/>
    <m/>
    <m/>
    <n v="-164863.6992"/>
    <n v="105335.60519999996"/>
    <m/>
    <m/>
    <m/>
    <m/>
    <n v="109724.61999999998"/>
    <n v="0"/>
    <n v="31"/>
    <n v="264.48217728651071"/>
    <n v="0"/>
    <n v="0"/>
    <n v="0"/>
    <n v="0"/>
    <m/>
    <m/>
    <m/>
    <n v="264.482177286510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78544.63492912779"/>
    <m/>
    <n v="0"/>
    <n v="0"/>
    <n v="109724.62"/>
    <m/>
    <n v="0"/>
    <m/>
    <n v="109473.7719330013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69"/>
    <s v="Sistema de Compensação"/>
    <s v="Verde"/>
    <s v="A4"/>
    <s v="Rural"/>
    <s v="Agropecuária rural"/>
    <s v="Não se aplica"/>
    <s v="Não se aplica"/>
    <s v="Não se aplica"/>
    <s v="CATIVO"/>
    <x v="10"/>
    <n v="44"/>
    <n v="42.239999999999995"/>
    <n v="0"/>
    <n v="0"/>
    <n v="0"/>
    <n v="0"/>
    <n v="74.44"/>
    <m/>
    <m/>
    <n v="3275.3599999999997"/>
    <m/>
    <n v="3275.3599999999997"/>
    <n v="1998.48"/>
    <n v="0"/>
    <n v="0"/>
    <n v="0"/>
    <n v="0"/>
    <n v="0"/>
    <n v="1197.5520713398791"/>
    <n v="2077.7476691038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.49"/>
    <n v="3"/>
    <m/>
    <m/>
    <m/>
    <m/>
    <m/>
    <n v="79.939200000000241"/>
    <m/>
    <m/>
    <m/>
    <n v="0"/>
    <m/>
    <m/>
    <m/>
    <m/>
    <m/>
    <m/>
    <m/>
    <m/>
    <m/>
    <m/>
    <m/>
    <m/>
    <n v="1918.5408000000002"/>
    <n v="-1225.8348000000001"/>
    <m/>
    <m/>
    <m/>
    <m/>
    <n v="-1276.8799999999999"/>
    <n v="0"/>
    <n v="31"/>
    <n v="-3.0778142820963694"/>
    <n v="0"/>
    <n v="0"/>
    <n v="0"/>
    <n v="0"/>
    <m/>
    <m/>
    <m/>
    <n v="-3.07781428209636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77.747669103841"/>
    <m/>
    <n v="0"/>
    <n v="0"/>
    <n v="-1276.8799999999997"/>
    <m/>
    <n v="0"/>
    <m/>
    <n v="-1273.960847673118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70"/>
    <s v="Regular"/>
    <s v="Verde"/>
    <s v="A4"/>
    <s v="Rural"/>
    <s v="Agropecuária rural"/>
    <s v="IRRIG./AQUIC. PR"/>
    <s v="Não se aplica"/>
    <s v="Fora ponta"/>
    <s v="CATIVO"/>
    <x v="10"/>
    <n v="0"/>
    <n v="0"/>
    <n v="18.097999999999999"/>
    <n v="5.4294000000000002"/>
    <n v="18.097999999999999"/>
    <n v="5.4294000000000002"/>
    <m/>
    <n v="81.2"/>
    <n v="252.22"/>
    <m/>
    <n v="6034.2351600000002"/>
    <n v="6034.2351600000002"/>
    <n v="6000.2109199999995"/>
    <n v="0"/>
    <n v="973.89403285625099"/>
    <n v="0"/>
    <n v="0"/>
    <n v="0"/>
    <n v="0"/>
    <n v="0"/>
    <n v="4564.7276457980042"/>
    <n v="0"/>
    <n v="0"/>
    <n v="0"/>
    <n v="0"/>
    <n v="0"/>
    <n v="173.03550617201878"/>
    <m/>
    <n v="43.542089278989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12258134856842"/>
    <n v="0"/>
    <n v="0"/>
    <n v="0"/>
    <n v="0"/>
    <n v="0"/>
    <m/>
    <m/>
    <m/>
    <m/>
    <m/>
    <m/>
    <n v="4200.1476439999997"/>
    <m/>
    <m/>
    <n v="4843.8502271465723"/>
    <m/>
    <m/>
    <m/>
    <m/>
    <m/>
    <m/>
    <m/>
    <m/>
    <m/>
    <m/>
    <m/>
    <m/>
    <n v="1800.2621999999999"/>
    <n v="-10.038348000000042"/>
    <m/>
    <m/>
    <m/>
    <m/>
    <n v="-34.024240000000169"/>
    <n v="0"/>
    <n v="31"/>
    <n v="-34.078969559651341"/>
    <n v="0"/>
    <n v="0"/>
    <n v="0"/>
    <n v="0"/>
    <n v="0"/>
    <n v="0"/>
    <n v="0"/>
    <n v="0"/>
    <n v="0"/>
    <n v="0"/>
    <n v="-6.3994593801908195E-7"/>
    <n v="0"/>
    <n v="0"/>
    <n v="0"/>
    <n v="-3.9131464291131124E-8"/>
    <n v="0"/>
    <n v="-28.318003506074547"/>
    <m/>
    <n v="0"/>
    <n v="0"/>
    <n v="0"/>
    <n v="0"/>
    <n v="-4.3470177289260334"/>
    <n v="-1.413947645573856"/>
    <n v="0"/>
    <n v="0"/>
    <m/>
    <m/>
    <m/>
    <n v="0"/>
    <n v="0"/>
    <n v="0"/>
    <n v="-34.02423999999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1"/>
    <s v="Regular"/>
    <s v="Convencional"/>
    <s v="B1"/>
    <s v="Residencial"/>
    <s v="Residencial"/>
    <s v="Não se aplica"/>
    <s v="Não se aplica"/>
    <s v="Não se aplica"/>
    <s v="CATIVO"/>
    <x v="11"/>
    <n v="0"/>
    <n v="0"/>
    <n v="943.17600000000004"/>
    <n v="943.17600000000004"/>
    <n v="943.17600000000004"/>
    <n v="943.17600000000004"/>
    <m/>
    <n v="739.04"/>
    <n v="252.22"/>
    <m/>
    <n v="934932.64176000003"/>
    <n v="934932.64176000003"/>
    <n v="639445.03272000002"/>
    <n v="0"/>
    <n v="58338.412851437672"/>
    <n v="0"/>
    <n v="0"/>
    <n v="0"/>
    <n v="116479.95435938734"/>
    <n v="478178.69700800732"/>
    <n v="237890.46093784829"/>
    <n v="0"/>
    <n v="0"/>
    <n v="0"/>
    <n v="0"/>
    <n v="0"/>
    <n v="9017.7332616476961"/>
    <m/>
    <n v="2210.142942992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17.099615400053"/>
    <n v="0"/>
    <n v="0"/>
    <n v="0"/>
    <n v="203321.89"/>
    <n v="7704"/>
    <m/>
    <m/>
    <m/>
    <m/>
    <m/>
    <m/>
    <m/>
    <m/>
    <m/>
    <n v="270707.56055324833"/>
    <m/>
    <m/>
    <m/>
    <m/>
    <m/>
    <m/>
    <m/>
    <m/>
    <m/>
    <m/>
    <m/>
    <m/>
    <n v="639447.74459999998"/>
    <n v="-295484.92716000008"/>
    <m/>
    <m/>
    <m/>
    <m/>
    <n v="-295487.60903999995"/>
    <n v="0"/>
    <n v="30"/>
    <n v="-2293.9897716588457"/>
    <n v="0"/>
    <n v="0"/>
    <n v="0"/>
    <n v="0"/>
    <n v="0"/>
    <n v="0"/>
    <n v="0"/>
    <n v="-299.36374015353795"/>
    <n v="0"/>
    <n v="0"/>
    <n v="-3.3350719604641199E-5"/>
    <n v="0"/>
    <n v="0"/>
    <n v="0"/>
    <n v="-4.6007189666852355E-6"/>
    <n v="0"/>
    <n v="-1696.3112247651297"/>
    <m/>
    <n v="0"/>
    <n v="0"/>
    <n v="0"/>
    <n v="0"/>
    <n v="-226.54452389753351"/>
    <n v="-71.7702448911582"/>
    <n v="0"/>
    <n v="0"/>
    <m/>
    <m/>
    <m/>
    <n v="478178.69700800732"/>
    <n v="0"/>
    <n v="0"/>
    <n v="-295487.60904000001"/>
    <n v="0"/>
    <n v="0"/>
    <n v="0"/>
    <n v="-293192.9354262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2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54.265999999999998"/>
    <n v="54.265999999999998"/>
    <n v="54.265999999999998"/>
    <n v="54.265999999999998"/>
    <m/>
    <n v="739.04"/>
    <n v="252.22"/>
    <m/>
    <n v="53791.715159999992"/>
    <n v="53791.715159999992"/>
    <n v="36790.720019999993"/>
    <n v="0"/>
    <n v="3356.5233973257555"/>
    <n v="0"/>
    <n v="0"/>
    <n v="0"/>
    <n v="6701.7197249150877"/>
    <n v="27512.198329724804"/>
    <n v="13687.120699904657"/>
    <n v="0"/>
    <n v="0"/>
    <n v="0"/>
    <n v="0"/>
    <n v="0"/>
    <n v="518.83880969890436"/>
    <m/>
    <n v="127.1614385273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8.14465988246"/>
    <n v="0"/>
    <n v="0"/>
    <n v="0"/>
    <n v="28470.82"/>
    <n v="532"/>
    <m/>
    <m/>
    <m/>
    <m/>
    <m/>
    <m/>
    <m/>
    <m/>
    <m/>
    <n v="15575.265359787118"/>
    <m/>
    <m/>
    <m/>
    <m/>
    <m/>
    <m/>
    <m/>
    <m/>
    <m/>
    <m/>
    <m/>
    <m/>
    <n v="36793.431900000003"/>
    <n v="-16998.313259999995"/>
    <m/>
    <m/>
    <m/>
    <m/>
    <n v="-17000.995139999999"/>
    <n v="0"/>
    <n v="30"/>
    <n v="-131.98559860390378"/>
    <n v="0"/>
    <n v="0"/>
    <n v="0"/>
    <n v="0"/>
    <n v="0"/>
    <n v="0"/>
    <n v="0"/>
    <n v="-17.224009859423859"/>
    <n v="0"/>
    <n v="0"/>
    <n v="-1.9188464648323134E-6"/>
    <n v="0"/>
    <n v="0"/>
    <n v="0"/>
    <n v="-2.6470434022485279E-7"/>
    <n v="0"/>
    <n v="-97.597929679195204"/>
    <m/>
    <n v="0"/>
    <n v="0"/>
    <n v="0"/>
    <n v="0"/>
    <n v="-13.034327775328791"/>
    <n v="-4.1293291064060185"/>
    <n v="0"/>
    <n v="0"/>
    <m/>
    <m/>
    <m/>
    <n v="27512.198329724804"/>
    <n v="0"/>
    <n v="0"/>
    <n v="-17000.995139999999"/>
    <n v="0"/>
    <n v="0"/>
    <n v="0"/>
    <n v="-16868.97019627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3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-0.34799999999999998"/>
    <n v="-0.34799999999999998"/>
    <n v="-0.34799999999999998"/>
    <n v="-0.34799999999999998"/>
    <m/>
    <n v="739.04"/>
    <n v="252.22"/>
    <m/>
    <n v="-344.95847999999995"/>
    <n v="-344.95847999999995"/>
    <n v="-235.93356"/>
    <n v="0"/>
    <n v="-21.524898504945323"/>
    <n v="0"/>
    <n v="0"/>
    <n v="0"/>
    <n v="-42.977158151889775"/>
    <n v="-176.43174397862808"/>
    <n v="-87.773523081981722"/>
    <n v="0"/>
    <n v="0"/>
    <n v="0"/>
    <n v="0"/>
    <n v="0"/>
    <n v="-3.3272381560317461"/>
    <m/>
    <n v="-0.81546789163573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108398290625734"/>
    <n v="0"/>
    <n v="0"/>
    <n v="0"/>
    <n v="-83.01"/>
    <n v="2"/>
    <m/>
    <m/>
    <m/>
    <m/>
    <m/>
    <m/>
    <m/>
    <m/>
    <m/>
    <n v="-99.881921372607451"/>
    <m/>
    <m/>
    <m/>
    <m/>
    <m/>
    <m/>
    <m/>
    <m/>
    <m/>
    <m/>
    <m/>
    <m/>
    <n v="-237.28949999999998"/>
    <n v="107.63898"/>
    <m/>
    <m/>
    <m/>
    <m/>
    <n v="109.02491999999998"/>
    <n v="0"/>
    <n v="30"/>
    <n v="0.84640453164334417"/>
    <n v="0"/>
    <n v="0"/>
    <n v="0"/>
    <n v="0"/>
    <n v="0"/>
    <n v="0"/>
    <n v="0"/>
    <n v="0.11045508110197488"/>
    <n v="0"/>
    <n v="0"/>
    <n v="1.2305278573876421E-8"/>
    <n v="0"/>
    <n v="0"/>
    <n v="0"/>
    <n v="1.6975114647266309E-9"/>
    <n v="0"/>
    <n v="0.62588139034312462"/>
    <m/>
    <n v="0"/>
    <n v="0"/>
    <n v="0"/>
    <n v="0"/>
    <n v="8.3587256584499503E-2"/>
    <n v="2.648078961097744E-2"/>
    <n v="0"/>
    <n v="0"/>
    <m/>
    <m/>
    <m/>
    <n v="-176.43174397862808"/>
    <n v="0"/>
    <n v="0"/>
    <n v="109.02491999999995"/>
    <n v="0"/>
    <n v="0"/>
    <n v="0"/>
    <n v="108.17826315377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4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4.93"/>
    <n v="24.93"/>
    <n v="24.93"/>
    <n v="24.93"/>
    <m/>
    <n v="667.62"/>
    <n v="252.22"/>
    <m/>
    <n v="22931.611199999999"/>
    <n v="22931.611199999999"/>
    <n v="15172.148699999998"/>
    <n v="0"/>
    <n v="0"/>
    <n v="0"/>
    <n v="0"/>
    <n v="0"/>
    <n v="3078.7946917431382"/>
    <n v="12639.205107434478"/>
    <n v="6287.9135932005884"/>
    <n v="0"/>
    <n v="0"/>
    <n v="0"/>
    <n v="0"/>
    <n v="0"/>
    <n v="0"/>
    <m/>
    <n v="58.418432581835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7.42060168189528"/>
    <n v="0"/>
    <n v="0"/>
    <n v="0"/>
    <n v="1527.88"/>
    <n v="96"/>
    <m/>
    <m/>
    <m/>
    <m/>
    <m/>
    <m/>
    <m/>
    <n v="9861.8093999999983"/>
    <m/>
    <n v="7155.3341948824836"/>
    <m/>
    <m/>
    <m/>
    <m/>
    <m/>
    <m/>
    <m/>
    <m/>
    <m/>
    <m/>
    <m/>
    <m/>
    <n v="5310.3392999999996"/>
    <n v="-2715.9042000000009"/>
    <m/>
    <m/>
    <m/>
    <m/>
    <n v="-7759.4624999999996"/>
    <n v="0"/>
    <n v="30"/>
    <n v="-9.8098034654121875"/>
    <n v="0"/>
    <n v="0"/>
    <n v="0"/>
    <n v="0"/>
    <n v="0"/>
    <n v="0"/>
    <n v="0"/>
    <n v="-7.9127734823910032"/>
    <n v="0"/>
    <n v="0"/>
    <n v="-8.8152592070400715E-7"/>
    <n v="0"/>
    <n v="0"/>
    <n v="0"/>
    <n v="-1.2160614915046608E-7"/>
    <n v="0"/>
    <n v="0"/>
    <m/>
    <n v="0"/>
    <n v="0"/>
    <n v="0"/>
    <n v="0"/>
    <n v="0"/>
    <n v="-1.8970289798898392"/>
    <n v="0"/>
    <n v="0"/>
    <m/>
    <m/>
    <m/>
    <n v="12639.205107434478"/>
    <n v="0"/>
    <n v="0"/>
    <n v="-7759.4624999999996"/>
    <n v="0"/>
    <n v="0"/>
    <n v="0"/>
    <n v="-7749.6669552403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5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26300000000000001"/>
    <n v="-1.6174500000000001"/>
    <n v="0.26300000000000001"/>
    <n v="-1.6174500000000001"/>
    <m/>
    <n v="667.62"/>
    <n v="252.22"/>
    <m/>
    <n v="241.91792000000004"/>
    <n v="241.91792000000004"/>
    <n v="160.05916999999999"/>
    <n v="0"/>
    <n v="0"/>
    <n v="0"/>
    <n v="0"/>
    <n v="0"/>
    <n v="32.479863775709802"/>
    <n v="133.33778352407813"/>
    <n v="66.334587846440215"/>
    <n v="0"/>
    <n v="0"/>
    <n v="0"/>
    <n v="0"/>
    <n v="0"/>
    <n v="0"/>
    <m/>
    <n v="0.61628751580516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508872138924371"/>
    <n v="0"/>
    <n v="0"/>
    <n v="0"/>
    <n v="20.63"/>
    <n v="0"/>
    <m/>
    <m/>
    <m/>
    <m/>
    <m/>
    <m/>
    <m/>
    <n v="504.59219450000006"/>
    <m/>
    <n v="75.485475060332647"/>
    <m/>
    <m/>
    <m/>
    <m/>
    <m/>
    <m/>
    <m/>
    <m/>
    <m/>
    <m/>
    <m/>
    <m/>
    <n v="-345.07620000000009"/>
    <n v="175.63182749999999"/>
    <m/>
    <m/>
    <m/>
    <m/>
    <n v="-81.858750000000001"/>
    <n v="0"/>
    <n v="30"/>
    <n v="-0.10348890137998978"/>
    <n v="0"/>
    <n v="0"/>
    <n v="0"/>
    <n v="0"/>
    <n v="0"/>
    <n v="0"/>
    <n v="0"/>
    <n v="-8.3476110143152482E-2"/>
    <n v="0"/>
    <n v="0"/>
    <n v="-9.2996828016111976E-9"/>
    <n v="0"/>
    <n v="0"/>
    <n v="0"/>
    <n v="-1.2828884621285397E-9"/>
    <n v="0"/>
    <n v="0"/>
    <m/>
    <n v="0"/>
    <n v="0"/>
    <n v="0"/>
    <n v="0"/>
    <n v="0"/>
    <n v="-2.0012780654273143E-2"/>
    <n v="0"/>
    <n v="0"/>
    <m/>
    <m/>
    <m/>
    <n v="133.33778352407813"/>
    <n v="0"/>
    <n v="0"/>
    <n v="-81.858750000000015"/>
    <n v="0"/>
    <n v="0"/>
    <n v="0"/>
    <n v="-81.755411521387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6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0.932000000000002"/>
    <n v="40.932000000000002"/>
    <n v="40.932000000000002"/>
    <n v="40.932000000000002"/>
    <m/>
    <n v="667.62"/>
    <n v="252.22"/>
    <m/>
    <n v="37650.890880000006"/>
    <n v="37650.890880000006"/>
    <n v="24910.80588"/>
    <n v="0"/>
    <n v="0"/>
    <n v="0"/>
    <n v="0"/>
    <n v="0"/>
    <n v="5055.002981244691"/>
    <n v="20752.023403831052"/>
    <n v="10323.982318366887"/>
    <n v="0"/>
    <n v="0"/>
    <n v="0"/>
    <n v="0"/>
    <n v="0"/>
    <n v="0"/>
    <m/>
    <n v="95.915895805844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4.1981575629097"/>
    <n v="0"/>
    <n v="0"/>
    <n v="0"/>
    <n v="4906.21"/>
    <n v="320"/>
    <m/>
    <m/>
    <m/>
    <m/>
    <m/>
    <m/>
    <m/>
    <n v="9964.4860800000006"/>
    <m/>
    <n v="11748.180475929796"/>
    <m/>
    <m/>
    <m/>
    <m/>
    <m/>
    <m/>
    <m/>
    <m/>
    <m/>
    <m/>
    <m/>
    <m/>
    <n v="14945.5895"/>
    <n v="-7644.8112999999958"/>
    <m/>
    <m/>
    <m/>
    <m/>
    <n v="-12740.085000000001"/>
    <n v="0"/>
    <n v="30"/>
    <n v="-16.106493198807584"/>
    <n v="0"/>
    <n v="0"/>
    <n v="0"/>
    <n v="0"/>
    <n v="0"/>
    <n v="0"/>
    <n v="0"/>
    <n v="-12.99180281513236"/>
    <n v="0"/>
    <n v="0"/>
    <n v="-1.4473571354756132E-6"/>
    <n v="0"/>
    <n v="0"/>
    <n v="0"/>
    <n v="-1.9966228137491271E-7"/>
    <n v="0"/>
    <n v="0"/>
    <m/>
    <n v="0"/>
    <n v="0"/>
    <n v="0"/>
    <n v="0"/>
    <n v="0"/>
    <n v="-3.1146887366566887"/>
    <n v="0"/>
    <n v="0"/>
    <m/>
    <m/>
    <m/>
    <n v="20752.023403831052"/>
    <n v="0"/>
    <n v="0"/>
    <n v="-12740.085000000001"/>
    <n v="0"/>
    <n v="0"/>
    <n v="0"/>
    <n v="-12724.001917845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7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20200000000000001"/>
    <n v="-0.68679999999999997"/>
    <n v="0.20200000000000001"/>
    <n v="-0.68679999999999997"/>
    <m/>
    <n v="667.62"/>
    <n v="252.22"/>
    <m/>
    <n v="185.80768"/>
    <n v="185.80768"/>
    <n v="122.93518000000002"/>
    <n v="0"/>
    <n v="0"/>
    <n v="0"/>
    <n v="0"/>
    <n v="0"/>
    <n v="24.946511341039471"/>
    <n v="102.41152955081287"/>
    <n v="50.948999030345725"/>
    <n v="0"/>
    <n v="0"/>
    <n v="0"/>
    <n v="0"/>
    <n v="0"/>
    <n v="0"/>
    <m/>
    <n v="0.47334630491499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0284380882367774"/>
    <n v="0"/>
    <n v="0"/>
    <n v="0"/>
    <n v="56.99"/>
    <n v="1"/>
    <m/>
    <m/>
    <m/>
    <m/>
    <m/>
    <m/>
    <m/>
    <n v="373.72019999999998"/>
    <m/>
    <n v="57.9774371185825"/>
    <m/>
    <m/>
    <m/>
    <m/>
    <m/>
    <m/>
    <m/>
    <m/>
    <m/>
    <m/>
    <m/>
    <m/>
    <n v="-251.95349999999999"/>
    <n v="127.06142000000003"/>
    <m/>
    <m/>
    <m/>
    <m/>
    <n v="-62.872500000000002"/>
    <n v="0"/>
    <n v="30"/>
    <n v="-7.9485772162584567E-2"/>
    <n v="0"/>
    <n v="0"/>
    <n v="0"/>
    <n v="0"/>
    <n v="0"/>
    <n v="0"/>
    <n v="0"/>
    <n v="-6.4114730984478285E-2"/>
    <n v="0"/>
    <n v="0"/>
    <n v="-7.1427237458010495E-9"/>
    <n v="0"/>
    <n v="0"/>
    <n v="0"/>
    <n v="-9.8533625703112193E-10"/>
    <n v="0"/>
    <n v="0"/>
    <m/>
    <n v="0"/>
    <n v="0"/>
    <n v="0"/>
    <n v="0"/>
    <n v="0"/>
    <n v="-1.5371033050050054E-2"/>
    <n v="0"/>
    <n v="0"/>
    <m/>
    <m/>
    <m/>
    <n v="102.41152955081287"/>
    <n v="0"/>
    <n v="0"/>
    <n v="-62.872499999999988"/>
    <n v="0"/>
    <n v="0"/>
    <n v="0"/>
    <n v="-62.793129761674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23.856999999999999"/>
    <n v="23.856999999999999"/>
    <n v="23.856999999999999"/>
    <n v="23.856999999999999"/>
    <m/>
    <n v="667.62"/>
    <n v="252.22"/>
    <m/>
    <n v="21944.622879999999"/>
    <n v="21944.622879999999"/>
    <n v="14519.13163"/>
    <n v="0"/>
    <n v="0"/>
    <n v="0"/>
    <n v="0"/>
    <n v="0"/>
    <n v="2946.2817874414782"/>
    <n v="12095.207230167041"/>
    <n v="6017.2785636978106"/>
    <n v="0"/>
    <n v="0"/>
    <n v="0"/>
    <n v="0"/>
    <n v="0"/>
    <n v="0"/>
    <m/>
    <n v="55.904073249292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0.08637361913259"/>
    <n v="0"/>
    <n v="0"/>
    <n v="0"/>
    <n v="4355.1099999999997"/>
    <n v="344"/>
    <m/>
    <m/>
    <m/>
    <m/>
    <m/>
    <m/>
    <m/>
    <n v="1451.6984499999999"/>
    <m/>
    <n v="6847.3649373169428"/>
    <m/>
    <m/>
    <m/>
    <m/>
    <m/>
    <m/>
    <m/>
    <m/>
    <m/>
    <m/>
    <m/>
    <m/>
    <n v="13069.0764"/>
    <n v="-6681.2096199999996"/>
    <m/>
    <m/>
    <m/>
    <m/>
    <n v="-7425.49125"/>
    <n v="0"/>
    <n v="30"/>
    <n v="-9.3875844875383336"/>
    <n v="0"/>
    <n v="0"/>
    <n v="0"/>
    <n v="0"/>
    <n v="0"/>
    <n v="0"/>
    <n v="0"/>
    <n v="-7.5722036489933089"/>
    <n v="0"/>
    <n v="0"/>
    <n v="-8.4358362073544413E-7"/>
    <n v="0"/>
    <n v="0"/>
    <n v="0"/>
    <n v="-1.163721208286006E-7"/>
    <n v="0"/>
    <n v="0"/>
    <m/>
    <n v="0"/>
    <n v="0"/>
    <n v="0"/>
    <n v="0"/>
    <n v="0"/>
    <n v="-1.8153798785893329"/>
    <n v="0"/>
    <n v="0"/>
    <m/>
    <m/>
    <m/>
    <n v="12095.207230167041"/>
    <n v="0"/>
    <n v="0"/>
    <n v="-7425.4912500000009"/>
    <n v="0"/>
    <n v="0"/>
    <n v="0"/>
    <n v="-7416.117310516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79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.5999999999999997E-2"/>
    <n v="0"/>
    <n v="3.5999999999999997E-2"/>
    <n v="0"/>
    <m/>
    <n v="667.62"/>
    <n v="252.22"/>
    <m/>
    <n v="33.114239999999995"/>
    <n v="33.114239999999995"/>
    <n v="21.909239999999997"/>
    <n v="0"/>
    <n v="0"/>
    <n v="0"/>
    <n v="0"/>
    <n v="0"/>
    <n v="4.4459129122644594"/>
    <n v="18.251559721927041"/>
    <n v="9.0800196291705237"/>
    <n v="0"/>
    <n v="0"/>
    <n v="0"/>
    <n v="0"/>
    <n v="0"/>
    <n v="0"/>
    <m/>
    <n v="8.4358747410593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525929266164553"/>
    <n v="0"/>
    <n v="0"/>
    <n v="0"/>
    <n v="99.64"/>
    <n v="6"/>
    <m/>
    <m/>
    <m/>
    <m/>
    <m/>
    <m/>
    <m/>
    <n v="21.90924"/>
    <m/>
    <n v="10.332612555786978"/>
    <m/>
    <m/>
    <m/>
    <m/>
    <m/>
    <m/>
    <m/>
    <m/>
    <m/>
    <m/>
    <m/>
    <m/>
    <n v="0"/>
    <n v="-0.03"/>
    <m/>
    <m/>
    <m/>
    <m/>
    <n v="-11.204999999999998"/>
    <n v="0"/>
    <n v="30"/>
    <n v="-1.4165781177489123E-2"/>
    <n v="0"/>
    <n v="0"/>
    <n v="0"/>
    <n v="0"/>
    <n v="0"/>
    <n v="0"/>
    <n v="0"/>
    <n v="-1.1426387700203655E-2"/>
    <n v="0"/>
    <n v="0"/>
    <n v="-1.2729604037531317E-9"/>
    <n v="0"/>
    <n v="0"/>
    <n v="0"/>
    <n v="-1.7560464193877579E-10"/>
    <n v="0"/>
    <n v="0"/>
    <m/>
    <n v="0"/>
    <n v="0"/>
    <n v="0"/>
    <n v="0"/>
    <n v="0"/>
    <n v="-2.739392028721796E-3"/>
    <n v="0"/>
    <n v="0"/>
    <m/>
    <m/>
    <m/>
    <n v="18.251559721927041"/>
    <n v="0"/>
    <n v="0"/>
    <n v="-11.204999999999998"/>
    <n v="0"/>
    <n v="0"/>
    <n v="0"/>
    <n v="-11.190854809011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0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5.8520000000000003"/>
    <n v="5.8520000000000003"/>
    <n v="5.8520000000000003"/>
    <n v="5.8520000000000003"/>
    <m/>
    <n v="667.62"/>
    <n v="252.22"/>
    <m/>
    <n v="5382.9036800000003"/>
    <n v="5382.9036800000003"/>
    <n v="3561.4686799999999"/>
    <n v="0"/>
    <n v="0"/>
    <n v="0"/>
    <n v="0"/>
    <n v="0"/>
    <n v="722.70784340476723"/>
    <n v="2966.8924303532517"/>
    <n v="1476.0076352751641"/>
    <n v="0"/>
    <n v="0"/>
    <n v="0"/>
    <n v="0"/>
    <n v="0"/>
    <n v="0"/>
    <m/>
    <n v="13.712983051299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.61593907109713"/>
    <n v="0"/>
    <n v="0"/>
    <n v="0"/>
    <n v="1186.82"/>
    <n v="69"/>
    <m/>
    <m/>
    <m/>
    <m/>
    <m/>
    <m/>
    <m/>
    <m/>
    <m/>
    <n v="1679.6235743462612"/>
    <m/>
    <m/>
    <m/>
    <m/>
    <m/>
    <m/>
    <m/>
    <m/>
    <m/>
    <m/>
    <m/>
    <m/>
    <n v="3560.2514999999994"/>
    <n v="-1822.6821800000016"/>
    <m/>
    <m/>
    <m/>
    <m/>
    <n v="-1821.4350000000002"/>
    <n v="0"/>
    <n v="30"/>
    <n v="-2.3027264291854408"/>
    <n v="0"/>
    <n v="0"/>
    <n v="0"/>
    <n v="0"/>
    <n v="0"/>
    <n v="0"/>
    <n v="0"/>
    <n v="-1.8574228005998066"/>
    <n v="0"/>
    <n v="0"/>
    <n v="-2.0692687030532397E-7"/>
    <n v="0"/>
    <n v="0"/>
    <n v="0"/>
    <n v="-2.8545485974973417E-8"/>
    <n v="0"/>
    <n v="0"/>
    <m/>
    <n v="0"/>
    <n v="0"/>
    <n v="0"/>
    <n v="0"/>
    <n v="0"/>
    <n v="-0.445303393113333"/>
    <n v="0"/>
    <n v="0"/>
    <m/>
    <m/>
    <m/>
    <n v="2966.8924303532517"/>
    <n v="0"/>
    <n v="0"/>
    <n v="-1821.4349999999999"/>
    <n v="0"/>
    <n v="0"/>
    <n v="0"/>
    <n v="-1819.135620620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1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.5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82"/>
    <s v="Regular"/>
    <s v="Convencional"/>
    <s v="B3"/>
    <s v="Industrial"/>
    <s v="Não se aplica"/>
    <s v="Não se aplica"/>
    <s v="Não se aplica"/>
    <s v="Não se aplica"/>
    <s v="CATIVO"/>
    <x v="11"/>
    <n v="0"/>
    <n v="0"/>
    <n v="19.295000000000002"/>
    <n v="19.295000000000002"/>
    <n v="19.295000000000002"/>
    <n v="19.295000000000002"/>
    <m/>
    <n v="739.04"/>
    <n v="252.22"/>
    <m/>
    <n v="19126.361700000001"/>
    <n v="19126.361700000001"/>
    <n v="13081.43115"/>
    <n v="0"/>
    <n v="1193.4566570486209"/>
    <n v="0"/>
    <n v="0"/>
    <n v="0"/>
    <n v="2382.8858233928545"/>
    <n v="9782.3290231828432"/>
    <n v="4866.6382984679249"/>
    <n v="0"/>
    <n v="0"/>
    <n v="0"/>
    <n v="0"/>
    <n v="0"/>
    <n v="184.48005810526595"/>
    <m/>
    <n v="45.213945313538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3550144184585"/>
    <n v="0"/>
    <n v="0"/>
    <n v="0"/>
    <n v="2679.25"/>
    <n v="14"/>
    <m/>
    <m/>
    <m/>
    <m/>
    <m/>
    <m/>
    <m/>
    <m/>
    <m/>
    <n v="5537.9933128863831"/>
    <m/>
    <m/>
    <m/>
    <m/>
    <m/>
    <m/>
    <m/>
    <m/>
    <m/>
    <m/>
    <m/>
    <m/>
    <n v="13084.821"/>
    <n v="-6041.5707000000002"/>
    <m/>
    <m/>
    <m/>
    <m/>
    <n v="-6044.93055"/>
    <n v="0"/>
    <n v="30"/>
    <n v="-46.92923976453676"/>
    <n v="0"/>
    <n v="0"/>
    <n v="0"/>
    <n v="0"/>
    <n v="0"/>
    <n v="0"/>
    <n v="0"/>
    <n v="-6.1242264076508945"/>
    <n v="0"/>
    <n v="0"/>
    <n v="-6.8227200245019048E-7"/>
    <n v="0"/>
    <n v="0"/>
    <n v="0"/>
    <n v="-9.41191728998092E-8"/>
    <n v="0"/>
    <n v="-34.702245478938494"/>
    <m/>
    <n v="0"/>
    <n v="0"/>
    <n v="0"/>
    <n v="0"/>
    <n v="-4.6345290683848077"/>
    <n v="-1.4682380331718647"/>
    <n v="0"/>
    <n v="0"/>
    <m/>
    <m/>
    <m/>
    <n v="9782.3290231828432"/>
    <n v="0"/>
    <n v="0"/>
    <n v="-6044.9305500000009"/>
    <n v="0"/>
    <n v="0"/>
    <n v="0"/>
    <n v="-5997.987320552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3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7.5369999999999999"/>
    <n v="7.5369999999999999"/>
    <n v="7.5369999999999999"/>
    <n v="7.5369999999999999"/>
    <m/>
    <n v="739.04"/>
    <n v="252.22"/>
    <m/>
    <n v="7471.12662"/>
    <n v="7471.12662"/>
    <n v="5109.8598899999997"/>
    <n v="0"/>
    <n v="466.18724147061175"/>
    <n v="0"/>
    <n v="0"/>
    <n v="0"/>
    <n v="930.80126721492309"/>
    <n v="3821.1668228934482"/>
    <n v="1901.0029984738401"/>
    <n v="0"/>
    <n v="0"/>
    <n v="0"/>
    <n v="0"/>
    <n v="0"/>
    <n v="72.061476959802505"/>
    <m/>
    <n v="17.661441089823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.24424688633957"/>
    <n v="0"/>
    <n v="0"/>
    <n v="0"/>
    <n v="2356.1"/>
    <n v="11"/>
    <m/>
    <m/>
    <m/>
    <m/>
    <m/>
    <m/>
    <m/>
    <m/>
    <m/>
    <n v="2163.2472453601795"/>
    <m/>
    <m/>
    <m/>
    <m/>
    <m/>
    <m/>
    <m/>
    <m/>
    <m/>
    <m/>
    <m/>
    <m/>
    <n v="5111.8937999999998"/>
    <n v="-2359.2628200000008"/>
    <m/>
    <m/>
    <m/>
    <m/>
    <n v="-2361.2667299999998"/>
    <n v="0"/>
    <n v="30"/>
    <n v="-18.331468261482314"/>
    <n v="0"/>
    <n v="0"/>
    <n v="0"/>
    <n v="0"/>
    <n v="0"/>
    <n v="0"/>
    <n v="0"/>
    <n v="-2.3922412249009994"/>
    <n v="0"/>
    <n v="0"/>
    <n v="-2.6650855033949483E-7"/>
    <n v="0"/>
    <n v="0"/>
    <n v="0"/>
    <n v="-3.6764788546861382E-8"/>
    <n v="0"/>
    <n v="-13.555367928207204"/>
    <m/>
    <n v="0"/>
    <n v="0"/>
    <n v="0"/>
    <n v="0"/>
    <n v="-1.810336646199346"/>
    <n v="-0.57352215890211511"/>
    <n v="0"/>
    <n v="0"/>
    <m/>
    <m/>
    <m/>
    <n v="3821.1668228934482"/>
    <n v="0"/>
    <n v="0"/>
    <n v="-2361.2667299999998"/>
    <n v="0"/>
    <n v="0"/>
    <n v="0"/>
    <n v="-2342.929797097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4"/>
    <s v="Regular"/>
    <s v="Azul"/>
    <s v="A4"/>
    <s v="Industrial"/>
    <s v="Não se aplica"/>
    <s v="Não se aplica"/>
    <s v="Não se aplica"/>
    <s v="Ponta"/>
    <s v="CATIVO"/>
    <x v="11"/>
    <n v="241"/>
    <n v="241"/>
    <n v="14.654999999999999"/>
    <n v="14.654999999999999"/>
    <n v="14.654999999999999"/>
    <n v="14.654999999999999"/>
    <n v="106.38"/>
    <n v="81.2"/>
    <n v="252.22"/>
    <n v="25637.579999999998"/>
    <n v="4886.2700999999997"/>
    <n v="30523.8501"/>
    <n v="18730.6787"/>
    <n v="0"/>
    <n v="788.61846897493422"/>
    <n v="0"/>
    <n v="0"/>
    <n v="0"/>
    <n v="6477.3367232641021"/>
    <n v="19160.705510639211"/>
    <n v="3696.3246573748343"/>
    <n v="0"/>
    <n v="0"/>
    <n v="0"/>
    <n v="0"/>
    <n v="0"/>
    <n v="140.11688269150929"/>
    <m/>
    <n v="35.25855444709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.02173884756715"/>
    <n v="0"/>
    <n v="0"/>
    <n v="0"/>
    <n v="0"/>
    <n v="0"/>
    <m/>
    <m/>
    <m/>
    <m/>
    <m/>
    <m/>
    <m/>
    <m/>
    <m/>
    <n v="3922.3463962224014"/>
    <m/>
    <m/>
    <m/>
    <m/>
    <m/>
    <m/>
    <m/>
    <m/>
    <m/>
    <m/>
    <m/>
    <m/>
    <n v="18732.3364"/>
    <n v="-11791.543699999995"/>
    <m/>
    <m/>
    <m/>
    <m/>
    <n v="-11793.171399999999"/>
    <n v="0"/>
    <n v="30"/>
    <n v="-44.243043483493238"/>
    <n v="0"/>
    <n v="0"/>
    <n v="0"/>
    <n v="0"/>
    <n v="0"/>
    <n v="0"/>
    <n v="0"/>
    <n v="-16.647325785587782"/>
    <n v="0"/>
    <n v="0"/>
    <n v="-5.1820143198710866E-7"/>
    <n v="0"/>
    <n v="0"/>
    <n v="0"/>
    <n v="-3.1687022783444263E-8"/>
    <n v="0"/>
    <n v="-22.930729438696176"/>
    <m/>
    <n v="0"/>
    <n v="0"/>
    <n v="0"/>
    <n v="0"/>
    <n v="-3.5200323139247871"/>
    <n v="-1.144955395396444"/>
    <n v="0"/>
    <n v="0"/>
    <m/>
    <m/>
    <n v="19160.705510639211"/>
    <n v="0"/>
    <n v="0"/>
    <n v="0"/>
    <n v="-11793.171399999997"/>
    <n v="0"/>
    <n v="0"/>
    <n v="0"/>
    <n v="-11748.293114378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5"/>
    <s v="Regular"/>
    <s v="Azul"/>
    <s v="A4"/>
    <s v="Industrial"/>
    <s v="Não se aplica"/>
    <s v="Não se aplica"/>
    <s v="Não se aplica"/>
    <s v="Fora ponta"/>
    <s v="CATIVO"/>
    <x v="11"/>
    <n v="600"/>
    <n v="600"/>
    <n v="225.506"/>
    <n v="225.506"/>
    <n v="225.506"/>
    <n v="225.506"/>
    <n v="74.44"/>
    <n v="81.2"/>
    <n v="252.22"/>
    <n v="44664"/>
    <n v="75188.210519999993"/>
    <n v="119852.21051999999"/>
    <n v="102016.25924"/>
    <n v="0"/>
    <n v="12134.984405640498"/>
    <n v="0"/>
    <n v="0"/>
    <n v="0"/>
    <n v="16330.25551827108"/>
    <n v="28332.922760506921"/>
    <n v="56877.747402659115"/>
    <n v="0"/>
    <n v="0"/>
    <n v="0"/>
    <n v="0"/>
    <n v="0"/>
    <n v="2156.0694471669394"/>
    <m/>
    <n v="542.54626947440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7.9432439822231"/>
    <n v="0"/>
    <n v="0"/>
    <n v="0"/>
    <n v="0"/>
    <n v="0"/>
    <m/>
    <m/>
    <m/>
    <m/>
    <m/>
    <m/>
    <m/>
    <m/>
    <m/>
    <n v="60355.690646641335"/>
    <m/>
    <m/>
    <m/>
    <m/>
    <m/>
    <m/>
    <m/>
    <m/>
    <m/>
    <m/>
    <m/>
    <m/>
    <n v="102017.5854"/>
    <n v="-17834.65512000001"/>
    <m/>
    <m/>
    <m/>
    <m/>
    <n v="-17835.951279999997"/>
    <n v="0"/>
    <n v="30"/>
    <n v="-466.60341994752525"/>
    <n v="0"/>
    <n v="0"/>
    <n v="0"/>
    <n v="0"/>
    <n v="0"/>
    <n v="0"/>
    <n v="0"/>
    <n v="-41.970194755860575"/>
    <n v="0"/>
    <n v="0"/>
    <n v="-7.9738965723663568E-6"/>
    <n v="0"/>
    <n v="0"/>
    <n v="0"/>
    <n v="-4.8758874982013367E-7"/>
    <n v="0"/>
    <n v="-352.85002202678879"/>
    <m/>
    <n v="0"/>
    <n v="0"/>
    <n v="0"/>
    <n v="0"/>
    <n v="-54.165022653287451"/>
    <n v="-17.618172050103794"/>
    <n v="0"/>
    <n v="0"/>
    <m/>
    <m/>
    <n v="28332.922760506921"/>
    <n v="0"/>
    <n v="0"/>
    <n v="0"/>
    <n v="-17835.951280000001"/>
    <n v="0"/>
    <n v="0"/>
    <n v="0"/>
    <n v="-17372.1933773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6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619.6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587"/>
    <s v="Regular"/>
    <s v="Verde"/>
    <s v="A4"/>
    <s v="Industrial"/>
    <s v="Não se aplica"/>
    <s v="Não se aplica"/>
    <s v="Não se aplica"/>
    <s v="Ponta"/>
    <s v="CATIVO"/>
    <x v="11"/>
    <n v="0"/>
    <n v="0"/>
    <n v="24.045000000000002"/>
    <n v="24.045000000000002"/>
    <n v="24.045000000000002"/>
    <n v="24.045000000000002"/>
    <m/>
    <n v="2641.06"/>
    <n v="252.22"/>
    <m/>
    <n v="69568.917600000001"/>
    <n v="69568.917600000001"/>
    <n v="41293.440300000002"/>
    <n v="0"/>
    <n v="1293.9154613785256"/>
    <n v="0"/>
    <n v="0"/>
    <n v="0"/>
    <n v="15575.557287515954"/>
    <n v="45976.21224213727"/>
    <n v="6064.6964439834801"/>
    <n v="0"/>
    <n v="0"/>
    <n v="0"/>
    <n v="0"/>
    <n v="0"/>
    <n v="229.89494672926247"/>
    <m/>
    <n v="57.850013079528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.84221839575252"/>
    <n v="0"/>
    <n v="0"/>
    <n v="0"/>
    <n v="0"/>
    <n v="0"/>
    <m/>
    <m/>
    <m/>
    <m/>
    <m/>
    <m/>
    <m/>
    <m/>
    <m/>
    <n v="6435.5386623792328"/>
    <m/>
    <m/>
    <m/>
    <m/>
    <m/>
    <m/>
    <m/>
    <m/>
    <m/>
    <m/>
    <m/>
    <m/>
    <n v="41302.027000000002"/>
    <n v="-28266.920599999998"/>
    <m/>
    <m/>
    <m/>
    <m/>
    <n v="-28275.477300000002"/>
    <n v="0"/>
    <n v="30"/>
    <n v="-85.30786752712811"/>
    <n v="0"/>
    <n v="0"/>
    <n v="0"/>
    <n v="0"/>
    <n v="0"/>
    <n v="0"/>
    <n v="0"/>
    <n v="-40.030553842641893"/>
    <n v="0"/>
    <n v="0"/>
    <n v="-8.5023202700540423E-7"/>
    <n v="0"/>
    <n v="0"/>
    <n v="0"/>
    <n v="-5.1990127758472227E-8"/>
    <n v="0"/>
    <n v="-37.623295077000876"/>
    <m/>
    <n v="0"/>
    <n v="0"/>
    <n v="0"/>
    <n v="0"/>
    <n v="-5.7754470821099915"/>
    <n v="-1.878570623153017"/>
    <n v="0"/>
    <n v="0"/>
    <m/>
    <m/>
    <m/>
    <n v="45976.21224213727"/>
    <n v="0"/>
    <n v="0"/>
    <n v="-28275.477299999999"/>
    <n v="0"/>
    <n v="0"/>
    <n v="0"/>
    <n v="-28190.090255788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8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1.319"/>
    <n v="1.319"/>
    <n v="1.319"/>
    <n v="1.319"/>
    <m/>
    <n v="2641.06"/>
    <n v="252.22"/>
    <m/>
    <n v="3816.2363199999995"/>
    <n v="3816.2363199999995"/>
    <n v="2265.1714599999996"/>
    <n v="0"/>
    <n v="70.978352820057196"/>
    <n v="0"/>
    <n v="0"/>
    <n v="0"/>
    <n v="854.4046605212535"/>
    <n v="2522.0471593836164"/>
    <n v="332.68183030210889"/>
    <n v="0"/>
    <n v="0"/>
    <n v="0"/>
    <n v="0"/>
    <n v="0"/>
    <n v="12.610997493695038"/>
    <m/>
    <n v="3.1733901955457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42727638344666"/>
    <n v="0"/>
    <n v="0"/>
    <n v="0"/>
    <n v="0"/>
    <n v="0"/>
    <m/>
    <m/>
    <m/>
    <m/>
    <m/>
    <m/>
    <m/>
    <m/>
    <m/>
    <n v="353.02455794045358"/>
    <m/>
    <m/>
    <m/>
    <m/>
    <m/>
    <m/>
    <m/>
    <m/>
    <m/>
    <m/>
    <m/>
    <m/>
    <n v="2266.8888000000002"/>
    <n v="-1549.37752"/>
    <m/>
    <m/>
    <m/>
    <m/>
    <n v="-1551.06486"/>
    <n v="0"/>
    <n v="30"/>
    <n v="-4.6796039620830925"/>
    <n v="0"/>
    <n v="0"/>
    <n v="0"/>
    <n v="0"/>
    <n v="0"/>
    <n v="0"/>
    <n v="0"/>
    <n v="-2.1958952180679034"/>
    <n v="0"/>
    <n v="0"/>
    <n v="-4.6639854645036394E-8"/>
    <n v="0"/>
    <n v="0"/>
    <n v="0"/>
    <n v="-2.8519409056571021E-9"/>
    <n v="0"/>
    <n v="-2.0638438846564497"/>
    <m/>
    <n v="0"/>
    <n v="0"/>
    <n v="0"/>
    <n v="0"/>
    <n v="-0.31681491791653649"/>
    <n v="-0.10304989195004488"/>
    <n v="0"/>
    <n v="0"/>
    <m/>
    <m/>
    <m/>
    <n v="2522.0471593836164"/>
    <n v="0"/>
    <n v="0"/>
    <n v="-1551.06486"/>
    <n v="0"/>
    <n v="0"/>
    <n v="0"/>
    <n v="-1546.380912762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89"/>
    <s v="Regular"/>
    <s v="Verde"/>
    <s v="A4"/>
    <s v="Industrial"/>
    <s v="Não se aplica"/>
    <s v="Não se aplica"/>
    <s v="Não se aplica"/>
    <s v="Fora ponta"/>
    <s v="CATIVO"/>
    <x v="11"/>
    <n v="0"/>
    <n v="0"/>
    <n v="340.99799999999999"/>
    <n v="340.99799999999999"/>
    <n v="340.99799999999999"/>
    <n v="340.99799999999999"/>
    <m/>
    <n v="81.2"/>
    <n v="252.22"/>
    <m/>
    <n v="113695.55316"/>
    <n v="113695.55316"/>
    <n v="113054.47692"/>
    <n v="0"/>
    <n v="18349.86835097336"/>
    <n v="0"/>
    <n v="0"/>
    <n v="0"/>
    <n v="0"/>
    <n v="0"/>
    <n v="86007.459264108067"/>
    <n v="0"/>
    <n v="0"/>
    <n v="0"/>
    <n v="0"/>
    <n v="0"/>
    <n v="3260.2918296853832"/>
    <m/>
    <n v="820.40918112260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9.1580282185405"/>
    <n v="0"/>
    <n v="0"/>
    <n v="0"/>
    <n v="0"/>
    <n v="0"/>
    <m/>
    <m/>
    <m/>
    <m/>
    <m/>
    <m/>
    <m/>
    <m/>
    <m/>
    <n v="91266.617292326613"/>
    <m/>
    <m/>
    <m/>
    <m/>
    <m/>
    <m/>
    <m/>
    <m/>
    <m/>
    <m/>
    <m/>
    <m/>
    <n v="113055.14"/>
    <n v="-640.44315999999526"/>
    <m/>
    <m/>
    <m/>
    <m/>
    <n v="-641.07624000000328"/>
    <n v="0"/>
    <n v="30"/>
    <n v="-642.1074407062988"/>
    <n v="0"/>
    <n v="0"/>
    <n v="0"/>
    <n v="0"/>
    <n v="0"/>
    <n v="0"/>
    <n v="0"/>
    <n v="0"/>
    <n v="0"/>
    <n v="0"/>
    <n v="-1.2057702406309545E-5"/>
    <n v="0"/>
    <n v="0"/>
    <n v="0"/>
    <n v="-7.3730552685447037E-7"/>
    <n v="0"/>
    <n v="-533.56075586055886"/>
    <m/>
    <n v="0"/>
    <n v="0"/>
    <n v="0"/>
    <n v="0"/>
    <n v="-81.905423335635078"/>
    <n v="-26.641248715073061"/>
    <n v="0"/>
    <n v="0"/>
    <m/>
    <m/>
    <m/>
    <n v="0"/>
    <n v="0"/>
    <n v="0"/>
    <n v="-641.07624000000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0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7.8609999999999998"/>
    <n v="7.8609999999999998"/>
    <n v="7.8609999999999998"/>
    <n v="7.8609999999999998"/>
    <m/>
    <n v="81.2"/>
    <n v="252.22"/>
    <m/>
    <n v="2621.0146199999999"/>
    <n v="2621.0146199999999"/>
    <n v="2606.2359399999996"/>
    <n v="0"/>
    <n v="423.01806786843792"/>
    <n v="0"/>
    <n v="0"/>
    <n v="0"/>
    <n v="0"/>
    <n v="0"/>
    <n v="1982.7231751363747"/>
    <n v="0"/>
    <n v="0"/>
    <n v="0"/>
    <n v="0"/>
    <n v="0"/>
    <n v="75.159250415418256"/>
    <m/>
    <n v="18.91282814797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23895524262882"/>
    <n v="0"/>
    <n v="0"/>
    <n v="0"/>
    <n v="0"/>
    <n v="0"/>
    <m/>
    <m/>
    <m/>
    <m/>
    <m/>
    <m/>
    <m/>
    <m/>
    <m/>
    <n v="2103.9621303790036"/>
    <m/>
    <m/>
    <m/>
    <m/>
    <m/>
    <m/>
    <m/>
    <m/>
    <m/>
    <m/>
    <m/>
    <m/>
    <n v="2605.9043999999999"/>
    <n v="-15.140220000000227"/>
    <m/>
    <m/>
    <m/>
    <m/>
    <n v="-14.778680000000076"/>
    <n v="0"/>
    <n v="30"/>
    <n v="-14.802452188552252"/>
    <n v="0"/>
    <n v="0"/>
    <n v="0"/>
    <n v="0"/>
    <n v="0"/>
    <n v="0"/>
    <n v="0"/>
    <n v="0"/>
    <n v="0"/>
    <n v="0"/>
    <n v="-2.7796522772405297E-7"/>
    <n v="0"/>
    <n v="0"/>
    <n v="0"/>
    <n v="-1.6997049101519224E-8"/>
    <n v="0"/>
    <n v="-12.300134023718215"/>
    <m/>
    <n v="0"/>
    <n v="0"/>
    <n v="0"/>
    <n v="0"/>
    <n v="-1.8881592643986949"/>
    <n v="-0.61415860547331391"/>
    <n v="0"/>
    <n v="0"/>
    <m/>
    <m/>
    <m/>
    <n v="0"/>
    <n v="0"/>
    <n v="0"/>
    <n v="-14.778680000000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1"/>
    <s v="Regular"/>
    <s v="Verde"/>
    <s v="A4"/>
    <s v="Industrial"/>
    <s v="Não se aplica"/>
    <s v="Não se aplica"/>
    <s v="Não se aplica"/>
    <s v="Não se aplica"/>
    <s v="CATIVO"/>
    <x v="11"/>
    <n v="2401"/>
    <n v="2401"/>
    <n v="0"/>
    <n v="0"/>
    <n v="0"/>
    <n v="0"/>
    <n v="74.44"/>
    <m/>
    <m/>
    <n v="178730.44"/>
    <m/>
    <n v="178730.44"/>
    <n v="109053.42"/>
    <n v="0"/>
    <n v="0"/>
    <n v="0"/>
    <n v="0"/>
    <n v="0"/>
    <n v="65348.239165614774"/>
    <n v="113378.912579961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266.09"/>
    <n v="11"/>
    <m/>
    <m/>
    <m/>
    <m/>
    <m/>
    <m/>
    <m/>
    <m/>
    <m/>
    <n v="0"/>
    <m/>
    <m/>
    <m/>
    <m/>
    <m/>
    <m/>
    <m/>
    <m/>
    <m/>
    <m/>
    <m/>
    <m/>
    <n v="109053.42"/>
    <n v="-69677.050000000032"/>
    <m/>
    <m/>
    <m/>
    <m/>
    <n v="-69677.01999999999"/>
    <n v="0"/>
    <n v="30"/>
    <n v="-167.95072934803466"/>
    <n v="0"/>
    <n v="0"/>
    <n v="0"/>
    <n v="0"/>
    <m/>
    <m/>
    <m/>
    <n v="-167.950729348034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3378.91257996186"/>
    <m/>
    <n v="0"/>
    <n v="0"/>
    <n v="-69677.02"/>
    <m/>
    <n v="0"/>
    <m/>
    <n v="-69517.72716507174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92"/>
    <s v="Sistema de Compensação"/>
    <s v="Verde"/>
    <s v="A4"/>
    <s v="Industrial"/>
    <s v="Não se aplica"/>
    <s v="Não se aplica"/>
    <s v="Não se aplica"/>
    <s v="Não se aplica"/>
    <s v="CATIVO"/>
    <x v="11"/>
    <n v="199"/>
    <n v="199"/>
    <n v="0"/>
    <n v="0"/>
    <n v="0"/>
    <n v="0"/>
    <n v="74.44"/>
    <m/>
    <m/>
    <n v="14813.56"/>
    <m/>
    <n v="14813.56"/>
    <n v="9038.58"/>
    <n v="0"/>
    <n v="0"/>
    <n v="0"/>
    <n v="0"/>
    <n v="0"/>
    <n v="5416.2014135599084"/>
    <n v="9397.0860489014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974.92"/>
    <n v="1"/>
    <m/>
    <m/>
    <m/>
    <m/>
    <m/>
    <m/>
    <m/>
    <m/>
    <m/>
    <n v="0"/>
    <m/>
    <m/>
    <m/>
    <m/>
    <m/>
    <m/>
    <m/>
    <m/>
    <m/>
    <m/>
    <m/>
    <m/>
    <n v="9038.58"/>
    <n v="-5775.01"/>
    <m/>
    <m/>
    <m/>
    <m/>
    <n v="-5774.98"/>
    <n v="0"/>
    <n v="30"/>
    <n v="-13.920114594026927"/>
    <n v="0"/>
    <n v="0"/>
    <n v="0"/>
    <n v="0"/>
    <m/>
    <m/>
    <m/>
    <n v="-13.9201145940269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97.0860489014613"/>
    <m/>
    <n v="0"/>
    <n v="0"/>
    <n v="-5774.98"/>
    <m/>
    <n v="0"/>
    <m/>
    <n v="-5761.777470157965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593"/>
    <s v="Regular"/>
    <s v="Convencional"/>
    <s v="B3"/>
    <s v="Comercial"/>
    <s v="Não se aplica"/>
    <s v="Não se aplica"/>
    <s v="Não se aplica"/>
    <s v="Não se aplica"/>
    <s v="CATIVO"/>
    <x v="11"/>
    <n v="0"/>
    <n v="0"/>
    <n v="336.827"/>
    <n v="336.827"/>
    <n v="336.827"/>
    <n v="336.827"/>
    <m/>
    <n v="739.04"/>
    <n v="252.22"/>
    <m/>
    <n v="333883.13202000002"/>
    <n v="333883.13202000002"/>
    <n v="228358.60119000002"/>
    <n v="0"/>
    <n v="20833.813185992007"/>
    <n v="0"/>
    <n v="0"/>
    <n v="0"/>
    <n v="41597.319680536144"/>
    <n v="170767.16962382002"/>
    <n v="84955.438100961677"/>
    <n v="0"/>
    <n v="0"/>
    <n v="0"/>
    <n v="0"/>
    <n v="0"/>
    <n v="3220.4127769589222"/>
    <m/>
    <n v="789.28621705743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19.642158151133"/>
    <n v="0"/>
    <n v="0"/>
    <n v="0"/>
    <n v="76114.09"/>
    <n v="839"/>
    <m/>
    <m/>
    <m/>
    <m/>
    <m/>
    <m/>
    <m/>
    <m/>
    <m/>
    <n v="96675.080259112816"/>
    <m/>
    <m/>
    <m/>
    <m/>
    <m/>
    <m/>
    <m/>
    <m/>
    <m/>
    <m/>
    <m/>
    <m/>
    <n v="228360.63510000001"/>
    <n v="-105522.52692000003"/>
    <m/>
    <m/>
    <m/>
    <m/>
    <n v="-105524.53082999999"/>
    <n v="0"/>
    <n v="30"/>
    <n v="-819.22959534436814"/>
    <n v="0"/>
    <n v="0"/>
    <n v="0"/>
    <n v="0"/>
    <n v="0"/>
    <n v="0"/>
    <n v="0"/>
    <n v="-106.908774719348"/>
    <n v="0"/>
    <n v="0"/>
    <n v="-1.1910218745470047E-5"/>
    <n v="0"/>
    <n v="0"/>
    <n v="0"/>
    <n v="-1.643009454710409E-6"/>
    <n v="0"/>
    <n v="-605.78664099167509"/>
    <m/>
    <n v="0"/>
    <n v="0"/>
    <n v="0"/>
    <n v="0"/>
    <n v="-80.903577222951299"/>
    <n v="-25.630588857174303"/>
    <n v="0"/>
    <n v="0"/>
    <m/>
    <m/>
    <m/>
    <n v="170767.16962382002"/>
    <n v="0"/>
    <n v="0"/>
    <n v="-105524.53082999997"/>
    <n v="0"/>
    <n v="0"/>
    <n v="0"/>
    <n v="-104705.05702096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4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0.29099999999999998"/>
    <n v="-0.29099999999999998"/>
    <n v="-0.29099999999999998"/>
    <n v="-0.29099999999999998"/>
    <m/>
    <n v="739.04"/>
    <n v="252.22"/>
    <m/>
    <n v="-288.45665999999994"/>
    <n v="-288.45665999999994"/>
    <n v="-197.28926999999999"/>
    <n v="0"/>
    <n v="-17.999268577411176"/>
    <n v="0"/>
    <n v="0"/>
    <n v="0"/>
    <n v="-35.937796040804379"/>
    <n v="-147.53344108557692"/>
    <n v="-73.396825335795072"/>
    <n v="0"/>
    <n v="0"/>
    <n v="0"/>
    <n v="0"/>
    <n v="0"/>
    <n v="-2.7822594925437873"/>
    <m/>
    <n v="-0.68189987490229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125126156816346"/>
    <n v="0"/>
    <n v="0"/>
    <n v="0"/>
    <n v="-66.72"/>
    <n v="0"/>
    <m/>
    <m/>
    <m/>
    <m/>
    <m/>
    <m/>
    <m/>
    <m/>
    <m/>
    <n v="-83.521951492611421"/>
    <m/>
    <m/>
    <m/>
    <m/>
    <m/>
    <m/>
    <m/>
    <m/>
    <m/>
    <m/>
    <m/>
    <m/>
    <n v="-196.61129999999997"/>
    <n v="91.815359999999998"/>
    <m/>
    <m/>
    <m/>
    <m/>
    <n v="91.167389999999983"/>
    <n v="0"/>
    <n v="30"/>
    <n v="0.70776930663282656"/>
    <n v="0"/>
    <n v="0"/>
    <n v="0"/>
    <n v="0"/>
    <n v="0"/>
    <n v="0"/>
    <n v="0"/>
    <n v="9.2363300576650431E-2"/>
    <n v="0"/>
    <n v="0"/>
    <n v="1.0289767260474036E-8"/>
    <n v="0"/>
    <n v="0"/>
    <n v="0"/>
    <n v="1.4194707631531855E-9"/>
    <n v="0"/>
    <n v="0.5233663350283031"/>
    <m/>
    <n v="0"/>
    <n v="0"/>
    <n v="0"/>
    <n v="0"/>
    <n v="6.9896240419796474E-2"/>
    <n v="2.2143418898834533E-2"/>
    <n v="0"/>
    <n v="0"/>
    <m/>
    <m/>
    <m/>
    <n v="-147.53344108557692"/>
    <n v="0"/>
    <n v="0"/>
    <n v="91.167389999999983"/>
    <n v="0"/>
    <n v="0"/>
    <n v="0"/>
    <n v="90.459409706174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5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03.16200000000001"/>
    <n v="103.16200000000001"/>
    <n v="103.16200000000001"/>
    <n v="103.16200000000001"/>
    <m/>
    <n v="739.04"/>
    <n v="252.22"/>
    <m/>
    <n v="102260.36412"/>
    <n v="102260.36412"/>
    <n v="69940.741139999998"/>
    <n v="0"/>
    <n v="6380.8953435838202"/>
    <n v="0"/>
    <n v="0"/>
    <n v="0"/>
    <n v="12740.257440417396"/>
    <n v="52301.87233426216"/>
    <n v="26019.805138458047"/>
    <n v="0"/>
    <n v="0"/>
    <n v="0"/>
    <n v="0"/>
    <n v="0"/>
    <n v="986.33489267973277"/>
    <m/>
    <n v="241.73936389921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9.4442082112992"/>
    <n v="0"/>
    <n v="0"/>
    <n v="0"/>
    <n v="32453.47"/>
    <n v="123"/>
    <m/>
    <m/>
    <m/>
    <m/>
    <m/>
    <m/>
    <m/>
    <m/>
    <m/>
    <n v="29609.249346669345"/>
    <m/>
    <m/>
    <m/>
    <m/>
    <m/>
    <m/>
    <m/>
    <m/>
    <m/>
    <m/>
    <m/>
    <m/>
    <n v="69939.38519999999"/>
    <n v="-32321.008919999993"/>
    <m/>
    <m/>
    <m/>
    <m/>
    <n v="-32319.622979999996"/>
    <n v="0"/>
    <n v="30"/>
    <n v="-250.91029969365627"/>
    <n v="0"/>
    <n v="0"/>
    <n v="0"/>
    <n v="0"/>
    <n v="0"/>
    <n v="0"/>
    <n v="0"/>
    <n v="-32.743583553568897"/>
    <n v="0"/>
    <n v="0"/>
    <n v="-3.6478086258284748E-6"/>
    <n v="0"/>
    <n v="0"/>
    <n v="0"/>
    <n v="-5.0321432354394346E-7"/>
    <n v="0"/>
    <n v="-185.53786204188873"/>
    <m/>
    <n v="0"/>
    <n v="0"/>
    <n v="0"/>
    <n v="0"/>
    <n v="-24.778817711983038"/>
    <n v="-7.8500322351943623"/>
    <n v="0"/>
    <n v="0"/>
    <m/>
    <m/>
    <m/>
    <n v="52301.87233426216"/>
    <n v="0"/>
    <n v="0"/>
    <n v="-32319.62298"/>
    <n v="0"/>
    <n v="0"/>
    <n v="0"/>
    <n v="-32068.637883533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6"/>
    <s v="Regular"/>
    <s v="Verde"/>
    <s v="A4"/>
    <s v="Comercial"/>
    <s v="Não se aplica"/>
    <s v="Não se aplica"/>
    <s v="Não se aplica"/>
    <s v="Ponta"/>
    <s v="CATIVO"/>
    <x v="11"/>
    <n v="0"/>
    <n v="0"/>
    <n v="19.905000000000001"/>
    <n v="19.905000000000001"/>
    <n v="19.905000000000001"/>
    <n v="19.905000000000001"/>
    <m/>
    <n v="2641.06"/>
    <n v="252.22"/>
    <m/>
    <n v="57590.738400000002"/>
    <n v="57590.738400000002"/>
    <n v="34183.652699999999"/>
    <n v="0"/>
    <n v="1071.1327618523417"/>
    <n v="0"/>
    <n v="0"/>
    <n v="0"/>
    <n v="12893.801946683512"/>
    <n v="38060.158231638277"/>
    <n v="5020.4941866288691"/>
    <n v="0"/>
    <n v="0"/>
    <n v="0"/>
    <n v="0"/>
    <n v="0"/>
    <n v="190.3122859075055"/>
    <m/>
    <n v="47.889561669703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99165552786246"/>
    <n v="0"/>
    <n v="0"/>
    <n v="0"/>
    <n v="0"/>
    <n v="0"/>
    <m/>
    <m/>
    <m/>
    <m/>
    <m/>
    <m/>
    <m/>
    <m/>
    <m/>
    <n v="5327.4858421567315"/>
    <m/>
    <m/>
    <m/>
    <m/>
    <m/>
    <m/>
    <m/>
    <m/>
    <m/>
    <m/>
    <m/>
    <m/>
    <n v="34192.239399999999"/>
    <n v="-23398.52900000001"/>
    <m/>
    <m/>
    <m/>
    <m/>
    <n v="-23407.085700000003"/>
    <n v="0"/>
    <n v="30"/>
    <n v="-70.61980050436614"/>
    <n v="0"/>
    <n v="0"/>
    <n v="0"/>
    <n v="0"/>
    <n v="0"/>
    <n v="0"/>
    <n v="0"/>
    <n v="-33.138206456134867"/>
    <n v="0"/>
    <n v="0"/>
    <n v="-7.0384066930273548E-7"/>
    <n v="0"/>
    <n v="0"/>
    <n v="0"/>
    <n v="-4.3038539843109902E-8"/>
    <n v="0"/>
    <n v="-31.145422686949587"/>
    <m/>
    <n v="0"/>
    <n v="0"/>
    <n v="0"/>
    <n v="0"/>
    <n v="-4.7810469606737342"/>
    <n v="-1.5551236537267954"/>
    <n v="0"/>
    <n v="0"/>
    <m/>
    <m/>
    <m/>
    <n v="38060.158231638277"/>
    <n v="0"/>
    <n v="0"/>
    <n v="-23407.0857"/>
    <n v="0"/>
    <n v="0"/>
    <n v="0"/>
    <n v="-23336.4003552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7"/>
    <s v="Sistema de Compensação"/>
    <s v="Verde"/>
    <s v="A4"/>
    <s v="Comercial"/>
    <s v="Não se aplica"/>
    <s v="Não se aplica"/>
    <s v="Não se aplica"/>
    <s v="Ponta"/>
    <s v="CATIVO"/>
    <x v="11"/>
    <n v="0"/>
    <n v="0"/>
    <n v="3.4780000000000002"/>
    <n v="3.4780000000000002"/>
    <n v="3.4780000000000002"/>
    <n v="3.4780000000000002"/>
    <m/>
    <n v="2641.06"/>
    <n v="252.22"/>
    <m/>
    <n v="10062.827840000002"/>
    <n v="10062.827840000002"/>
    <n v="5972.90852"/>
    <n v="0"/>
    <n v="187.15899250049958"/>
    <n v="0"/>
    <n v="0"/>
    <n v="0"/>
    <n v="2252.9335930954662"/>
    <n v="6650.250204955435"/>
    <n v="877.23078528486349"/>
    <n v="0"/>
    <n v="0"/>
    <n v="0"/>
    <n v="0"/>
    <n v="0"/>
    <n v="33.253259501949465"/>
    <m/>
    <n v="8.3677415467082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640641945536586"/>
    <n v="0"/>
    <n v="0"/>
    <n v="0"/>
    <n v="0"/>
    <n v="0"/>
    <m/>
    <m/>
    <m/>
    <m/>
    <m/>
    <m/>
    <m/>
    <m/>
    <m/>
    <n v="930.87142723040006"/>
    <m/>
    <m/>
    <m/>
    <m/>
    <m/>
    <m/>
    <m/>
    <m/>
    <m/>
    <m/>
    <m/>
    <m/>
    <n v="5976.3431999999993"/>
    <n v="-4086.5146400000031"/>
    <m/>
    <m/>
    <m/>
    <m/>
    <n v="-4089.9193200000004"/>
    <n v="0"/>
    <n v="30"/>
    <n v="-12.339395436030372"/>
    <n v="0"/>
    <n v="0"/>
    <n v="0"/>
    <n v="0"/>
    <n v="0"/>
    <n v="0"/>
    <n v="0"/>
    <n v="-5.7902377319487641"/>
    <n v="0"/>
    <n v="0"/>
    <n v="-1.229821009474108E-7"/>
    <n v="0"/>
    <n v="0"/>
    <n v="0"/>
    <n v="-7.5201285199000267E-9"/>
    <n v="0"/>
    <n v="-5.4420386890334385"/>
    <m/>
    <n v="0"/>
    <n v="0"/>
    <n v="0"/>
    <n v="0"/>
    <n v="-0.83539217931289755"/>
    <n v="-0.27172670523294684"/>
    <n v="0"/>
    <n v="0"/>
    <m/>
    <m/>
    <m/>
    <n v="6650.250204955435"/>
    <n v="0"/>
    <n v="0"/>
    <n v="-4089.9193200000009"/>
    <n v="0"/>
    <n v="0"/>
    <n v="0"/>
    <n v="-4077.568472016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8"/>
    <s v="Regular"/>
    <s v="Verde"/>
    <s v="A4"/>
    <s v="Comercial"/>
    <s v="Não se aplica"/>
    <s v="Não se aplica"/>
    <s v="Não se aplica"/>
    <s v="Fora ponta"/>
    <s v="CATIVO"/>
    <x v="11"/>
    <n v="0"/>
    <n v="0"/>
    <n v="431.22199999999998"/>
    <n v="431.22199999999998"/>
    <n v="431.22199999999998"/>
    <n v="431.22199999999998"/>
    <m/>
    <n v="81.2"/>
    <n v="252.22"/>
    <m/>
    <n v="143778.03924000001"/>
    <n v="143778.03924000001"/>
    <n v="142967.34187999999"/>
    <n v="0"/>
    <n v="23205.024457748827"/>
    <n v="0"/>
    <n v="0"/>
    <n v="0"/>
    <n v="0"/>
    <n v="0"/>
    <n v="108764.00623694921"/>
    <n v="0"/>
    <n v="0"/>
    <n v="0"/>
    <n v="0"/>
    <n v="0"/>
    <n v="4122.9261267825332"/>
    <m/>
    <n v="1037.4796564849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50.6684591829144"/>
    <n v="0"/>
    <n v="0"/>
    <n v="0"/>
    <n v="0"/>
    <n v="0"/>
    <m/>
    <m/>
    <m/>
    <m/>
    <m/>
    <m/>
    <m/>
    <m/>
    <m/>
    <n v="115414.67469613212"/>
    <m/>
    <m/>
    <m/>
    <m/>
    <m/>
    <m/>
    <m/>
    <m/>
    <m/>
    <m/>
    <m/>
    <m/>
    <n v="142966.67879999999"/>
    <n v="-811.39044000001741"/>
    <m/>
    <m/>
    <m/>
    <m/>
    <n v="-810.6973600000041"/>
    <n v="0"/>
    <n v="30"/>
    <n v="-812.00140410277527"/>
    <n v="0"/>
    <n v="0"/>
    <n v="0"/>
    <n v="0"/>
    <n v="0"/>
    <n v="0"/>
    <n v="0"/>
    <n v="0"/>
    <n v="0"/>
    <n v="0"/>
    <n v="-1.5248020645231009E-5"/>
    <n v="0"/>
    <n v="0"/>
    <n v="0"/>
    <n v="-9.3238850240595639E-7"/>
    <n v="0"/>
    <n v="-674.73456226635244"/>
    <m/>
    <n v="0"/>
    <n v="0"/>
    <n v="0"/>
    <n v="0"/>
    <n v="-103.57662057149673"/>
    <n v="-33.690205084520358"/>
    <n v="0"/>
    <n v="0"/>
    <m/>
    <m/>
    <m/>
    <n v="0"/>
    <n v="0"/>
    <n v="0"/>
    <n v="-810.69736000000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599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28.091999999999999"/>
    <n v="28.091999999999999"/>
    <n v="28.091999999999999"/>
    <n v="28.091999999999999"/>
    <m/>
    <n v="81.2"/>
    <n v="252.22"/>
    <m/>
    <n v="9366.4346399999995"/>
    <n v="9366.4346399999995"/>
    <n v="9313.6216800000002"/>
    <n v="0"/>
    <n v="1511.6936220023099"/>
    <n v="0"/>
    <n v="0"/>
    <n v="0"/>
    <n v="0"/>
    <n v="0"/>
    <n v="7085.4419839627317"/>
    <n v="0"/>
    <n v="0"/>
    <n v="0"/>
    <n v="0"/>
    <n v="0"/>
    <n v="268.58843183690749"/>
    <m/>
    <n v="67.58671521855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.2584570253058"/>
    <n v="0"/>
    <n v="0"/>
    <n v="0"/>
    <n v="0"/>
    <n v="0"/>
    <m/>
    <m/>
    <m/>
    <m/>
    <m/>
    <m/>
    <m/>
    <m/>
    <m/>
    <n v="7518.7004409880374"/>
    <m/>
    <m/>
    <m/>
    <m/>
    <m/>
    <m/>
    <m/>
    <m/>
    <m/>
    <m/>
    <m/>
    <m/>
    <n v="9312.9585999999999"/>
    <n v="-53.506040000000212"/>
    <m/>
    <m/>
    <m/>
    <m/>
    <n v="-52.812960000000267"/>
    <n v="0"/>
    <n v="30"/>
    <n v="-52.897912082535186"/>
    <n v="0"/>
    <n v="0"/>
    <n v="0"/>
    <n v="0"/>
    <n v="0"/>
    <n v="0"/>
    <n v="0"/>
    <n v="0"/>
    <n v="0"/>
    <n v="0"/>
    <n v="-9.9333283287705854E-7"/>
    <n v="0"/>
    <n v="0"/>
    <n v="0"/>
    <n v="-6.0740489971067291E-8"/>
    <n v="0"/>
    <n v="-43.955650043797505"/>
    <m/>
    <n v="0"/>
    <n v="0"/>
    <n v="0"/>
    <n v="0"/>
    <n v="-6.7475092298038817"/>
    <n v="-2.1947517548602491"/>
    <n v="0"/>
    <n v="0"/>
    <m/>
    <m/>
    <m/>
    <n v="0"/>
    <n v="0"/>
    <n v="0"/>
    <n v="-52.812960000000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0"/>
    <s v="Regular"/>
    <s v="Verde"/>
    <s v="A4"/>
    <s v="Comercial"/>
    <s v="Não se aplica"/>
    <s v="Não se aplica"/>
    <s v="Não se aplica"/>
    <s v="Não se aplica"/>
    <s v="CATIVO"/>
    <x v="11"/>
    <n v="3242"/>
    <n v="3242"/>
    <n v="0"/>
    <n v="0"/>
    <n v="0"/>
    <n v="0"/>
    <n v="74.44"/>
    <m/>
    <m/>
    <n v="241334.47999999998"/>
    <m/>
    <n v="241334.47999999998"/>
    <n v="147251.64000000001"/>
    <n v="0"/>
    <n v="0"/>
    <n v="0"/>
    <n v="0"/>
    <n v="0"/>
    <n v="88237.813983724744"/>
    <n v="153092.225982605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5916.05"/>
    <n v="14"/>
    <m/>
    <m/>
    <m/>
    <m/>
    <m/>
    <m/>
    <m/>
    <m/>
    <m/>
    <n v="0"/>
    <m/>
    <m/>
    <m/>
    <m/>
    <m/>
    <m/>
    <m/>
    <m/>
    <m/>
    <m/>
    <m/>
    <m/>
    <n v="147251.64000000001"/>
    <n v="-94082.87"/>
    <m/>
    <m/>
    <m/>
    <m/>
    <n v="-94082.839999999982"/>
    <n v="0"/>
    <n v="30"/>
    <n v="-226.77895233084564"/>
    <n v="0"/>
    <n v="0"/>
    <n v="0"/>
    <n v="0"/>
    <m/>
    <m/>
    <m/>
    <n v="-226.778952330845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3092.22598260574"/>
    <m/>
    <n v="0"/>
    <n v="0"/>
    <n v="-94082.839999999967"/>
    <m/>
    <n v="0"/>
    <m/>
    <n v="-93867.751549005668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01"/>
    <s v="Refaturamento - Regular"/>
    <s v="Verde"/>
    <s v="A4"/>
    <s v="Comercial"/>
    <s v="Não se aplica"/>
    <s v="Não se aplica"/>
    <s v="Não se aplica"/>
    <s v="Não se aplica"/>
    <s v="CATIVO"/>
    <x v="11"/>
    <n v="-739"/>
    <n v="-739"/>
    <n v="0"/>
    <n v="0"/>
    <n v="0"/>
    <n v="0"/>
    <n v="74.44"/>
    <m/>
    <m/>
    <n v="-55011.159999999996"/>
    <m/>
    <n v="-55011.159999999996"/>
    <n v="-33565.380000000005"/>
    <n v="0"/>
    <n v="0"/>
    <n v="0"/>
    <n v="0"/>
    <n v="0"/>
    <n v="-20113.43138000388"/>
    <n v="-34896.7165333576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11188.46"/>
    <n v="0"/>
    <m/>
    <m/>
    <m/>
    <m/>
    <m/>
    <m/>
    <m/>
    <m/>
    <m/>
    <n v="0"/>
    <m/>
    <m/>
    <m/>
    <m/>
    <m/>
    <m/>
    <m/>
    <m/>
    <m/>
    <m/>
    <m/>
    <m/>
    <n v="-33565.380000000005"/>
    <n v="21445.749999999985"/>
    <m/>
    <m/>
    <m/>
    <m/>
    <n v="21445.78"/>
    <n v="0"/>
    <n v="30"/>
    <n v="51.693289874299808"/>
    <n v="0"/>
    <n v="0"/>
    <n v="0"/>
    <n v="0"/>
    <m/>
    <m/>
    <m/>
    <n v="51.6932898742998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34896.716533357692"/>
    <m/>
    <n v="0"/>
    <n v="0"/>
    <n v="21445.779999999992"/>
    <m/>
    <n v="0"/>
    <m/>
    <n v="21396.75150978259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02"/>
    <s v="Sistema de Compensação"/>
    <s v="Verde"/>
    <s v="A4"/>
    <s v="Comercial"/>
    <s v="Não se aplica"/>
    <s v="Não se aplica"/>
    <s v="Não se aplica"/>
    <s v="Não se aplica"/>
    <s v="CATIVO"/>
    <x v="11"/>
    <n v="280"/>
    <n v="280"/>
    <n v="0"/>
    <n v="0"/>
    <n v="0"/>
    <n v="0"/>
    <n v="74.44"/>
    <m/>
    <m/>
    <n v="20843.2"/>
    <m/>
    <n v="20843.2"/>
    <n v="12717.6"/>
    <n v="0"/>
    <n v="0"/>
    <n v="0"/>
    <n v="0"/>
    <n v="0"/>
    <n v="7620.7859085265045"/>
    <n v="13222.0306215698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560.31"/>
    <n v="2"/>
    <m/>
    <m/>
    <m/>
    <m/>
    <m/>
    <m/>
    <m/>
    <m/>
    <m/>
    <n v="0"/>
    <m/>
    <m/>
    <m/>
    <m/>
    <m/>
    <m/>
    <m/>
    <m/>
    <m/>
    <m/>
    <m/>
    <m/>
    <n v="12717.6"/>
    <n v="-8125.6299999999956"/>
    <m/>
    <m/>
    <m/>
    <m/>
    <n v="-8125.5999999999985"/>
    <n v="0"/>
    <n v="30"/>
    <n v="-19.586090886068632"/>
    <n v="0"/>
    <n v="0"/>
    <n v="0"/>
    <n v="0"/>
    <m/>
    <m/>
    <m/>
    <n v="-19.5860908860686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22.030621569897"/>
    <m/>
    <n v="0"/>
    <n v="0"/>
    <n v="-8125.6"/>
    <m/>
    <n v="0"/>
    <m/>
    <n v="-8107.0235761016611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03"/>
    <s v="Regular"/>
    <s v="Convencional"/>
    <s v="B2"/>
    <s v="Rural"/>
    <s v="Não se aplica"/>
    <s v="Não se aplica"/>
    <s v="Não se aplica"/>
    <s v="Não se aplica"/>
    <s v="CATIVO"/>
    <x v="11"/>
    <n v="0"/>
    <n v="0"/>
    <n v="2641.9630000000002"/>
    <n v="2641.9630000000002"/>
    <n v="2641.9630000000002"/>
    <n v="2641.9630000000002"/>
    <m/>
    <n v="739.04"/>
    <n v="252.22"/>
    <m/>
    <n v="2618872.2433799999"/>
    <n v="2618872.2433799999"/>
    <n v="1791171.6551100002"/>
    <n v="0"/>
    <n v="163413.75123224387"/>
    <n v="0"/>
    <n v="0"/>
    <n v="0"/>
    <n v="326276.03931735974"/>
    <n v="1339442.9299339317"/>
    <n v="666363.21943172906"/>
    <n v="0"/>
    <n v="0"/>
    <n v="0"/>
    <n v="0"/>
    <n v="0"/>
    <n v="25259.885346046267"/>
    <m/>
    <n v="6190.9080384759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925.115727288619"/>
    <n v="0"/>
    <n v="0"/>
    <n v="0"/>
    <n v="97498.32"/>
    <n v="11940"/>
    <m/>
    <m/>
    <m/>
    <m/>
    <m/>
    <n v="214923.69004999992"/>
    <m/>
    <m/>
    <m/>
    <n v="758288.3351590177"/>
    <m/>
    <m/>
    <m/>
    <m/>
    <m/>
    <m/>
    <m/>
    <m/>
    <m/>
    <m/>
    <m/>
    <m/>
    <n v="1576246.1751999999"/>
    <n v="-728364.59933000011"/>
    <m/>
    <m/>
    <m/>
    <m/>
    <n v="-827700.58826999995"/>
    <n v="0"/>
    <n v="30"/>
    <n v="-6425.7742977992166"/>
    <n v="0"/>
    <n v="0"/>
    <n v="0"/>
    <n v="0"/>
    <n v="0"/>
    <n v="0"/>
    <n v="0"/>
    <n v="-838.55815354431979"/>
    <n v="0"/>
    <n v="0"/>
    <n v="-9.3419803306460381E-5"/>
    <n v="0"/>
    <n v="0"/>
    <n v="0"/>
    <n v="-1.2887234333902597E-5"/>
    <n v="0"/>
    <n v="-4751.5961944686424"/>
    <m/>
    <n v="0"/>
    <n v="0"/>
    <n v="0"/>
    <n v="0"/>
    <n v="-634.58172174641732"/>
    <n v="-201.03812173272036"/>
    <n v="0"/>
    <n v="0"/>
    <m/>
    <m/>
    <m/>
    <n v="1339442.9299339317"/>
    <n v="0"/>
    <n v="0"/>
    <n v="-827700.58826999995"/>
    <n v="0"/>
    <n v="0"/>
    <n v="0"/>
    <n v="-821272.8984383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4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0.71799999999999997"/>
    <n v="-0.71799999999999997"/>
    <n v="-0.71799999999999997"/>
    <n v="-0.71799999999999997"/>
    <m/>
    <n v="739.04"/>
    <n v="252.22"/>
    <m/>
    <n v="-711.72468000000003"/>
    <n v="-711.72468000000003"/>
    <n v="-486.78245999999996"/>
    <n v="0"/>
    <n v="-44.410566455605576"/>
    <n v="0"/>
    <n v="0"/>
    <n v="0"/>
    <n v="-88.671263083496726"/>
    <n v="-364.01721889843384"/>
    <n v="-181.09594704845657"/>
    <n v="0"/>
    <n v="0"/>
    <n v="0"/>
    <n v="0"/>
    <n v="0"/>
    <n v="-6.8648189541114757"/>
    <m/>
    <n v="-1.6824883511334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982270036405968"/>
    <n v="0"/>
    <n v="0"/>
    <n v="0"/>
    <n v="0"/>
    <n v="0"/>
    <m/>
    <m/>
    <m/>
    <m/>
    <m/>
    <n v="-58.409299999999973"/>
    <m/>
    <m/>
    <m/>
    <n v="-206.07821708486253"/>
    <m/>
    <m/>
    <m/>
    <m/>
    <m/>
    <m/>
    <m/>
    <m/>
    <m/>
    <m/>
    <m/>
    <m/>
    <n v="-429.56640000000004"/>
    <n v="196.72217999999998"/>
    <m/>
    <m/>
    <m/>
    <m/>
    <n v="224.94221999999996"/>
    <n v="0"/>
    <n v="30"/>
    <n v="1.746317395746928"/>
    <n v="0"/>
    <n v="0"/>
    <n v="0"/>
    <n v="0"/>
    <n v="0"/>
    <n v="0"/>
    <n v="0"/>
    <n v="0.22789295468740534"/>
    <n v="0"/>
    <n v="0"/>
    <n v="2.5388487756572431E-8"/>
    <n v="0"/>
    <n v="0"/>
    <n v="0"/>
    <n v="3.502332646121431E-9"/>
    <n v="0"/>
    <n v="1.2913299950182804"/>
    <m/>
    <n v="0"/>
    <n v="0"/>
    <n v="0"/>
    <n v="0"/>
    <n v="0.17245876502204105"/>
    <n v="5.4635652128395717E-2"/>
    <n v="0"/>
    <n v="0"/>
    <m/>
    <m/>
    <m/>
    <n v="-364.01721889843384"/>
    <n v="0"/>
    <n v="0"/>
    <n v="224.94222000000002"/>
    <n v="0"/>
    <n v="0"/>
    <n v="0"/>
    <n v="223.1953820241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89.661"/>
    <n v="189.661"/>
    <n v="189.661"/>
    <n v="189.661"/>
    <m/>
    <n v="739.04"/>
    <n v="252.22"/>
    <m/>
    <n v="188003.36285999999"/>
    <n v="188003.36285999999"/>
    <n v="128584.46817000001"/>
    <n v="0"/>
    <n v="11731.131538351825"/>
    <n v="0"/>
    <n v="0"/>
    <n v="0"/>
    <n v="23422.674690360825"/>
    <n v="96155.807456122362"/>
    <n v="47836.822302447523"/>
    <n v="0"/>
    <n v="0"/>
    <n v="0"/>
    <n v="0"/>
    <n v="0"/>
    <n v="1813.3543560664857"/>
    <m/>
    <n v="444.43234424001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9.1118626389871"/>
    <n v="0"/>
    <n v="0"/>
    <n v="0"/>
    <n v="8481.27"/>
    <n v="1027"/>
    <m/>
    <m/>
    <m/>
    <m/>
    <m/>
    <n v="15428.922349999993"/>
    <m/>
    <m/>
    <m/>
    <n v="54435.93416508651"/>
    <m/>
    <m/>
    <m/>
    <m/>
    <m/>
    <m/>
    <m/>
    <m/>
    <m/>
    <m/>
    <m/>
    <m/>
    <n v="113154.9492"/>
    <n v="-52288.267710000015"/>
    <m/>
    <m/>
    <m/>
    <m/>
    <n v="-59418.894689999994"/>
    <n v="0"/>
    <n v="30"/>
    <n v="-461.29290194257919"/>
    <n v="0"/>
    <n v="0"/>
    <n v="0"/>
    <n v="0"/>
    <n v="0"/>
    <n v="0"/>
    <n v="0"/>
    <n v="-60.198336600235052"/>
    <n v="0"/>
    <n v="0"/>
    <n v="-6.7064174800179899E-6"/>
    <n v="0"/>
    <n v="0"/>
    <n v="0"/>
    <n v="-9.2514801508514211E-7"/>
    <n v="0"/>
    <n v="-341.10715624674594"/>
    <m/>
    <n v="0"/>
    <n v="0"/>
    <n v="0"/>
    <n v="0"/>
    <n v="-45.555295031818105"/>
    <n v="-14.432106432205671"/>
    <n v="0"/>
    <n v="0"/>
    <m/>
    <m/>
    <m/>
    <n v="96155.807456122362"/>
    <n v="0"/>
    <n v="0"/>
    <n v="-59418.894690000001"/>
    <n v="0"/>
    <n v="0"/>
    <n v="0"/>
    <n v="-58957.464275885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6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-2.3580000000000001"/>
    <n v="-2.3580000000000001"/>
    <n v="-2.3580000000000001"/>
    <n v="-2.3580000000000001"/>
    <m/>
    <n v="739.04"/>
    <n v="252.22"/>
    <m/>
    <n v="-2337.3910800000003"/>
    <n v="-2337.3910800000003"/>
    <n v="-1598.65326"/>
    <n v="0"/>
    <n v="-145.8497433179916"/>
    <n v="0"/>
    <n v="0"/>
    <n v="0"/>
    <n v="-291.20729575332211"/>
    <n v="-1195.4771617862214"/>
    <n v="-594.74128571066933"/>
    <n v="0"/>
    <n v="0"/>
    <n v="0"/>
    <n v="0"/>
    <n v="0"/>
    <n v="-22.544906815870281"/>
    <m/>
    <n v="-5.5254979553938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2.044836693377832"/>
    <n v="0"/>
    <n v="0"/>
    <n v="0"/>
    <n v="4.38"/>
    <n v="7"/>
    <m/>
    <m/>
    <m/>
    <m/>
    <m/>
    <n v="-191.8232999999999"/>
    <m/>
    <m/>
    <m/>
    <n v="-676.78612240404721"/>
    <m/>
    <m/>
    <m/>
    <m/>
    <m/>
    <m/>
    <m/>
    <m/>
    <m/>
    <m/>
    <m/>
    <m/>
    <n v="-1408.0232000000001"/>
    <n v="648.85377999999992"/>
    <m/>
    <m/>
    <m/>
    <m/>
    <n v="738.73781999999994"/>
    <n v="0"/>
    <n v="30"/>
    <n v="5.7351203609625827"/>
    <n v="0"/>
    <n v="0"/>
    <n v="0"/>
    <n v="0"/>
    <n v="0"/>
    <n v="0"/>
    <n v="0"/>
    <n v="0.74842839436337272"/>
    <n v="0"/>
    <n v="0"/>
    <n v="8.3378836279734969E-8"/>
    <n v="0"/>
    <n v="0"/>
    <n v="0"/>
    <n v="1.1502109487082635E-8"/>
    <n v="0"/>
    <n v="4.2408859724973809"/>
    <m/>
    <n v="0"/>
    <n v="0"/>
    <n v="0"/>
    <n v="0"/>
    <n v="0.56637572133979575"/>
    <n v="0.17943017788127769"/>
    <n v="0"/>
    <n v="0"/>
    <m/>
    <m/>
    <m/>
    <n v="-1195.4771617862214"/>
    <n v="0"/>
    <n v="0"/>
    <n v="738.73782000000006"/>
    <n v="0"/>
    <n v="0"/>
    <n v="0"/>
    <n v="733.0009899902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7"/>
    <s v="Sistema de Compensação"/>
    <s v="Azul"/>
    <s v="A4"/>
    <s v="Rural"/>
    <s v="Não se aplica"/>
    <s v="Não se aplica"/>
    <s v="Não se aplica"/>
    <s v="Ponta"/>
    <s v="CATIVO"/>
    <x v="11"/>
    <n v="31"/>
    <n v="29.759999999999998"/>
    <n v="0.72299999999999998"/>
    <n v="0.69407999999999992"/>
    <n v="0.72299999999999998"/>
    <n v="0.69407999999999992"/>
    <n v="106.38"/>
    <n v="81.2"/>
    <n v="252.22"/>
    <n v="3297.7799999999997"/>
    <n v="241.06265999999999"/>
    <n v="3538.8426599999998"/>
    <n v="2024.06342"/>
    <n v="0"/>
    <n v="38.90625404768867"/>
    <n v="0"/>
    <n v="0"/>
    <n v="0"/>
    <n v="833.18439178915833"/>
    <n v="2464.6550656838817"/>
    <n v="182.35706088584135"/>
    <n v="0"/>
    <n v="0"/>
    <n v="0"/>
    <n v="0"/>
    <n v="0"/>
    <n v="6.9126241000314721"/>
    <m/>
    <n v="1.7394701375129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50714239972094"/>
    <n v="0"/>
    <n v="0"/>
    <n v="0"/>
    <n v="0"/>
    <n v="0"/>
    <m/>
    <m/>
    <m/>
    <m/>
    <m/>
    <n v="80.962536800000137"/>
    <m/>
    <m/>
    <m/>
    <n v="193.50777512581345"/>
    <m/>
    <m/>
    <m/>
    <m/>
    <m/>
    <m/>
    <m/>
    <m/>
    <m/>
    <m/>
    <m/>
    <m/>
    <n v="1941.7482000000002"/>
    <n v="-1455.5707536000002"/>
    <m/>
    <m/>
    <m/>
    <m/>
    <n v="-1514.7792399999998"/>
    <n v="0"/>
    <n v="30"/>
    <n v="-3.5027836589715662"/>
    <n v="0"/>
    <n v="0"/>
    <n v="0"/>
    <n v="0"/>
    <n v="0"/>
    <n v="0"/>
    <n v="0"/>
    <n v="-2.1413572587269982"/>
    <n v="0"/>
    <n v="0"/>
    <n v="-2.5565299210938974E-8"/>
    <n v="0"/>
    <n v="0"/>
    <n v="0"/>
    <n v="-1.5632686256594752E-9"/>
    <n v="0"/>
    <n v="-1.1312806130451989"/>
    <m/>
    <n v="0"/>
    <n v="0"/>
    <n v="0"/>
    <n v="0"/>
    <n v="-0.17365973135227808"/>
    <n v="-5.648602871863706E-2"/>
    <n v="0"/>
    <n v="0"/>
    <m/>
    <m/>
    <n v="2464.6550656838817"/>
    <n v="0"/>
    <n v="0"/>
    <n v="0"/>
    <n v="-1514.7792399999998"/>
    <n v="0"/>
    <n v="0"/>
    <n v="0"/>
    <n v="-1511.1912304802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8"/>
    <s v="Sistema de Compensação"/>
    <s v="Azul"/>
    <s v="A4"/>
    <s v="Rural"/>
    <s v="Não se aplica"/>
    <s v="Não se aplica"/>
    <s v="Não se aplica"/>
    <s v="Fora ponta"/>
    <s v="CATIVO"/>
    <x v="11"/>
    <n v="56"/>
    <n v="53.76"/>
    <n v="7.7039999999999997"/>
    <n v="7.3958399999999997"/>
    <n v="7.7039999999999997"/>
    <n v="7.3958399999999997"/>
    <n v="74.44"/>
    <n v="81.2"/>
    <n v="252.22"/>
    <n v="4168.6399999999994"/>
    <n v="2568.66768"/>
    <n v="6737.3076799999999"/>
    <n v="5097.7041599999993"/>
    <n v="0"/>
    <n v="414.56954520524687"/>
    <n v="0"/>
    <n v="0"/>
    <n v="0"/>
    <n v="1524.1571817053009"/>
    <n v="2644.4061243139795"/>
    <n v="1943.124200642492"/>
    <n v="0"/>
    <n v="0"/>
    <n v="0"/>
    <n v="0"/>
    <n v="0"/>
    <n v="73.658168833530382"/>
    <m/>
    <n v="18.535100884370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81756916285619"/>
    <n v="0"/>
    <n v="0"/>
    <n v="0"/>
    <n v="0"/>
    <n v="0"/>
    <m/>
    <m/>
    <m/>
    <m/>
    <m/>
    <n v="203.90816640000008"/>
    <m/>
    <m/>
    <m/>
    <n v="2061.941769805348"/>
    <m/>
    <m/>
    <m/>
    <m/>
    <m/>
    <m/>
    <m/>
    <m/>
    <m/>
    <m/>
    <m/>
    <m/>
    <n v="4895.1751999999997"/>
    <n v="-1572.6701728000007"/>
    <m/>
    <m/>
    <m/>
    <m/>
    <n v="-1639.6035199999999"/>
    <n v="0"/>
    <n v="30"/>
    <n v="-18.424035587288927"/>
    <n v="0"/>
    <n v="0"/>
    <n v="0"/>
    <n v="0"/>
    <n v="0"/>
    <n v="0"/>
    <n v="0"/>
    <n v="-3.9172181772137264"/>
    <n v="0"/>
    <n v="0"/>
    <n v="-2.7241344469075557E-7"/>
    <n v="0"/>
    <n v="0"/>
    <n v="0"/>
    <n v="-1.6657580204082478E-8"/>
    <n v="0"/>
    <n v="-12.054475578008521"/>
    <m/>
    <n v="0"/>
    <n v="0"/>
    <n v="0"/>
    <n v="0"/>
    <n v="-1.8504489216292654"/>
    <n v="-0.60189262136705324"/>
    <n v="0"/>
    <n v="0"/>
    <m/>
    <m/>
    <n v="2644.4061243139795"/>
    <n v="0"/>
    <n v="0"/>
    <n v="0"/>
    <n v="-1639.6035199999997"/>
    <n v="0"/>
    <n v="0"/>
    <n v="0"/>
    <n v="-1621.4047152203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09"/>
    <s v="Sistema de Compensação"/>
    <s v="Azul"/>
    <s v="A4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0.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10"/>
    <s v="Regular"/>
    <s v="Verde"/>
    <s v="A4"/>
    <s v="Rural"/>
    <s v="Não se aplica"/>
    <s v="Não se aplica"/>
    <s v="Não se aplica"/>
    <s v="Ponta"/>
    <s v="CATIVO"/>
    <x v="11"/>
    <n v="0"/>
    <n v="0"/>
    <n v="3.0459999999999998"/>
    <n v="2.9241600000000001"/>
    <n v="3.0459999999999998"/>
    <n v="2.9241600000000001"/>
    <m/>
    <n v="2641.06"/>
    <n v="252.22"/>
    <m/>
    <n v="8812.9308799999999"/>
    <n v="8812.9308799999999"/>
    <n v="5231.01764"/>
    <n v="0"/>
    <n v="163.9121021151586"/>
    <n v="0"/>
    <n v="0"/>
    <n v="0"/>
    <n v="1973.0982531825157"/>
    <n v="5824.2271777729302"/>
    <n v="768.27054973481711"/>
    <n v="0"/>
    <n v="0"/>
    <n v="0"/>
    <n v="0"/>
    <n v="0"/>
    <n v="29.122894894461776"/>
    <m/>
    <n v="7.328390095248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977974515843705"/>
    <n v="0"/>
    <n v="0"/>
    <n v="0"/>
    <n v="0"/>
    <n v="0"/>
    <m/>
    <m/>
    <m/>
    <m/>
    <m/>
    <n v="209.24070559999953"/>
    <m/>
    <m/>
    <m/>
    <n v="815.24852425066081"/>
    <m/>
    <m/>
    <m/>
    <m/>
    <m/>
    <m/>
    <m/>
    <m/>
    <m/>
    <m/>
    <m/>
    <m/>
    <n v="5014.6327999999994"/>
    <n v="-3445.8108448000003"/>
    <m/>
    <m/>
    <m/>
    <m/>
    <n v="-3581.9132399999999"/>
    <n v="0"/>
    <n v="30"/>
    <n v="-10.806727572785348"/>
    <n v="0"/>
    <n v="0"/>
    <n v="0"/>
    <n v="0"/>
    <n v="0"/>
    <n v="0"/>
    <n v="0"/>
    <n v="-5.0710362655306653"/>
    <n v="0"/>
    <n v="0"/>
    <n v="-1.0770668268378358E-7"/>
    <n v="0"/>
    <n v="0"/>
    <n v="0"/>
    <n v="-6.5860561448971566E-9"/>
    <n v="0"/>
    <n v="-4.7660867874628536"/>
    <m/>
    <n v="0"/>
    <n v="0"/>
    <n v="0"/>
    <n v="0"/>
    <n v="-0.73162868838041462"/>
    <n v="-0.23797571711890608"/>
    <n v="0"/>
    <n v="0"/>
    <m/>
    <m/>
    <m/>
    <n v="5824.2271777729302"/>
    <n v="0"/>
    <n v="0"/>
    <n v="-3581.9132399999999"/>
    <n v="0"/>
    <n v="0"/>
    <n v="0"/>
    <n v="-3571.0964823927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1"/>
    <s v="Sistema de Compensação"/>
    <s v="Verde"/>
    <s v="A4"/>
    <s v="Rural"/>
    <s v="Não se aplica"/>
    <s v="Não se aplica"/>
    <s v="Não se aplica"/>
    <s v="Ponta"/>
    <s v="CATIVO"/>
    <x v="11"/>
    <n v="0"/>
    <n v="0"/>
    <n v="2.0249999999999999"/>
    <n v="1.944"/>
    <n v="2.0249999999999999"/>
    <n v="1.944"/>
    <m/>
    <n v="2641.06"/>
    <n v="252.22"/>
    <m/>
    <n v="5858.8919999999998"/>
    <n v="5858.8919999999998"/>
    <n v="3477.6134999999995"/>
    <n v="0"/>
    <n v="108.96979868128568"/>
    <n v="0"/>
    <n v="0"/>
    <n v="0"/>
    <n v="1311.7281558419547"/>
    <n v="3871.9829399179857"/>
    <n v="510.75110414084196"/>
    <n v="0"/>
    <n v="0"/>
    <n v="0"/>
    <n v="0"/>
    <n v="0"/>
    <n v="19.361084097598521"/>
    <m/>
    <n v="4.8719599287188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231253576685329"/>
    <n v="0"/>
    <n v="0"/>
    <n v="0"/>
    <n v="0"/>
    <n v="0"/>
    <m/>
    <m/>
    <m/>
    <m/>
    <m/>
    <n v="139.10453999999993"/>
    <m/>
    <m/>
    <m/>
    <n v="541.98235771752729"/>
    <m/>
    <m/>
    <m/>
    <m/>
    <m/>
    <m/>
    <m/>
    <m/>
    <m/>
    <m/>
    <m/>
    <m/>
    <n v="3331.6395999999995"/>
    <n v="-2292.9267200000004"/>
    <m/>
    <m/>
    <m/>
    <m/>
    <n v="-2381.2784999999999"/>
    <n v="0"/>
    <n v="30"/>
    <n v="-7.1843806089593727"/>
    <n v="0"/>
    <n v="0"/>
    <n v="0"/>
    <n v="0"/>
    <n v="0"/>
    <n v="0"/>
    <n v="0"/>
    <n v="-3.371256873834227"/>
    <n v="0"/>
    <n v="0"/>
    <n v="-7.1604006279812893E-8"/>
    <n v="0"/>
    <n v="0"/>
    <n v="0"/>
    <n v="-4.3784531555957074E-9"/>
    <n v="0"/>
    <n v="-3.1685245386120471"/>
    <m/>
    <n v="0"/>
    <n v="0"/>
    <n v="0"/>
    <n v="0"/>
    <n v="-0.48639136374600866"/>
    <n v="-0.15820775678456567"/>
    <n v="0"/>
    <n v="0"/>
    <m/>
    <m/>
    <m/>
    <n v="3871.9829399179857"/>
    <n v="0"/>
    <n v="0"/>
    <n v="-2381.2785000000003"/>
    <n v="0"/>
    <n v="0"/>
    <n v="0"/>
    <n v="-2374.0874513608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2"/>
    <s v="Regular"/>
    <s v="Verde"/>
    <s v="A4"/>
    <s v="Rural"/>
    <s v="Não se aplica"/>
    <s v="Não se aplica"/>
    <s v="Não se aplica"/>
    <s v="Fora ponta"/>
    <s v="CATIVO"/>
    <x v="11"/>
    <n v="0"/>
    <n v="0"/>
    <n v="41.88"/>
    <n v="40.204799999999999"/>
    <n v="41.88"/>
    <n v="40.204799999999999"/>
    <m/>
    <n v="81.2"/>
    <n v="252.22"/>
    <m/>
    <n v="13963.629600000002"/>
    <n v="13963.629600000002"/>
    <n v="13884.895200000001"/>
    <n v="0"/>
    <n v="2253.6568734677753"/>
    <n v="0"/>
    <n v="0"/>
    <n v="0"/>
    <n v="0"/>
    <n v="0"/>
    <n v="10563.089501935045"/>
    <n v="0"/>
    <n v="0"/>
    <n v="0"/>
    <n v="0"/>
    <n v="0"/>
    <n v="400.41590222588945"/>
    <m/>
    <n v="100.75934904431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5.90859248967001"/>
    <n v="0"/>
    <n v="0"/>
    <n v="0"/>
    <n v="0"/>
    <n v="0"/>
    <m/>
    <m/>
    <m/>
    <m/>
    <m/>
    <n v="555.39580800000124"/>
    <m/>
    <m/>
    <m/>
    <n v="11208.998094424715"/>
    <m/>
    <m/>
    <m/>
    <m/>
    <m/>
    <m/>
    <m/>
    <m/>
    <m/>
    <m/>
    <m/>
    <m/>
    <n v="13327.907999999999"/>
    <n v="-77.2064160000009"/>
    <m/>
    <m/>
    <m/>
    <m/>
    <n v="-78.734400000000406"/>
    <n v="0"/>
    <n v="30"/>
    <n v="-78.861047914588198"/>
    <n v="0"/>
    <n v="0"/>
    <n v="0"/>
    <n v="0"/>
    <n v="0"/>
    <n v="0"/>
    <n v="0"/>
    <n v="0"/>
    <n v="0"/>
    <n v="0"/>
    <n v="-1.4808774722041562E-6"/>
    <n v="0"/>
    <n v="0"/>
    <n v="0"/>
    <n v="-9.0552930487319827E-8"/>
    <n v="0"/>
    <n v="-65.529781568925046"/>
    <m/>
    <n v="0"/>
    <n v="0"/>
    <n v="0"/>
    <n v="0"/>
    <n v="-10.059293982065583"/>
    <n v="-3.2719707921666981"/>
    <n v="0"/>
    <n v="0"/>
    <m/>
    <m/>
    <m/>
    <n v="0"/>
    <n v="0"/>
    <n v="0"/>
    <n v="-78.734400000000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3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44.261000000000003"/>
    <n v="42.490560000000002"/>
    <n v="44.261000000000003"/>
    <n v="42.490560000000002"/>
    <m/>
    <n v="81.2"/>
    <n v="252.22"/>
    <m/>
    <n v="14757.502620000001"/>
    <n v="14757.502620000001"/>
    <n v="14674.291939999999"/>
    <n v="0"/>
    <n v="2381.7838318184622"/>
    <n v="0"/>
    <n v="0"/>
    <n v="0"/>
    <n v="0"/>
    <n v="0"/>
    <n v="11163.631911297683"/>
    <n v="0"/>
    <n v="0"/>
    <n v="0"/>
    <n v="0"/>
    <n v="0"/>
    <n v="423.18071271299175"/>
    <m/>
    <n v="106.48781155803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2.63037755934295"/>
    <n v="0"/>
    <n v="0"/>
    <n v="0"/>
    <n v="0"/>
    <n v="0"/>
    <m/>
    <m/>
    <m/>
    <m/>
    <m/>
    <n v="586.97167760000025"/>
    <m/>
    <m/>
    <m/>
    <n v="11846.262288857026"/>
    <m/>
    <m/>
    <m/>
    <m/>
    <m/>
    <m/>
    <m/>
    <m/>
    <m/>
    <m/>
    <m/>
    <m/>
    <n v="14087.134600000001"/>
    <n v="-80.097915199999989"/>
    <m/>
    <m/>
    <m/>
    <m/>
    <n v="-83.210680000000437"/>
    <n v="0"/>
    <n v="30"/>
    <n v="-83.344528217467087"/>
    <n v="0"/>
    <n v="0"/>
    <n v="0"/>
    <n v="0"/>
    <n v="0"/>
    <n v="0"/>
    <n v="0"/>
    <n v="0"/>
    <n v="0"/>
    <n v="0"/>
    <n v="-1.5650693967472762E-6"/>
    <n v="0"/>
    <n v="0"/>
    <n v="0"/>
    <n v="-9.5701125246705487E-8"/>
    <n v="0"/>
    <n v="-69.255340544942101"/>
    <m/>
    <n v="0"/>
    <n v="0"/>
    <n v="0"/>
    <n v="0"/>
    <n v="-10.631194148524457"/>
    <n v="-3.4579918632304327"/>
    <n v="0"/>
    <n v="0"/>
    <m/>
    <m/>
    <m/>
    <n v="0"/>
    <n v="0"/>
    <n v="0"/>
    <n v="-83.210680000000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4"/>
    <s v="Regular"/>
    <s v="Verde"/>
    <s v="A4"/>
    <s v="Rural"/>
    <s v="Não se aplica"/>
    <s v="Não se aplica"/>
    <s v="Não se aplica"/>
    <s v="Não se aplica"/>
    <s v="CATIVO"/>
    <x v="11"/>
    <n v="437"/>
    <n v="419.52"/>
    <n v="0"/>
    <n v="0"/>
    <n v="0"/>
    <n v="0"/>
    <n v="74.44"/>
    <m/>
    <m/>
    <n v="32530.28"/>
    <m/>
    <n v="32530.28"/>
    <n v="19848.54"/>
    <n v="0"/>
    <n v="0"/>
    <n v="0"/>
    <n v="0"/>
    <n v="0"/>
    <n v="11893.869435807437"/>
    <n v="20635.8120772358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.940000000000001"/>
    <n v="3"/>
    <m/>
    <m/>
    <m/>
    <m/>
    <m/>
    <n v="793.9416000000009"/>
    <m/>
    <m/>
    <m/>
    <n v="0"/>
    <m/>
    <m/>
    <m/>
    <m/>
    <m/>
    <m/>
    <m/>
    <m/>
    <m/>
    <m/>
    <m/>
    <m/>
    <n v="19054.598399999999"/>
    <n v="-12174.500399999994"/>
    <m/>
    <m/>
    <m/>
    <m/>
    <n v="-12681.739999999998"/>
    <n v="0"/>
    <n v="30"/>
    <n v="-30.56829184718481"/>
    <n v="0"/>
    <n v="0"/>
    <n v="0"/>
    <n v="0"/>
    <m/>
    <m/>
    <m/>
    <n v="-30.568291847184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35.812077235874"/>
    <m/>
    <n v="0"/>
    <n v="0"/>
    <n v="-12681.739999999998"/>
    <m/>
    <n v="0"/>
    <m/>
    <n v="-12652.74750984437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15"/>
    <s v="Sistema de Compensação"/>
    <s v="Verde"/>
    <s v="A4"/>
    <s v="Rural"/>
    <s v="Não se aplica"/>
    <s v="Não se aplica"/>
    <s v="Não se aplica"/>
    <s v="Não se aplica"/>
    <s v="CATIVO"/>
    <x v="11"/>
    <n v="700"/>
    <n v="672"/>
    <n v="0"/>
    <n v="0"/>
    <n v="0"/>
    <n v="0"/>
    <n v="74.44"/>
    <m/>
    <m/>
    <n v="52108"/>
    <m/>
    <n v="52108"/>
    <n v="31794"/>
    <n v="0"/>
    <n v="0"/>
    <n v="0"/>
    <n v="0"/>
    <n v="0"/>
    <n v="19051.964771316259"/>
    <n v="33055.0765539247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.31"/>
    <n v="3"/>
    <m/>
    <m/>
    <m/>
    <m/>
    <m/>
    <n v="1271.76"/>
    <m/>
    <m/>
    <m/>
    <n v="0"/>
    <m/>
    <m/>
    <m/>
    <m/>
    <m/>
    <m/>
    <m/>
    <m/>
    <m/>
    <m/>
    <m/>
    <m/>
    <n v="30522.240000000002"/>
    <n v="-19501.470000000005"/>
    <m/>
    <m/>
    <m/>
    <m/>
    <n v="-20313.999999999996"/>
    <n v="0"/>
    <n v="30"/>
    <n v="-48.965227215168852"/>
    <n v="0"/>
    <n v="0"/>
    <n v="0"/>
    <n v="0"/>
    <m/>
    <m/>
    <m/>
    <n v="-48.9652272151688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055.076553924744"/>
    <m/>
    <n v="0"/>
    <n v="0"/>
    <n v="-20314"/>
    <m/>
    <n v="0"/>
    <m/>
    <n v="-20267.55894025415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16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12.386"/>
    <n v="212.386"/>
    <n v="212.386"/>
    <n v="212.386"/>
    <m/>
    <n v="739.04"/>
    <n v="252.22"/>
    <m/>
    <n v="210529.74635999999"/>
    <n v="210529.74635999999"/>
    <n v="143991.33642000001"/>
    <n v="0"/>
    <n v="13136.744522618728"/>
    <n v="0"/>
    <n v="0"/>
    <n v="0"/>
    <n v="26229.157216227766"/>
    <n v="107677.10453058881"/>
    <n v="53568.584693361416"/>
    <n v="0"/>
    <n v="0"/>
    <n v="0"/>
    <n v="0"/>
    <n v="0"/>
    <n v="2030.628744272869"/>
    <m/>
    <n v="497.68380354295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89.8111475656242"/>
    <n v="0"/>
    <n v="0"/>
    <n v="0"/>
    <n v="44379.91"/>
    <n v="379"/>
    <m/>
    <m/>
    <m/>
    <m/>
    <m/>
    <m/>
    <m/>
    <m/>
    <m/>
    <n v="60958.395840927042"/>
    <m/>
    <m/>
    <m/>
    <m/>
    <m/>
    <m/>
    <m/>
    <m/>
    <m/>
    <m/>
    <m/>
    <m/>
    <n v="143994.04829999999"/>
    <n v="-66535.728060000023"/>
    <m/>
    <m/>
    <m/>
    <m/>
    <n v="-66538.409939999998"/>
    <n v="0"/>
    <n v="30"/>
    <n v="-516.56457717702142"/>
    <n v="0"/>
    <n v="0"/>
    <n v="0"/>
    <n v="0"/>
    <n v="0"/>
    <n v="0"/>
    <n v="0"/>
    <n v="-67.411243835987989"/>
    <n v="0"/>
    <n v="0"/>
    <n v="-7.5099742389284074E-6"/>
    <n v="0"/>
    <n v="0"/>
    <n v="0"/>
    <n v="-1.0359981388319284E-6"/>
    <n v="0"/>
    <n v="-381.97829014199669"/>
    <m/>
    <n v="0"/>
    <n v="0"/>
    <n v="0"/>
    <n v="0"/>
    <n v="-51.013687002745428"/>
    <n v="-16.161347650336324"/>
    <n v="0"/>
    <n v="0"/>
    <m/>
    <m/>
    <m/>
    <n v="107677.10453058881"/>
    <n v="0"/>
    <n v="0"/>
    <n v="-66538.409939999983"/>
    <n v="0"/>
    <n v="0"/>
    <n v="0"/>
    <n v="-66021.69137407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7"/>
    <s v="Sistema de Compensação"/>
    <s v="Convencional"/>
    <s v="B3"/>
    <s v="Poder público"/>
    <s v="Não se aplica"/>
    <s v="Não se aplica"/>
    <s v="Não se aplica"/>
    <s v="Não se aplica"/>
    <s v="CATIVO"/>
    <x v="11"/>
    <n v="0"/>
    <n v="0"/>
    <n v="3.419"/>
    <n v="3.419"/>
    <n v="3.419"/>
    <n v="3.419"/>
    <m/>
    <n v="739.04"/>
    <n v="252.22"/>
    <m/>
    <n v="3389.1179400000001"/>
    <n v="3389.1179400000001"/>
    <n v="2317.9794299999999"/>
    <n v="0"/>
    <n v="211.47594249542547"/>
    <n v="0"/>
    <n v="0"/>
    <n v="0"/>
    <n v="422.23822908422744"/>
    <n v="1733.3911858130157"/>
    <n v="862.34964200372281"/>
    <n v="0"/>
    <n v="0"/>
    <n v="0"/>
    <n v="0"/>
    <n v="0"/>
    <n v="32.689158780093507"/>
    <m/>
    <n v="8.011737705467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6153378060168"/>
    <n v="0"/>
    <n v="0"/>
    <n v="0"/>
    <n v="957.81"/>
    <n v="5"/>
    <m/>
    <m/>
    <m/>
    <m/>
    <m/>
    <m/>
    <m/>
    <m/>
    <m/>
    <n v="981.31117578432452"/>
    <m/>
    <m/>
    <m/>
    <m/>
    <m/>
    <m/>
    <m/>
    <m/>
    <m/>
    <m/>
    <m/>
    <m/>
    <n v="2318.6574000000001"/>
    <n v="-1070.4905400000007"/>
    <m/>
    <m/>
    <m/>
    <m/>
    <n v="-1071.13851"/>
    <n v="0"/>
    <n v="30"/>
    <n v="-8.3156813037030588"/>
    <n v="0"/>
    <n v="0"/>
    <n v="0"/>
    <n v="0"/>
    <n v="0"/>
    <n v="0"/>
    <n v="0"/>
    <n v="-1.0851894318610107"/>
    <n v="0"/>
    <n v="0"/>
    <n v="-1.2089583378838142E-7"/>
    <n v="0"/>
    <n v="0"/>
    <n v="0"/>
    <n v="-1.6677546454957337E-8"/>
    <n v="0"/>
    <n v="-6.1491048091469622"/>
    <m/>
    <n v="0"/>
    <n v="0"/>
    <n v="0"/>
    <n v="0"/>
    <n v="-0.82122077661610149"/>
    <n v="-0.26016614850555086"/>
    <n v="0"/>
    <n v="0"/>
    <m/>
    <m/>
    <m/>
    <n v="1733.3911858130157"/>
    <n v="0"/>
    <n v="0"/>
    <n v="-1071.13851"/>
    <n v="0"/>
    <n v="0"/>
    <n v="0"/>
    <n v="-1062.8203497780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8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433.98200000000003"/>
    <n v="433.98200000000003"/>
    <n v="433.98200000000003"/>
    <n v="433.98200000000003"/>
    <m/>
    <n v="406.47"/>
    <n v="138.72"/>
    <m/>
    <n v="236602.64658"/>
    <n v="236602.64658"/>
    <n v="161823.20816000001"/>
    <n v="0"/>
    <n v="14763.73613975644"/>
    <n v="0"/>
    <n v="0"/>
    <n v="0"/>
    <n v="29477.649933880533"/>
    <n v="121012.96153285386"/>
    <n v="60203.077591351903"/>
    <n v="0"/>
    <n v="0"/>
    <n v="0"/>
    <n v="0"/>
    <n v="0"/>
    <n v="2282.123012031705"/>
    <m/>
    <n v="559.32216264747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05.0425253715057"/>
    <n v="0"/>
    <n v="0"/>
    <n v="0"/>
    <n v="40455.64"/>
    <n v="38"/>
    <m/>
    <m/>
    <m/>
    <m/>
    <m/>
    <m/>
    <m/>
    <m/>
    <m/>
    <n v="68508.12011672341"/>
    <m/>
    <m/>
    <m/>
    <m/>
    <m/>
    <m/>
    <m/>
    <m/>
    <m/>
    <m/>
    <m/>
    <m/>
    <n v="161822.46240000002"/>
    <n v="-74780.21418000001"/>
    <m/>
    <m/>
    <m/>
    <m/>
    <n v="-74779.43842000002"/>
    <n v="0"/>
    <n v="30"/>
    <n v="-580.54132844330161"/>
    <n v="0"/>
    <n v="0"/>
    <n v="0"/>
    <n v="0"/>
    <n v="0"/>
    <n v="0"/>
    <n v="0"/>
    <n v="-75.760156188967812"/>
    <n v="0"/>
    <n v="0"/>
    <n v="-8.4396451711654663E-6"/>
    <n v="0"/>
    <n v="0"/>
    <n v="0"/>
    <n v="-1.164286004495807E-6"/>
    <n v="0"/>
    <n v="-429.28647025614191"/>
    <m/>
    <n v="0"/>
    <n v="0"/>
    <n v="0"/>
    <n v="0"/>
    <n v="-57.331754692184859"/>
    <n v="-18.162937702079148"/>
    <n v="0"/>
    <n v="0"/>
    <m/>
    <m/>
    <m/>
    <n v="121012.96153285386"/>
    <n v="0"/>
    <n v="0"/>
    <n v="-74779.438420000006"/>
    <n v="0"/>
    <n v="0"/>
    <n v="0"/>
    <n v="-74198.5070402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19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86.858999999999995"/>
    <n v="81.647459999999995"/>
    <n v="86.858999999999995"/>
    <n v="81.647459999999995"/>
    <m/>
    <n v="739.04"/>
    <n v="252.22"/>
    <m/>
    <n v="86099.852339999983"/>
    <n v="86099.852339999983"/>
    <n v="58887.796229999993"/>
    <n v="0"/>
    <n v="5372.5033311524303"/>
    <n v="0"/>
    <n v="0"/>
    <n v="0"/>
    <n v="10726.876379066074"/>
    <n v="44036.450719079476"/>
    <n v="21907.81736028118"/>
    <n v="0"/>
    <n v="0"/>
    <n v="0"/>
    <n v="0"/>
    <n v="0"/>
    <n v="830.46143389299255"/>
    <m/>
    <n v="203.53656781490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2.1935836938524"/>
    <n v="0"/>
    <n v="0"/>
    <n v="0"/>
    <n v="19629.11"/>
    <n v="28"/>
    <m/>
    <m/>
    <m/>
    <m/>
    <n v="3533.2677737999998"/>
    <m/>
    <m/>
    <m/>
    <m/>
    <n v="24930.010943975034"/>
    <m/>
    <m/>
    <m/>
    <m/>
    <m/>
    <m/>
    <m/>
    <m/>
    <m/>
    <m/>
    <m/>
    <m/>
    <n v="55356.250500000009"/>
    <n v="-25577.640699599986"/>
    <m/>
    <m/>
    <m/>
    <m/>
    <n v="-27212.056109999994"/>
    <n v="0"/>
    <n v="30"/>
    <n v="-211.25819314370165"/>
    <n v="0"/>
    <n v="0"/>
    <n v="0"/>
    <n v="0"/>
    <n v="0"/>
    <n v="0"/>
    <n v="0"/>
    <n v="-27.569016923665913"/>
    <n v="0"/>
    <n v="0"/>
    <n v="-3.0713345040567219E-6"/>
    <n v="0"/>
    <n v="0"/>
    <n v="0"/>
    <n v="-4.2368992581032217E-7"/>
    <n v="0"/>
    <n v="-156.21675771210721"/>
    <m/>
    <n v="0"/>
    <n v="0"/>
    <n v="0"/>
    <n v="0"/>
    <n v="-20.862946895612026"/>
    <n v="-6.609468117298519"/>
    <n v="0"/>
    <n v="0"/>
    <m/>
    <m/>
    <m/>
    <n v="44036.450719079476"/>
    <n v="0"/>
    <n v="0"/>
    <n v="-27212.056109999998"/>
    <n v="0"/>
    <n v="0"/>
    <n v="0"/>
    <n v="-27000.734940441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0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7.7320000000000002"/>
    <n v="7.7320000000000002"/>
    <n v="7.7320000000000002"/>
    <n v="7.7320000000000002"/>
    <m/>
    <n v="739.04"/>
    <n v="252.22"/>
    <m/>
    <n v="7664.4223199999997"/>
    <n v="7664.4223199999997"/>
    <n v="5242.0640400000002"/>
    <n v="0"/>
    <n v="478.24860701217597"/>
    <n v="0"/>
    <n v="0"/>
    <n v="0"/>
    <n v="954.88329548968898"/>
    <n v="3920.0294380538862"/>
    <n v="1950.1864381318471"/>
    <n v="0"/>
    <n v="0"/>
    <n v="0"/>
    <n v="0"/>
    <n v="0"/>
    <n v="73.925877650682366"/>
    <m/>
    <n v="18.118384304964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.02912523884538"/>
    <n v="0"/>
    <n v="0"/>
    <n v="0"/>
    <n v="1747.3"/>
    <n v="11"/>
    <m/>
    <m/>
    <m/>
    <m/>
    <m/>
    <m/>
    <m/>
    <m/>
    <m/>
    <n v="2219.2155633706925"/>
    <m/>
    <m/>
    <m/>
    <m/>
    <m/>
    <m/>
    <m/>
    <m/>
    <m/>
    <m/>
    <m/>
    <m/>
    <n v="5240.7080999999998"/>
    <n v="-2423.7442200000005"/>
    <m/>
    <m/>
    <m/>
    <m/>
    <n v="-2422.3582799999999"/>
    <n v="0"/>
    <n v="30"/>
    <n v="-18.805746662834736"/>
    <n v="0"/>
    <n v="0"/>
    <n v="0"/>
    <n v="0"/>
    <n v="0"/>
    <n v="0"/>
    <n v="0"/>
    <n v="-2.4541341582771565"/>
    <n v="0"/>
    <n v="0"/>
    <n v="-2.7340365704731084E-7"/>
    <n v="0"/>
    <n v="0"/>
    <n v="0"/>
    <n v="-3.7716006318078144E-8"/>
    <n v="0"/>
    <n v="-13.906077327968489"/>
    <m/>
    <n v="0"/>
    <n v="0"/>
    <n v="0"/>
    <n v="0"/>
    <n v="-1.8571743330785893"/>
    <n v="-0.58836053239102526"/>
    <n v="0"/>
    <n v="0"/>
    <m/>
    <m/>
    <m/>
    <n v="3920.0294380538862"/>
    <n v="0"/>
    <n v="0"/>
    <n v="-2422.3582799999999"/>
    <n v="0"/>
    <n v="0"/>
    <n v="0"/>
    <n v="-2403.5469273131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1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5.68"/>
    <n v="3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22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.4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m/>
    <m/>
    <m/>
    <m/>
    <n v="0"/>
    <m/>
    <m/>
    <m/>
    <m/>
    <n v="0"/>
    <n v="0"/>
    <n v="0"/>
    <n v="0"/>
  </r>
  <r>
    <n v="623"/>
    <s v="Regular"/>
    <s v="Convencional"/>
    <s v="B2"/>
    <s v="Rural"/>
    <s v="Agropecuária rural"/>
    <s v="IRRIG./AQUIC."/>
    <s v="Não se aplica"/>
    <s v="Não se aplica"/>
    <s v="CATIVO"/>
    <x v="11"/>
    <n v="0"/>
    <n v="0"/>
    <n v="3.7"/>
    <n v="3.7"/>
    <n v="3.7"/>
    <n v="3.7"/>
    <m/>
    <n v="739.04"/>
    <n v="252.22"/>
    <m/>
    <n v="3667.6619999999998"/>
    <n v="3667.6619999999998"/>
    <n v="2508.489"/>
    <n v="0"/>
    <n v="228.85667950660257"/>
    <n v="0"/>
    <n v="0"/>
    <n v="0"/>
    <n v="456.9410493160695"/>
    <n v="1875.8547491980573"/>
    <n v="933.22423966474832"/>
    <n v="0"/>
    <n v="0"/>
    <n v="0"/>
    <n v="0"/>
    <n v="0"/>
    <n v="35.375807980797305"/>
    <m/>
    <n v="8.6702045949776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73871745780235"/>
    <n v="0"/>
    <n v="0"/>
    <n v="0"/>
    <n v="0"/>
    <n v="0"/>
    <m/>
    <m/>
    <m/>
    <m/>
    <m/>
    <n v="364.00600000000003"/>
    <m/>
    <m/>
    <m/>
    <n v="1061.9629571225507"/>
    <m/>
    <m/>
    <m/>
    <m/>
    <m/>
    <m/>
    <m/>
    <m/>
    <m/>
    <m/>
    <m/>
    <m/>
    <n v="2144.4830000000002"/>
    <n v="-973.72200000000021"/>
    <m/>
    <m/>
    <m/>
    <m/>
    <n v="-1159.173"/>
    <n v="0"/>
    <n v="30"/>
    <n v="-8.9991286410354405"/>
    <n v="0"/>
    <n v="0"/>
    <n v="0"/>
    <n v="0"/>
    <n v="0"/>
    <n v="0"/>
    <n v="0"/>
    <n v="-1.1743787358543045"/>
    <n v="0"/>
    <n v="0"/>
    <n v="-1.3083206340525066E-7"/>
    <n v="0"/>
    <n v="0"/>
    <n v="0"/>
    <n v="-1.8048240235657431E-8"/>
    <n v="0"/>
    <n v="-6.6544860467516003"/>
    <m/>
    <n v="0"/>
    <n v="0"/>
    <n v="0"/>
    <n v="0"/>
    <n v="-0.88871508437542701"/>
    <n v="-0.28154862517418344"/>
    <n v="0"/>
    <n v="0"/>
    <m/>
    <m/>
    <m/>
    <n v="1875.8547491980573"/>
    <n v="0"/>
    <n v="0"/>
    <n v="-1159.1729999999998"/>
    <n v="0"/>
    <n v="0"/>
    <n v="0"/>
    <n v="-1150.1711887039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4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16"/>
    <n v="0.16"/>
    <n v="0.16"/>
    <n v="0.16"/>
    <m/>
    <n v="739.04"/>
    <n v="252.22"/>
    <m/>
    <n v="158.60159999999999"/>
    <n v="158.60159999999999"/>
    <n v="108.4752"/>
    <n v="0"/>
    <n v="9.8965050597449764"/>
    <n v="0"/>
    <n v="0"/>
    <n v="0"/>
    <n v="19.759612943397599"/>
    <n v="81.118043208564643"/>
    <n v="40.35564279631344"/>
    <n v="0"/>
    <n v="0"/>
    <n v="0"/>
    <n v="0"/>
    <n v="0"/>
    <n v="1.5297646694398832"/>
    <m/>
    <n v="0.37492776626930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670796738509125"/>
    <n v="0"/>
    <n v="0"/>
    <n v="0"/>
    <n v="0"/>
    <n v="0"/>
    <m/>
    <m/>
    <m/>
    <m/>
    <m/>
    <n v="15.7408"/>
    <m/>
    <m/>
    <m/>
    <n v="45.922722470164352"/>
    <m/>
    <m/>
    <m/>
    <m/>
    <m/>
    <m/>
    <m/>
    <m/>
    <m/>
    <m/>
    <m/>
    <m/>
    <n v="92.734399999999994"/>
    <n v="-42.135600000000011"/>
    <m/>
    <m/>
    <m/>
    <m/>
    <n v="-50.126399999999997"/>
    <n v="0"/>
    <n v="30"/>
    <n v="-0.3891515088015467"/>
    <n v="0"/>
    <n v="0"/>
    <n v="0"/>
    <n v="0"/>
    <n v="0"/>
    <n v="0"/>
    <n v="0"/>
    <n v="-5.0783945334238467E-2"/>
    <n v="0"/>
    <n v="0"/>
    <n v="-5.6575970575067913E-9"/>
    <n v="0"/>
    <n v="0"/>
    <n v="0"/>
    <n v="-7.8046458185099254E-10"/>
    <n v="0"/>
    <n v="-0.28776155877844722"/>
    <m/>
    <n v="0"/>
    <n v="0"/>
    <n v="0"/>
    <n v="0"/>
    <n v="-3.8430922567585624E-2"/>
    <n v="-1.217507568320797E-2"/>
    <n v="0"/>
    <n v="0"/>
    <m/>
    <m/>
    <m/>
    <n v="81.118043208564643"/>
    <n v="0"/>
    <n v="0"/>
    <n v="-50.12639999999999"/>
    <n v="0"/>
    <n v="0"/>
    <n v="0"/>
    <n v="-49.73713248449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5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0.42"/>
    <n v="0.16800000000000001"/>
    <n v="0.42"/>
    <n v="0.16800000000000001"/>
    <m/>
    <n v="739.04"/>
    <n v="252.22"/>
    <m/>
    <n v="416.32920000000001"/>
    <n v="416.32920000000001"/>
    <n v="284.74739999999997"/>
    <n v="0"/>
    <n v="25.978325781830563"/>
    <n v="0"/>
    <n v="0"/>
    <n v="0"/>
    <n v="51.868983976418697"/>
    <n v="212.93486342248218"/>
    <n v="105.93356234032278"/>
    <n v="0"/>
    <n v="0"/>
    <n v="0"/>
    <n v="0"/>
    <n v="0"/>
    <n v="4.0156322572796936"/>
    <m/>
    <n v="0.98418538645691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13584143858645"/>
    <n v="0"/>
    <n v="0"/>
    <n v="0"/>
    <n v="0"/>
    <n v="0"/>
    <m/>
    <m/>
    <m/>
    <m/>
    <m/>
    <m/>
    <n v="187.37628000000001"/>
    <m/>
    <m/>
    <n v="120.54714648418143"/>
    <m/>
    <m/>
    <m/>
    <m/>
    <m/>
    <m/>
    <m/>
    <m/>
    <m/>
    <m/>
    <m/>
    <m/>
    <n v="98.530300000000011"/>
    <n v="-43.081700000000012"/>
    <m/>
    <m/>
    <m/>
    <m/>
    <n v="-131.58179999999999"/>
    <n v="0"/>
    <n v="30"/>
    <n v="-1.0215227106040459"/>
    <n v="0"/>
    <n v="0"/>
    <n v="0"/>
    <n v="0"/>
    <n v="0"/>
    <n v="0"/>
    <n v="0"/>
    <n v="-0.13330785650238397"/>
    <n v="0"/>
    <n v="0"/>
    <n v="-1.4851210039523721E-8"/>
    <n v="0"/>
    <n v="0"/>
    <n v="0"/>
    <n v="-2.0487203045149727E-9"/>
    <n v="0"/>
    <n v="-0.75537409179342774"/>
    <m/>
    <n v="0"/>
    <n v="0"/>
    <n v="0"/>
    <n v="0"/>
    <n v="-0.10088117173991273"/>
    <n v="-3.1959573668420949E-2"/>
    <n v="0"/>
    <n v="0"/>
    <m/>
    <m/>
    <m/>
    <n v="212.93486342248218"/>
    <n v="0"/>
    <n v="0"/>
    <n v="-131.58179999999999"/>
    <n v="0"/>
    <n v="0"/>
    <n v="0"/>
    <n v="-130.55997277179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6"/>
    <s v="Sistema de Compensação"/>
    <s v="Convencional"/>
    <s v="B2"/>
    <s v="Rural"/>
    <s v="Agropecuária rural"/>
    <s v="IRRIG./AQUIC. PR"/>
    <s v="Não se aplica"/>
    <s v="Não se aplica"/>
    <s v="CATIVO"/>
    <x v="11"/>
    <n v="0"/>
    <n v="0"/>
    <n v="0.04"/>
    <n v="1.6E-2"/>
    <n v="0.04"/>
    <n v="1.6E-2"/>
    <m/>
    <n v="739.04"/>
    <n v="252.22"/>
    <m/>
    <n v="39.650399999999998"/>
    <n v="39.650399999999998"/>
    <n v="27.1188"/>
    <n v="0"/>
    <n v="2.4741262649362441"/>
    <n v="0"/>
    <n v="0"/>
    <n v="0"/>
    <n v="4.9399032358493997"/>
    <n v="20.279510802141161"/>
    <n v="10.08891069907836"/>
    <n v="0"/>
    <n v="0"/>
    <n v="0"/>
    <n v="0"/>
    <n v="0"/>
    <n v="0.3824411673599708"/>
    <m/>
    <n v="9.37319415673255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917699184627281"/>
    <n v="0"/>
    <n v="0"/>
    <n v="0"/>
    <n v="0"/>
    <n v="0"/>
    <m/>
    <m/>
    <m/>
    <m/>
    <m/>
    <m/>
    <n v="17.845359999999999"/>
    <m/>
    <m/>
    <n v="11.480680617541088"/>
    <m/>
    <m/>
    <m/>
    <m/>
    <m/>
    <m/>
    <m/>
    <m/>
    <m/>
    <m/>
    <m/>
    <m/>
    <n v="11.591799999999999"/>
    <n v="-1.9222000000000001"/>
    <m/>
    <m/>
    <m/>
    <m/>
    <n v="-12.531599999999999"/>
    <n v="0"/>
    <n v="30"/>
    <n v="-9.7287877200386674E-2"/>
    <n v="0"/>
    <n v="0"/>
    <n v="0"/>
    <n v="0"/>
    <n v="0"/>
    <n v="0"/>
    <n v="0"/>
    <n v="-1.2695986333559617E-2"/>
    <n v="0"/>
    <n v="0"/>
    <n v="-1.4143992643766978E-9"/>
    <n v="0"/>
    <n v="0"/>
    <n v="0"/>
    <n v="-1.9511614546274814E-10"/>
    <n v="0"/>
    <n v="-7.1940389694611806E-2"/>
    <m/>
    <n v="0"/>
    <n v="0"/>
    <n v="0"/>
    <n v="0"/>
    <n v="-9.6077306418964059E-3"/>
    <n v="-3.0437689208019925E-3"/>
    <n v="0"/>
    <n v="0"/>
    <m/>
    <m/>
    <m/>
    <n v="20.279510802141161"/>
    <n v="0"/>
    <n v="0"/>
    <n v="-12.531599999999997"/>
    <n v="0"/>
    <n v="0"/>
    <n v="0"/>
    <n v="-12.43428312112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7"/>
    <s v="Regular"/>
    <s v="Verde"/>
    <s v="A4"/>
    <s v="Rural"/>
    <s v="Agropecuária rural"/>
    <s v="Não se aplica"/>
    <s v="Não se aplica"/>
    <s v="Ponta"/>
    <s v="CATIVO"/>
    <x v="11"/>
    <n v="0"/>
    <n v="0"/>
    <n v="3.14"/>
    <n v="3.0144000000000002"/>
    <n v="3.14"/>
    <n v="3.0144000000000002"/>
    <m/>
    <n v="2641.06"/>
    <n v="252.22"/>
    <m/>
    <n v="9084.8991999999998"/>
    <n v="9084.8991999999998"/>
    <n v="5392.4475999999995"/>
    <n v="0"/>
    <n v="168.97045326382079"/>
    <n v="0"/>
    <n v="0"/>
    <n v="0"/>
    <n v="2033.9883502932041"/>
    <n v="6003.9636697987535"/>
    <n v="791.9794898776513"/>
    <n v="0"/>
    <n v="0"/>
    <n v="0"/>
    <n v="0"/>
    <n v="0"/>
    <n v="30.021631637757711"/>
    <m/>
    <n v="7.5545452721863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427721595452809"/>
    <n v="0"/>
    <n v="0"/>
    <n v="0"/>
    <n v="0"/>
    <n v="0"/>
    <m/>
    <m/>
    <m/>
    <m/>
    <m/>
    <n v="215.69790399999985"/>
    <m/>
    <m/>
    <m/>
    <n v="840.4072114731041"/>
    <m/>
    <m/>
    <m/>
    <m/>
    <m/>
    <m/>
    <m/>
    <m/>
    <m/>
    <m/>
    <m/>
    <m/>
    <n v="5169.1933999999992"/>
    <n v="-3552.3398320000024"/>
    <m/>
    <m/>
    <m/>
    <m/>
    <n v="-3692.4516000000003"/>
    <n v="0"/>
    <n v="30"/>
    <n v="-11.140224746732201"/>
    <n v="0"/>
    <n v="0"/>
    <n v="0"/>
    <n v="0"/>
    <n v="0"/>
    <n v="0"/>
    <n v="0"/>
    <n v="-5.2275291772048149"/>
    <n v="0"/>
    <n v="0"/>
    <n v="-1.1103043107141275E-7"/>
    <n v="0"/>
    <n v="0"/>
    <n v="0"/>
    <n v="-6.7893068944613333E-9"/>
    <n v="0"/>
    <n v="-4.9131689141935055"/>
    <m/>
    <n v="0"/>
    <n v="0"/>
    <n v="0"/>
    <n v="0"/>
    <n v="-0.75420685538887255"/>
    <n v="-0.24531968212520194"/>
    <n v="0"/>
    <n v="0"/>
    <m/>
    <m/>
    <m/>
    <n v="6003.9636697987535"/>
    <n v="0"/>
    <n v="0"/>
    <n v="-3692.4516000000012"/>
    <n v="0"/>
    <n v="0"/>
    <n v="0"/>
    <n v="-3681.30103569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29"/>
    <s v="Regular"/>
    <s v="Verde"/>
    <s v="A4"/>
    <s v="Rural"/>
    <s v="Agropecuária rural"/>
    <s v="Não se aplica"/>
    <s v="Não se aplica"/>
    <s v="Fora ponta"/>
    <s v="CATIVO"/>
    <x v="11"/>
    <n v="0"/>
    <n v="0"/>
    <n v="18.062999999999999"/>
    <n v="17.340479999999999"/>
    <n v="18.062999999999999"/>
    <n v="17.340479999999999"/>
    <m/>
    <n v="81.2"/>
    <n v="252.22"/>
    <m/>
    <n v="6022.5654599999998"/>
    <n v="6022.5654599999998"/>
    <n v="5988.6070199999995"/>
    <n v="0"/>
    <n v="972.01060423706826"/>
    <n v="0"/>
    <n v="0"/>
    <n v="0"/>
    <n v="0"/>
    <n v="0"/>
    <n v="4555.8998489363103"/>
    <n v="0"/>
    <n v="0"/>
    <n v="0"/>
    <n v="0"/>
    <n v="0"/>
    <n v="172.70087015057882"/>
    <m/>
    <n v="43.457882564172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58278190403314"/>
    <n v="0"/>
    <n v="0"/>
    <n v="0"/>
    <n v="0"/>
    <n v="0"/>
    <m/>
    <m/>
    <m/>
    <m/>
    <m/>
    <n v="239.5442807999998"/>
    <m/>
    <m/>
    <m/>
    <n v="4834.4826308403435"/>
    <m/>
    <m/>
    <m/>
    <m/>
    <m/>
    <m/>
    <m/>
    <m/>
    <m/>
    <m/>
    <m/>
    <m/>
    <n v="5748.9036000000006"/>
    <n v="-32.789241599999514"/>
    <m/>
    <m/>
    <m/>
    <m/>
    <n v="-33.958440000000174"/>
    <n v="0"/>
    <n v="30"/>
    <n v="-34.013063717315163"/>
    <n v="0"/>
    <n v="0"/>
    <n v="0"/>
    <n v="0"/>
    <n v="0"/>
    <n v="0"/>
    <n v="0"/>
    <n v="0"/>
    <n v="0"/>
    <n v="0"/>
    <n v="-6.3870811572996899E-7"/>
    <n v="0"/>
    <n v="0"/>
    <n v="0"/>
    <n v="-3.9055805700627388E-8"/>
    <n v="0"/>
    <n v="-28.263238884419479"/>
    <m/>
    <n v="0"/>
    <n v="0"/>
    <n v="0"/>
    <n v="0"/>
    <n v="-4.3386109646143893"/>
    <n v="-1.4112131905183176"/>
    <n v="0"/>
    <n v="0"/>
    <m/>
    <m/>
    <m/>
    <n v="0"/>
    <n v="0"/>
    <n v="0"/>
    <n v="-33.95844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30"/>
    <s v="Regular"/>
    <s v="Verde"/>
    <s v="A4"/>
    <s v="Rural"/>
    <s v="Agropecuária rural"/>
    <s v="Não se aplica"/>
    <s v="Não se aplica"/>
    <s v="Não se aplica"/>
    <s v="CATIVO"/>
    <x v="11"/>
    <n v="803"/>
    <n v="770.88"/>
    <n v="0"/>
    <n v="0"/>
    <n v="0"/>
    <n v="0"/>
    <n v="74.44"/>
    <m/>
    <m/>
    <n v="59775.32"/>
    <m/>
    <n v="59775.32"/>
    <n v="36472.26"/>
    <n v="0"/>
    <n v="0"/>
    <n v="0"/>
    <n v="0"/>
    <n v="0"/>
    <n v="21855.325301952795"/>
    <n v="37918.8949611450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3.93"/>
    <n v="24"/>
    <m/>
    <m/>
    <m/>
    <m/>
    <m/>
    <n v="1458.8904000000002"/>
    <m/>
    <m/>
    <m/>
    <n v="0"/>
    <m/>
    <m/>
    <m/>
    <m/>
    <m/>
    <m/>
    <m/>
    <m/>
    <m/>
    <m/>
    <m/>
    <m/>
    <n v="35013.369599999998"/>
    <n v="-22370.967600000004"/>
    <m/>
    <m/>
    <m/>
    <m/>
    <n v="-23303.059999999998"/>
    <n v="0"/>
    <n v="30"/>
    <n v="-56.170110648257833"/>
    <n v="0"/>
    <n v="0"/>
    <n v="0"/>
    <n v="0"/>
    <m/>
    <m/>
    <m/>
    <n v="-56.1701106482578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918.894961145095"/>
    <m/>
    <n v="0"/>
    <n v="0"/>
    <n v="-23303.059999999998"/>
    <m/>
    <n v="0"/>
    <m/>
    <n v="-23249.78547003440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1"/>
    <s v="Sistema de Compensação"/>
    <s v="Verde"/>
    <s v="A4"/>
    <s v="Rural"/>
    <s v="Agropecuária rural"/>
    <s v="Não se aplica"/>
    <s v="Não se aplica"/>
    <s v="Não se aplica"/>
    <s v="CATIVO"/>
    <x v="11"/>
    <n v="18"/>
    <n v="17.28"/>
    <n v="0"/>
    <n v="0"/>
    <n v="0"/>
    <n v="0"/>
    <n v="74.44"/>
    <m/>
    <m/>
    <n v="1339.92"/>
    <m/>
    <n v="1339.92"/>
    <n v="817.56000000000006"/>
    <n v="0"/>
    <n v="0"/>
    <n v="0"/>
    <n v="0"/>
    <n v="0"/>
    <n v="489.9076655481324"/>
    <n v="849.987682815207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.28"/>
    <n v="2"/>
    <m/>
    <m/>
    <m/>
    <m/>
    <m/>
    <n v="32.702399999999948"/>
    <m/>
    <m/>
    <m/>
    <n v="0"/>
    <m/>
    <m/>
    <m/>
    <m/>
    <m/>
    <m/>
    <m/>
    <m/>
    <m/>
    <m/>
    <m/>
    <m/>
    <n v="784.85760000000005"/>
    <n v="-501.49559999999997"/>
    <m/>
    <m/>
    <m/>
    <m/>
    <n v="-522.3599999999999"/>
    <n v="0"/>
    <n v="30"/>
    <n v="-1.2591058426758082"/>
    <n v="0"/>
    <n v="0"/>
    <n v="0"/>
    <n v="0"/>
    <m/>
    <m/>
    <m/>
    <n v="-1.2591058426758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9.98768281520756"/>
    <m/>
    <n v="0"/>
    <n v="0"/>
    <n v="-522.36"/>
    <m/>
    <n v="0"/>
    <m/>
    <n v="-521.1658013208209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2"/>
    <s v="Regular"/>
    <s v="Verde"/>
    <s v="A4"/>
    <s v="Rural"/>
    <s v="Agropecuária rural"/>
    <s v="IRRIG./AQUIC. PR"/>
    <s v="Não se aplica"/>
    <s v="Fora ponta"/>
    <s v="CATIVO"/>
    <x v="11"/>
    <n v="0"/>
    <n v="0"/>
    <n v="11.398"/>
    <n v="3.4194"/>
    <n v="11.398"/>
    <n v="3.4194"/>
    <m/>
    <n v="81.2"/>
    <n v="252.22"/>
    <m/>
    <n v="3800.32116"/>
    <n v="3800.32116"/>
    <n v="3778.8929199999998"/>
    <n v="0"/>
    <n v="613.35198289841696"/>
    <n v="0"/>
    <n v="0"/>
    <n v="0"/>
    <n v="0"/>
    <n v="0"/>
    <n v="2874.8351037023785"/>
    <n v="0"/>
    <n v="0"/>
    <n v="0"/>
    <n v="0"/>
    <n v="0"/>
    <n v="108.97661063922368"/>
    <m/>
    <n v="27.422518156808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7895448232392"/>
    <n v="0"/>
    <n v="0"/>
    <n v="0"/>
    <n v="0"/>
    <n v="0"/>
    <m/>
    <m/>
    <m/>
    <m/>
    <m/>
    <m/>
    <n v="2645.2250439999998"/>
    <m/>
    <m/>
    <n v="3050.6246485256179"/>
    <m/>
    <m/>
    <m/>
    <m/>
    <m/>
    <m/>
    <m/>
    <m/>
    <m/>
    <m/>
    <m/>
    <m/>
    <n v="1133.8668"/>
    <n v="-6.2595479999999952"/>
    <m/>
    <m/>
    <m/>
    <m/>
    <n v="-21.428240000000109"/>
    <n v="0"/>
    <n v="30"/>
    <n v="-21.462708312571522"/>
    <n v="0"/>
    <n v="0"/>
    <n v="0"/>
    <n v="0"/>
    <n v="0"/>
    <n v="0"/>
    <n v="0"/>
    <n v="0"/>
    <n v="0"/>
    <n v="0"/>
    <n v="-4.0303348214365542E-7"/>
    <n v="0"/>
    <n v="0"/>
    <n v="0"/>
    <n v="-2.4644748464197619E-8"/>
    <n v="0"/>
    <n v="-17.834490217827351"/>
    <m/>
    <n v="0"/>
    <n v="0"/>
    <n v="0"/>
    <n v="0"/>
    <n v="-2.7377228464083885"/>
    <n v="-0.89049482065702179"/>
    <n v="0"/>
    <n v="0"/>
    <m/>
    <m/>
    <m/>
    <n v="0"/>
    <n v="0"/>
    <n v="0"/>
    <n v="-21.428240000000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m/>
    <n v="0"/>
    <m/>
    <m/>
    <m/>
    <m/>
    <n v="0"/>
    <n v="0"/>
    <n v="0"/>
    <n v="0"/>
  </r>
  <r>
    <n v="635"/>
    <s v="Regular"/>
    <s v="Verde"/>
    <s v="A4"/>
    <s v="Industrial"/>
    <s v="Não se aplica"/>
    <s v="Fonte incentivada"/>
    <s v="Não se aplica"/>
    <s v="Não se aplica"/>
    <s v="LIVRE"/>
    <x v="0"/>
    <n v="1200"/>
    <n v="600"/>
    <n v="0"/>
    <n v="0"/>
    <n v="0"/>
    <n v="0"/>
    <n v="74.44"/>
    <m/>
    <m/>
    <n v="89328"/>
    <m/>
    <n v="89328"/>
    <n v="54504"/>
    <n v="0"/>
    <n v="0"/>
    <n v="0"/>
    <n v="0"/>
    <n v="0"/>
    <n v="32660.511036542161"/>
    <n v="56665.8455210138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732.68"/>
    <n v="1"/>
    <m/>
    <n v="27252"/>
    <m/>
    <m/>
    <m/>
    <m/>
    <m/>
    <m/>
    <m/>
    <n v="0"/>
    <m/>
    <m/>
    <m/>
    <m/>
    <m/>
    <m/>
    <m/>
    <m/>
    <m/>
    <m/>
    <m/>
    <m/>
    <n v="27252"/>
    <n v="-17412.030000000006"/>
    <m/>
    <m/>
    <m/>
    <m/>
    <n v="-34823.999999999993"/>
    <n v="0"/>
    <n v="31"/>
    <n v="-83.94038951172115"/>
    <n v="0"/>
    <n v="0"/>
    <n v="0"/>
    <n v="0"/>
    <m/>
    <m/>
    <m/>
    <n v="-83.940389511721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665.845521013842"/>
    <m/>
    <n v="0"/>
    <n v="0"/>
    <n v="-34824"/>
    <m/>
    <n v="0"/>
    <m/>
    <n v="-34744.38675472140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6"/>
    <s v="Regular"/>
    <s v="Verde"/>
    <s v="A4"/>
    <s v="Industrial"/>
    <s v="Não se aplica"/>
    <s v="Fonte incentivada"/>
    <s v="Não se aplica"/>
    <s v="Não se aplica"/>
    <s v="LIVRE"/>
    <x v="1"/>
    <n v="600"/>
    <n v="600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480.45"/>
    <n v="1"/>
    <m/>
    <m/>
    <m/>
    <m/>
    <m/>
    <m/>
    <m/>
    <m/>
    <m/>
    <n v="0"/>
    <m/>
    <m/>
    <m/>
    <m/>
    <m/>
    <m/>
    <m/>
    <m/>
    <m/>
    <m/>
    <m/>
    <m/>
    <n v="27252"/>
    <n v="-17412.030000000006"/>
    <m/>
    <m/>
    <m/>
    <m/>
    <n v="-17411.999999999996"/>
    <n v="0"/>
    <n v="31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7"/>
    <s v="Regular"/>
    <s v="Verde"/>
    <s v="A4"/>
    <s v="Industrial"/>
    <s v="Não se aplica"/>
    <s v="Fonte incentivada"/>
    <s v="Não se aplica"/>
    <s v="Ponta"/>
    <s v="LIVRE"/>
    <x v="2"/>
    <n v="0"/>
    <n v="0"/>
    <n v="0.6"/>
    <n v="0.6"/>
    <n v="0"/>
    <n v="0"/>
    <m/>
    <n v="2641.06"/>
    <m/>
    <m/>
    <n v="1584.636"/>
    <n v="1584.636"/>
    <n v="879.07199999999989"/>
    <n v="0"/>
    <n v="32.287347757417983"/>
    <n v="0"/>
    <n v="0"/>
    <n v="0"/>
    <n v="388.66019432354216"/>
    <n v="1147.2542044201439"/>
    <m/>
    <m/>
    <m/>
    <n v="0"/>
    <n v="0"/>
    <n v="0"/>
    <n v="5.7366175103995625"/>
    <m/>
    <n v="1.4435436825833698"/>
    <n v="0"/>
    <n v="0"/>
    <n v="0"/>
    <n v="0"/>
    <m/>
    <m/>
    <n v="0"/>
    <n v="0"/>
    <n v="0"/>
    <m/>
    <m/>
    <n v="0"/>
    <m/>
    <n v="0"/>
    <n v="0"/>
    <n v="0"/>
    <n v="0"/>
    <m/>
    <n v="9.25370476346232"/>
    <n v="0"/>
    <n v="0"/>
    <n v="0"/>
    <n v="0"/>
    <n v="0"/>
    <m/>
    <m/>
    <m/>
    <m/>
    <m/>
    <m/>
    <m/>
    <m/>
    <m/>
    <n v="9.25370476346232"/>
    <m/>
    <m/>
    <m/>
    <m/>
    <m/>
    <m/>
    <m/>
    <m/>
    <m/>
    <m/>
    <m/>
    <m/>
    <n v="879.07199999999989"/>
    <n v="-705.59400000000005"/>
    <m/>
    <m/>
    <m/>
    <m/>
    <n v="-705.56399999999996"/>
    <n v="0"/>
    <n v="30"/>
    <n v="-2.1287053444016806"/>
    <n v="0"/>
    <n v="0"/>
    <n v="0"/>
    <n v="0"/>
    <m/>
    <m/>
    <m/>
    <n v="-0.99889092558055381"/>
    <n v="0"/>
    <n v="0"/>
    <m/>
    <m/>
    <n v="0"/>
    <n v="0"/>
    <n v="-1.2973195850918273E-9"/>
    <n v="0"/>
    <n v="-0.93882208551468693"/>
    <m/>
    <n v="0"/>
    <n v="0"/>
    <m/>
    <n v="0"/>
    <n v="-0.14411595962844714"/>
    <n v="-4.6876372380611819E-2"/>
    <n v="0"/>
    <n v="0"/>
    <m/>
    <m/>
    <m/>
    <n v="1147.2542044201439"/>
    <n v="0"/>
    <n v="0"/>
    <n v="-705.56400000000008"/>
    <m/>
    <n v="0"/>
    <m/>
    <n v="-703.4333189217443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8"/>
    <s v="Regular"/>
    <s v="Verde"/>
    <s v="A4"/>
    <s v="Industrial"/>
    <s v="Não se aplica"/>
    <s v="Fonte incentivada"/>
    <s v="Não se aplica"/>
    <s v="Fora ponta"/>
    <s v="LIVRE"/>
    <x v="2"/>
    <n v="0"/>
    <n v="0"/>
    <n v="4.87"/>
    <n v="4.87"/>
    <n v="0"/>
    <n v="0"/>
    <m/>
    <n v="81.2"/>
    <m/>
    <m/>
    <n v="395.44400000000002"/>
    <n v="395.44400000000002"/>
    <n v="386.28839999999997"/>
    <n v="0"/>
    <n v="262.06563929770931"/>
    <n v="0"/>
    <n v="0"/>
    <n v="0"/>
    <n v="0"/>
    <n v="0"/>
    <m/>
    <m/>
    <m/>
    <n v="0"/>
    <n v="0"/>
    <n v="0"/>
    <n v="46.562212126076446"/>
    <m/>
    <n v="11.716762890301686"/>
    <n v="0"/>
    <n v="0"/>
    <n v="0"/>
    <n v="0"/>
    <m/>
    <m/>
    <n v="0"/>
    <n v="0"/>
    <n v="0"/>
    <m/>
    <m/>
    <n v="0"/>
    <m/>
    <n v="0"/>
    <n v="0"/>
    <n v="0"/>
    <n v="0"/>
    <m/>
    <n v="75.10923699676917"/>
    <n v="0"/>
    <n v="0"/>
    <n v="0"/>
    <n v="0"/>
    <n v="0"/>
    <m/>
    <m/>
    <m/>
    <m/>
    <m/>
    <m/>
    <m/>
    <m/>
    <m/>
    <n v="75.10923699676917"/>
    <m/>
    <m/>
    <m/>
    <m/>
    <m/>
    <m/>
    <m/>
    <m/>
    <m/>
    <m/>
    <m/>
    <m/>
    <n v="386.28839999999997"/>
    <n v="-9.1856000000000222"/>
    <m/>
    <m/>
    <m/>
    <m/>
    <n v="-9.1556000000000477"/>
    <n v="0"/>
    <n v="30"/>
    <n v="-9.1703270327644191"/>
    <n v="0"/>
    <n v="0"/>
    <n v="0"/>
    <n v="0"/>
    <m/>
    <m/>
    <m/>
    <n v="0"/>
    <n v="0"/>
    <n v="0"/>
    <m/>
    <m/>
    <n v="0"/>
    <n v="0"/>
    <n v="-1.0529916494306235E-8"/>
    <n v="0"/>
    <n v="-7.6201059274275167"/>
    <m/>
    <n v="0"/>
    <n v="0"/>
    <m/>
    <n v="0"/>
    <n v="-1.1697412056508938"/>
    <n v="-0.38047988915596598"/>
    <n v="0"/>
    <n v="0"/>
    <m/>
    <m/>
    <m/>
    <n v="0"/>
    <n v="0"/>
    <n v="0"/>
    <n v="-9.155600000000049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39"/>
    <s v="Regular"/>
    <s v="Verde"/>
    <s v="A4"/>
    <s v="Industrial"/>
    <s v="Não se aplica"/>
    <s v="Fonte incentivada"/>
    <s v="Não se aplica"/>
    <s v="Não se aplica"/>
    <s v="LIVRE"/>
    <x v="2"/>
    <n v="600"/>
    <n v="600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54.02"/>
    <n v="1"/>
    <m/>
    <m/>
    <m/>
    <m/>
    <m/>
    <m/>
    <m/>
    <m/>
    <m/>
    <n v="0"/>
    <m/>
    <m/>
    <m/>
    <m/>
    <m/>
    <m/>
    <m/>
    <m/>
    <m/>
    <m/>
    <m/>
    <m/>
    <n v="27252"/>
    <n v="-17412.030000000006"/>
    <m/>
    <m/>
    <m/>
    <m/>
    <n v="-17411.999999999996"/>
    <n v="0"/>
    <n v="30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0"/>
    <s v="Regular"/>
    <s v="Verde"/>
    <s v="A4"/>
    <s v="Industrial"/>
    <s v="Não se aplica"/>
    <s v="Fonte incentivada"/>
    <s v="Não se aplica"/>
    <s v="Ponta"/>
    <s v="LIVRE"/>
    <x v="3"/>
    <n v="0"/>
    <n v="0"/>
    <n v="0.54300000000000004"/>
    <n v="0.27150000000000002"/>
    <n v="0"/>
    <n v="0"/>
    <m/>
    <n v="2641.06"/>
    <m/>
    <m/>
    <n v="1434.0955800000002"/>
    <n v="1434.0955800000002"/>
    <n v="795.56016"/>
    <n v="0"/>
    <n v="29.220049720463276"/>
    <n v="0"/>
    <n v="0"/>
    <n v="0"/>
    <n v="351.7374758628057"/>
    <n v="1038.2650550002304"/>
    <m/>
    <m/>
    <m/>
    <n v="0"/>
    <n v="0"/>
    <n v="0"/>
    <n v="5.1916388469116042"/>
    <m/>
    <n v="1.3064070327379498"/>
    <n v="0"/>
    <n v="0"/>
    <n v="0"/>
    <n v="0"/>
    <m/>
    <m/>
    <n v="0"/>
    <n v="0"/>
    <n v="0"/>
    <m/>
    <m/>
    <n v="0"/>
    <m/>
    <n v="0"/>
    <n v="0"/>
    <n v="0"/>
    <n v="0"/>
    <m/>
    <n v="8.3746028109333999"/>
    <n v="0"/>
    <n v="0"/>
    <n v="0"/>
    <n v="0"/>
    <n v="0"/>
    <m/>
    <n v="397.78008"/>
    <m/>
    <m/>
    <m/>
    <m/>
    <m/>
    <m/>
    <m/>
    <n v="8.3746028109333999"/>
    <m/>
    <m/>
    <m/>
    <m/>
    <m/>
    <m/>
    <m/>
    <m/>
    <m/>
    <m/>
    <m/>
    <m/>
    <n v="395.58240000000001"/>
    <n v="-321.49539000000004"/>
    <m/>
    <m/>
    <m/>
    <m/>
    <n v="-638.53542000000004"/>
    <n v="0"/>
    <n v="31"/>
    <n v="-1.926478336683374"/>
    <n v="0"/>
    <n v="0"/>
    <n v="0"/>
    <n v="0"/>
    <m/>
    <m/>
    <m/>
    <n v="-0.90399628765038642"/>
    <n v="0"/>
    <n v="0"/>
    <m/>
    <m/>
    <n v="0"/>
    <n v="0"/>
    <n v="-1.1740741712173985E-9"/>
    <n v="0"/>
    <n v="-0.84963398739078855"/>
    <m/>
    <n v="0"/>
    <n v="0"/>
    <m/>
    <n v="0"/>
    <n v="-0.13042494346374411"/>
    <n v="-4.2423117004453559E-2"/>
    <n v="0"/>
    <n v="0"/>
    <m/>
    <m/>
    <m/>
    <n v="1038.2650550002304"/>
    <n v="0"/>
    <n v="0"/>
    <n v="-638.53542000000016"/>
    <m/>
    <n v="0"/>
    <m/>
    <n v="-636.6071536241787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1"/>
    <s v="Regular"/>
    <s v="Verde"/>
    <s v="A4"/>
    <s v="Industrial"/>
    <s v="Não se aplica"/>
    <s v="Fonte incentivada"/>
    <s v="Não se aplica"/>
    <s v="Fora ponta"/>
    <s v="LIVRE"/>
    <x v="3"/>
    <n v="0"/>
    <n v="0"/>
    <n v="7.6310000000000002"/>
    <n v="3.8155000000000001"/>
    <n v="0"/>
    <n v="0"/>
    <m/>
    <n v="81.2"/>
    <m/>
    <m/>
    <n v="619.63720000000001"/>
    <n v="619.63720000000001"/>
    <n v="605.29091999999991"/>
    <n v="0"/>
    <n v="410.64125122809435"/>
    <n v="0"/>
    <n v="0"/>
    <n v="0"/>
    <n v="0"/>
    <n v="0"/>
    <m/>
    <m/>
    <m/>
    <n v="0"/>
    <n v="0"/>
    <n v="0"/>
    <n v="72.960213703098432"/>
    <m/>
    <n v="18.359469736322826"/>
    <n v="0"/>
    <n v="0"/>
    <n v="0"/>
    <n v="0"/>
    <m/>
    <m/>
    <n v="0"/>
    <n v="0"/>
    <n v="0"/>
    <m/>
    <m/>
    <n v="0"/>
    <m/>
    <n v="0"/>
    <n v="0"/>
    <n v="0"/>
    <n v="0"/>
    <m/>
    <n v="117.69170174996827"/>
    <n v="0"/>
    <n v="0"/>
    <n v="0"/>
    <n v="0"/>
    <n v="0"/>
    <m/>
    <n v="302.64545999999996"/>
    <m/>
    <m/>
    <m/>
    <m/>
    <m/>
    <m/>
    <m/>
    <n v="117.69170174996827"/>
    <m/>
    <m/>
    <m/>
    <m/>
    <m/>
    <m/>
    <m/>
    <m/>
    <m/>
    <m/>
    <m/>
    <m/>
    <n v="303.00239999999997"/>
    <n v="-6.8462000000000103"/>
    <m/>
    <m/>
    <m/>
    <m/>
    <n v="-14.346280000000075"/>
    <n v="0"/>
    <n v="31"/>
    <n v="-14.369356383372519"/>
    <n v="0"/>
    <n v="0"/>
    <n v="0"/>
    <n v="0"/>
    <m/>
    <m/>
    <m/>
    <n v="0"/>
    <n v="0"/>
    <n v="0"/>
    <m/>
    <m/>
    <n v="0"/>
    <n v="0"/>
    <n v="-1.649974024076073E-8"/>
    <n v="0"/>
    <n v="-11.940252224270864"/>
    <m/>
    <n v="0"/>
    <n v="0"/>
    <m/>
    <n v="0"/>
    <n v="-1.8329148132077933"/>
    <n v="-0.59618932939407898"/>
    <n v="0"/>
    <n v="0"/>
    <m/>
    <m/>
    <m/>
    <n v="0"/>
    <n v="0"/>
    <n v="0"/>
    <n v="-14.34628000000009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2"/>
    <s v="Regular"/>
    <s v="Verde"/>
    <s v="A4"/>
    <s v="Industrial"/>
    <s v="Não se aplica"/>
    <s v="Fonte incentivada"/>
    <s v="Não se aplica"/>
    <s v="Não se aplica"/>
    <s v="LIVRE"/>
    <x v="3"/>
    <n v="600"/>
    <n v="317.64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9871.4"/>
    <n v="1"/>
    <m/>
    <n v="12824.791200000001"/>
    <m/>
    <m/>
    <m/>
    <m/>
    <m/>
    <m/>
    <m/>
    <n v="0"/>
    <m/>
    <m/>
    <m/>
    <m/>
    <m/>
    <m/>
    <m/>
    <m/>
    <m/>
    <m/>
    <m/>
    <m/>
    <n v="14427.2088"/>
    <n v="-9217.9427999999934"/>
    <m/>
    <m/>
    <m/>
    <m/>
    <n v="-17411.999999999996"/>
    <n v="0"/>
    <n v="31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3"/>
    <s v="Regular"/>
    <s v="Verde"/>
    <s v="A4"/>
    <s v="Industrial"/>
    <s v="Não se aplica"/>
    <s v="Fonte incentivada"/>
    <s v="Não se aplica"/>
    <s v="Ponta"/>
    <s v="LIVRE"/>
    <x v="4"/>
    <n v="0"/>
    <n v="0"/>
    <n v="0.63800000000000001"/>
    <n v="0.63800000000000001"/>
    <n v="0"/>
    <n v="0"/>
    <m/>
    <n v="2641.06"/>
    <m/>
    <m/>
    <n v="1684.9962800000001"/>
    <n v="1684.9962800000001"/>
    <n v="934.74655999999993"/>
    <n v="0"/>
    <n v="34.332213115387788"/>
    <n v="0"/>
    <n v="0"/>
    <n v="0"/>
    <n v="413.27533996403321"/>
    <n v="1219.9136373667532"/>
    <m/>
    <m/>
    <m/>
    <n v="0"/>
    <n v="0"/>
    <n v="0"/>
    <n v="6.099936619391535"/>
    <m/>
    <n v="1.5349681158136501"/>
    <n v="0"/>
    <n v="0"/>
    <n v="0"/>
    <n v="0"/>
    <m/>
    <m/>
    <n v="0"/>
    <n v="0"/>
    <n v="0"/>
    <m/>
    <m/>
    <n v="0"/>
    <m/>
    <n v="0"/>
    <n v="0"/>
    <n v="0"/>
    <n v="0"/>
    <m/>
    <n v="9.8397727318149339"/>
    <n v="0"/>
    <n v="0"/>
    <n v="0"/>
    <n v="0"/>
    <n v="0"/>
    <m/>
    <m/>
    <m/>
    <m/>
    <m/>
    <m/>
    <m/>
    <m/>
    <m/>
    <n v="9.8397727318149339"/>
    <m/>
    <m/>
    <m/>
    <m/>
    <m/>
    <m/>
    <m/>
    <m/>
    <m/>
    <m/>
    <m/>
    <m/>
    <n v="937.67679999999996"/>
    <n v="-747.34948000000009"/>
    <m/>
    <m/>
    <m/>
    <m/>
    <n v="-750.24972000000002"/>
    <n v="0"/>
    <n v="30"/>
    <n v="-2.2635233495470288"/>
    <n v="0"/>
    <n v="0"/>
    <n v="0"/>
    <n v="0"/>
    <m/>
    <m/>
    <m/>
    <n v="-1.0621540175339987"/>
    <n v="0"/>
    <n v="0"/>
    <m/>
    <m/>
    <n v="0"/>
    <n v="0"/>
    <n v="-1.3794831943414465E-9"/>
    <n v="0"/>
    <n v="-0.99828081759727638"/>
    <m/>
    <n v="0"/>
    <n v="0"/>
    <m/>
    <n v="0"/>
    <n v="-0.15324330373824857"/>
    <n v="-4.9845209298050586E-2"/>
    <n v="0"/>
    <n v="0"/>
    <m/>
    <m/>
    <m/>
    <n v="1219.9136373667532"/>
    <n v="0"/>
    <n v="0"/>
    <n v="-750.24972000000014"/>
    <m/>
    <n v="0"/>
    <m/>
    <n v="-747.984095786788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4"/>
    <s v="Regular"/>
    <s v="Verde"/>
    <s v="A4"/>
    <s v="Industrial"/>
    <s v="Não se aplica"/>
    <s v="Fonte incentivada"/>
    <s v="Não se aplica"/>
    <s v="Fora ponta"/>
    <s v="LIVRE"/>
    <x v="4"/>
    <n v="0"/>
    <n v="0"/>
    <n v="10.301"/>
    <n v="10.301"/>
    <n v="0"/>
    <n v="0"/>
    <m/>
    <n v="81.2"/>
    <m/>
    <m/>
    <n v="836.44120000000009"/>
    <n v="836.44120000000009"/>
    <n v="817.07531999999992"/>
    <n v="0"/>
    <n v="554.31994874860436"/>
    <n v="0"/>
    <n v="0"/>
    <n v="0"/>
    <n v="0"/>
    <n v="0"/>
    <m/>
    <m/>
    <m/>
    <n v="0"/>
    <n v="0"/>
    <n v="0"/>
    <n v="98.488161624376488"/>
    <m/>
    <n v="24.783239123818824"/>
    <n v="0"/>
    <n v="0"/>
    <n v="0"/>
    <n v="0"/>
    <m/>
    <m/>
    <n v="0"/>
    <n v="0"/>
    <n v="0"/>
    <m/>
    <m/>
    <n v="0"/>
    <m/>
    <n v="0"/>
    <n v="0"/>
    <n v="0"/>
    <n v="0"/>
    <m/>
    <n v="158.87068794737559"/>
    <n v="0"/>
    <n v="0"/>
    <n v="0"/>
    <n v="0"/>
    <n v="0"/>
    <m/>
    <m/>
    <m/>
    <m/>
    <m/>
    <m/>
    <m/>
    <m/>
    <m/>
    <n v="158.87068794737559"/>
    <m/>
    <m/>
    <m/>
    <m/>
    <m/>
    <m/>
    <m/>
    <m/>
    <m/>
    <m/>
    <m/>
    <m/>
    <n v="816.99599999999998"/>
    <n v="-19.475200000000086"/>
    <m/>
    <m/>
    <m/>
    <m/>
    <n v="-19.3658800000001"/>
    <n v="0"/>
    <n v="30"/>
    <n v="-19.397030547126292"/>
    <n v="0"/>
    <n v="0"/>
    <n v="0"/>
    <n v="0"/>
    <m/>
    <m/>
    <m/>
    <n v="0"/>
    <n v="0"/>
    <n v="0"/>
    <m/>
    <m/>
    <n v="0"/>
    <n v="0"/>
    <n v="-2.2272814703683252E-8"/>
    <n v="0"/>
    <n v="-16.118010504811195"/>
    <m/>
    <n v="0"/>
    <n v="0"/>
    <m/>
    <n v="0"/>
    <n v="-2.4742308335543868"/>
    <n v="-0.80478918648780606"/>
    <n v="0"/>
    <n v="0"/>
    <m/>
    <m/>
    <m/>
    <n v="0"/>
    <n v="0"/>
    <n v="0"/>
    <n v="-19.36588000000017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5"/>
    <s v="Regular"/>
    <s v="Verde"/>
    <s v="A4"/>
    <s v="Industrial"/>
    <s v="Não se aplica"/>
    <s v="Fonte incentivada"/>
    <s v="Não se aplica"/>
    <s v="Não se aplica"/>
    <s v="LIVRE"/>
    <x v="4"/>
    <n v="600"/>
    <n v="209.04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76.29"/>
    <n v="1"/>
    <m/>
    <n v="17757.403200000001"/>
    <m/>
    <m/>
    <m/>
    <m/>
    <m/>
    <m/>
    <m/>
    <n v="0"/>
    <m/>
    <m/>
    <m/>
    <m/>
    <m/>
    <m/>
    <m/>
    <m/>
    <m/>
    <m/>
    <m/>
    <m/>
    <n v="9494.5967999999993"/>
    <n v="-6066.3708000000006"/>
    <m/>
    <m/>
    <m/>
    <m/>
    <n v="-17411.999999999996"/>
    <n v="0"/>
    <n v="30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6"/>
    <s v="Regular"/>
    <s v="Verde"/>
    <s v="A4"/>
    <s v="Industrial"/>
    <s v="Não se aplica"/>
    <s v="Fonte incentivada"/>
    <s v="Não se aplica"/>
    <s v="Ponta"/>
    <s v="LIVRE"/>
    <x v="5"/>
    <n v="0"/>
    <n v="0"/>
    <n v="0.81"/>
    <n v="0.81"/>
    <n v="0"/>
    <n v="0"/>
    <m/>
    <n v="2641.06"/>
    <m/>
    <m/>
    <n v="2139.2586000000001"/>
    <n v="2139.2586000000001"/>
    <n v="1186.7472"/>
    <n v="0"/>
    <n v="43.58791947251428"/>
    <n v="0"/>
    <n v="0"/>
    <n v="0"/>
    <n v="524.69126233678196"/>
    <n v="1548.7931759671944"/>
    <m/>
    <m/>
    <m/>
    <n v="0"/>
    <n v="0"/>
    <n v="0"/>
    <n v="7.7444336390394097"/>
    <m/>
    <n v="1.9487839714875494"/>
    <n v="0"/>
    <n v="0"/>
    <n v="0"/>
    <n v="0"/>
    <m/>
    <m/>
    <n v="0"/>
    <n v="0"/>
    <n v="0"/>
    <m/>
    <m/>
    <n v="0"/>
    <m/>
    <n v="0"/>
    <n v="0"/>
    <n v="0"/>
    <n v="0"/>
    <m/>
    <n v="12.492501430674134"/>
    <n v="0"/>
    <n v="0"/>
    <n v="0"/>
    <n v="0"/>
    <n v="0"/>
    <m/>
    <m/>
    <m/>
    <m/>
    <m/>
    <m/>
    <m/>
    <m/>
    <m/>
    <n v="12.492501430674134"/>
    <m/>
    <m/>
    <m/>
    <m/>
    <m/>
    <m/>
    <m/>
    <m/>
    <m/>
    <m/>
    <m/>
    <m/>
    <n v="1186.7472"/>
    <n v="-952.54140000000075"/>
    <m/>
    <m/>
    <m/>
    <m/>
    <n v="-952.51140000000009"/>
    <n v="0"/>
    <m/>
    <n v="-2.8737522149419874"/>
    <n v="0"/>
    <n v="0"/>
    <n v="0"/>
    <n v="0"/>
    <m/>
    <m/>
    <m/>
    <n v="-1.3485027495337363"/>
    <n v="0"/>
    <n v="0"/>
    <m/>
    <m/>
    <n v="0"/>
    <n v="0"/>
    <n v="-1.7513830385951223E-9"/>
    <n v="0"/>
    <n v="-1.2674098154448217"/>
    <m/>
    <n v="0"/>
    <n v="0"/>
    <m/>
    <n v="0"/>
    <n v="-0.19455654549840329"/>
    <n v="-6.3283102713825867E-2"/>
    <n v="0"/>
    <n v="0"/>
    <m/>
    <m/>
    <m/>
    <n v="1548.7931759671944"/>
    <n v="0"/>
    <n v="0"/>
    <n v="-952.51140000000009"/>
    <m/>
    <n v="0"/>
    <m/>
    <n v="-949.634980544354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7"/>
    <s v="Regular"/>
    <s v="Verde"/>
    <s v="A4"/>
    <s v="Industrial"/>
    <s v="Não se aplica"/>
    <s v="Fonte incentivada"/>
    <s v="Não se aplica"/>
    <s v="Fora ponta"/>
    <s v="LIVRE"/>
    <x v="5"/>
    <n v="0"/>
    <n v="0"/>
    <n v="19.350999999999999"/>
    <n v="19.350999999999999"/>
    <n v="0"/>
    <n v="0"/>
    <m/>
    <n v="81.2"/>
    <m/>
    <m/>
    <n v="1571.3011999999999"/>
    <n v="1571.3011999999999"/>
    <n v="1534.9213199999997"/>
    <n v="0"/>
    <n v="1041.3207774229923"/>
    <n v="0"/>
    <n v="0"/>
    <n v="0"/>
    <n v="0"/>
    <n v="0"/>
    <m/>
    <m/>
    <m/>
    <n v="0"/>
    <n v="0"/>
    <n v="0"/>
    <n v="185.01547573956987"/>
    <m/>
    <n v="46.556689669451316"/>
    <n v="0"/>
    <n v="0"/>
    <n v="0"/>
    <n v="0"/>
    <m/>
    <m/>
    <n v="0"/>
    <n v="0"/>
    <n v="0"/>
    <m/>
    <m/>
    <n v="0"/>
    <m/>
    <n v="0"/>
    <n v="0"/>
    <n v="0"/>
    <n v="0"/>
    <m/>
    <n v="298.44740146293225"/>
    <n v="0"/>
    <n v="0"/>
    <n v="0"/>
    <n v="0"/>
    <n v="0"/>
    <m/>
    <m/>
    <m/>
    <m/>
    <m/>
    <m/>
    <m/>
    <m/>
    <m/>
    <n v="298.44740146293225"/>
    <m/>
    <m/>
    <m/>
    <m/>
    <m/>
    <m/>
    <m/>
    <m/>
    <m/>
    <m/>
    <m/>
    <m/>
    <n v="1534.8419999999999"/>
    <n v="-36.489199999999983"/>
    <m/>
    <m/>
    <m/>
    <m/>
    <n v="-36.379880000000185"/>
    <n v="0"/>
    <m/>
    <n v="-36.438398031010593"/>
    <n v="0"/>
    <n v="0"/>
    <n v="0"/>
    <n v="0"/>
    <m/>
    <m/>
    <m/>
    <n v="0"/>
    <n v="0"/>
    <n v="0"/>
    <m/>
    <m/>
    <n v="0"/>
    <n v="0"/>
    <n v="-4.1840735320874956E-8"/>
    <n v="0"/>
    <n v="-30.278576961324347"/>
    <m/>
    <n v="0"/>
    <n v="0"/>
    <m/>
    <n v="0"/>
    <n v="-4.6479798912834553"/>
    <n v="-1.5118411365620332"/>
    <n v="0"/>
    <n v="0"/>
    <m/>
    <m/>
    <m/>
    <n v="0"/>
    <n v="0"/>
    <n v="0"/>
    <n v="-36.37988000000018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8"/>
    <s v="Regular"/>
    <s v="Verde"/>
    <s v="A4"/>
    <s v="Industrial"/>
    <s v="Não se aplica"/>
    <s v="Fonte incentivada"/>
    <s v="Não se aplica"/>
    <s v="Não se aplica"/>
    <s v="LIVRE"/>
    <x v="5"/>
    <n v="600"/>
    <n v="322.5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61.23"/>
    <n v="1"/>
    <m/>
    <n v="12604.050000000001"/>
    <m/>
    <m/>
    <m/>
    <m/>
    <m/>
    <m/>
    <m/>
    <n v="0"/>
    <m/>
    <m/>
    <m/>
    <m/>
    <m/>
    <m/>
    <m/>
    <m/>
    <m/>
    <m/>
    <m/>
    <m/>
    <n v="14647.95"/>
    <n v="-9358.9799999999923"/>
    <m/>
    <m/>
    <m/>
    <m/>
    <n v="-17411.999999999996"/>
    <n v="0"/>
    <m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49"/>
    <s v="Regular"/>
    <s v="Verde"/>
    <s v="A4"/>
    <s v="Industrial"/>
    <s v="Não se aplica"/>
    <s v="Fonte incentivada"/>
    <s v="Não se aplica"/>
    <s v="Ponta"/>
    <s v="LIVRE"/>
    <x v="6"/>
    <n v="0"/>
    <n v="0"/>
    <n v="0.77"/>
    <n v="0.77"/>
    <n v="0"/>
    <n v="0"/>
    <m/>
    <n v="2641.06"/>
    <m/>
    <m/>
    <n v="2033.6161999999999"/>
    <n v="2033.6161999999999"/>
    <n v="1128.1424"/>
    <n v="0"/>
    <n v="41.435429622019747"/>
    <n v="0"/>
    <n v="0"/>
    <n v="0"/>
    <n v="498.78058271521252"/>
    <n v="1472.3095623391848"/>
    <m/>
    <m/>
    <m/>
    <n v="0"/>
    <n v="0"/>
    <n v="0"/>
    <n v="7.3619924716794385"/>
    <m/>
    <n v="1.8525477259819914"/>
    <n v="0"/>
    <n v="0"/>
    <n v="0"/>
    <n v="0"/>
    <m/>
    <m/>
    <n v="0"/>
    <n v="0"/>
    <n v="0"/>
    <m/>
    <m/>
    <n v="0"/>
    <m/>
    <n v="0"/>
    <n v="0"/>
    <n v="0"/>
    <n v="0"/>
    <m/>
    <n v="11.875587779776644"/>
    <n v="0"/>
    <n v="0"/>
    <n v="0"/>
    <n v="0"/>
    <n v="0"/>
    <m/>
    <m/>
    <m/>
    <m/>
    <m/>
    <m/>
    <m/>
    <m/>
    <m/>
    <n v="11.875587779776644"/>
    <m/>
    <m/>
    <m/>
    <m/>
    <m/>
    <m/>
    <m/>
    <m/>
    <m/>
    <m/>
    <m/>
    <m/>
    <n v="1128.1424"/>
    <n v="-905.50379999999996"/>
    <m/>
    <m/>
    <m/>
    <m/>
    <n v="-905.4738000000001"/>
    <n v="0"/>
    <n v="31"/>
    <n v="-2.7318385253154247"/>
    <n v="0"/>
    <n v="0"/>
    <n v="0"/>
    <n v="0"/>
    <m/>
    <m/>
    <m/>
    <n v="-1.2819100211617638"/>
    <n v="0"/>
    <n v="0"/>
    <m/>
    <m/>
    <n v="0"/>
    <n v="0"/>
    <n v="-1.6648940004415635E-9"/>
    <n v="0"/>
    <n v="-1.2048216764105106"/>
    <m/>
    <n v="0"/>
    <n v="0"/>
    <m/>
    <n v="0"/>
    <n v="-0.18494881485650705"/>
    <n v="-6.015801122178499E-2"/>
    <n v="0"/>
    <n v="0"/>
    <m/>
    <m/>
    <m/>
    <n v="1472.3095623391848"/>
    <n v="0"/>
    <n v="0"/>
    <n v="-905.47379999999998"/>
    <m/>
    <n v="0"/>
    <m/>
    <n v="-902.739425949572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0"/>
    <s v="Regular"/>
    <s v="Verde"/>
    <s v="A4"/>
    <s v="Industrial"/>
    <s v="Não se aplica"/>
    <s v="Fonte incentivada"/>
    <s v="Não se aplica"/>
    <s v="Fora ponta"/>
    <s v="LIVRE"/>
    <x v="6"/>
    <n v="0"/>
    <n v="0"/>
    <n v="9.2880000000000003"/>
    <n v="9.2880000000000003"/>
    <n v="0"/>
    <n v="0"/>
    <m/>
    <n v="81.2"/>
    <m/>
    <m/>
    <n v="754.18560000000002"/>
    <n v="754.18560000000002"/>
    <n v="736.72415999999998"/>
    <n v="0"/>
    <n v="499.80814328483035"/>
    <n v="0"/>
    <n v="0"/>
    <n v="0"/>
    <n v="0"/>
    <n v="0"/>
    <m/>
    <m/>
    <m/>
    <n v="0"/>
    <n v="0"/>
    <n v="0"/>
    <n v="88.802839060985221"/>
    <m/>
    <n v="22.346056206390568"/>
    <n v="0"/>
    <n v="0"/>
    <n v="0"/>
    <n v="0"/>
    <m/>
    <m/>
    <n v="0"/>
    <n v="0"/>
    <n v="0"/>
    <m/>
    <m/>
    <n v="0"/>
    <m/>
    <n v="0"/>
    <n v="0"/>
    <n v="0"/>
    <n v="0"/>
    <m/>
    <n v="143.24734973839671"/>
    <n v="0"/>
    <n v="0"/>
    <n v="0"/>
    <n v="0"/>
    <n v="0"/>
    <m/>
    <m/>
    <m/>
    <m/>
    <m/>
    <m/>
    <m/>
    <m/>
    <m/>
    <n v="143.24734973839671"/>
    <m/>
    <m/>
    <m/>
    <m/>
    <m/>
    <m/>
    <m/>
    <m/>
    <m/>
    <m/>
    <m/>
    <m/>
    <n v="736.88279999999986"/>
    <n v="-17.332800000000134"/>
    <m/>
    <m/>
    <m/>
    <m/>
    <n v="-17.461440000000092"/>
    <n v="0"/>
    <n v="31"/>
    <n v="-17.489527203350008"/>
    <n v="0"/>
    <n v="0"/>
    <n v="0"/>
    <n v="0"/>
    <m/>
    <m/>
    <m/>
    <n v="0"/>
    <n v="0"/>
    <n v="0"/>
    <m/>
    <m/>
    <n v="0"/>
    <n v="0"/>
    <n v="-2.0082495666429168E-8"/>
    <n v="0"/>
    <n v="-14.532965883767247"/>
    <m/>
    <n v="0"/>
    <n v="0"/>
    <m/>
    <n v="0"/>
    <n v="-2.2309150550483565"/>
    <n v="-0.7256462444518732"/>
    <n v="0"/>
    <n v="0"/>
    <m/>
    <m/>
    <m/>
    <n v="0"/>
    <n v="0"/>
    <n v="0"/>
    <n v="-17.46144000000003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1"/>
    <s v="Regular"/>
    <s v="Verde"/>
    <s v="A4"/>
    <s v="Industrial"/>
    <s v="Não se aplica"/>
    <s v="Fonte incentivada"/>
    <s v="Não se aplica"/>
    <s v="Não se aplica"/>
    <s v="LIVRE"/>
    <x v="6"/>
    <n v="600"/>
    <n v="600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66.4899999999998"/>
    <n v="1"/>
    <m/>
    <m/>
    <m/>
    <m/>
    <m/>
    <m/>
    <m/>
    <m/>
    <m/>
    <n v="0"/>
    <m/>
    <m/>
    <m/>
    <m/>
    <m/>
    <m/>
    <m/>
    <m/>
    <m/>
    <m/>
    <m/>
    <m/>
    <n v="27252"/>
    <n v="-17412.030000000006"/>
    <m/>
    <m/>
    <m/>
    <m/>
    <n v="-17411.999999999996"/>
    <n v="0"/>
    <n v="31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2"/>
    <s v="Regular"/>
    <s v="Verde"/>
    <s v="A4"/>
    <s v="Industrial"/>
    <s v="Não se aplica"/>
    <s v="Fonte incentivada"/>
    <s v="Não se aplica"/>
    <s v="Fora ponta"/>
    <s v="LIVRE"/>
    <x v="7"/>
    <n v="0"/>
    <n v="0"/>
    <n v="6.9539999999999997"/>
    <n v="6.9539999999999997"/>
    <n v="0"/>
    <n v="0"/>
    <m/>
    <n v="81.2"/>
    <m/>
    <m/>
    <n v="564.66480000000001"/>
    <n v="564.66480000000001"/>
    <n v="551.59127999999998"/>
    <n v="0"/>
    <n v="374.21036050847437"/>
    <n v="0"/>
    <n v="0"/>
    <n v="0"/>
    <n v="0"/>
    <n v="0"/>
    <m/>
    <m/>
    <m/>
    <n v="0"/>
    <n v="0"/>
    <n v="0"/>
    <n v="66.487396945530918"/>
    <m/>
    <n v="16.730671281141255"/>
    <n v="0"/>
    <n v="0"/>
    <n v="0"/>
    <n v="0"/>
    <m/>
    <m/>
    <n v="0"/>
    <n v="0"/>
    <n v="0"/>
    <m/>
    <m/>
    <n v="0"/>
    <m/>
    <n v="0"/>
    <n v="0"/>
    <n v="0"/>
    <n v="0"/>
    <m/>
    <n v="107.25043820852828"/>
    <n v="0"/>
    <n v="0"/>
    <n v="0"/>
    <n v="0"/>
    <n v="0"/>
    <m/>
    <m/>
    <m/>
    <m/>
    <m/>
    <m/>
    <m/>
    <m/>
    <m/>
    <n v="107.25043820852828"/>
    <m/>
    <m/>
    <m/>
    <m/>
    <m/>
    <m/>
    <m/>
    <m/>
    <m/>
    <m/>
    <m/>
    <m/>
    <n v="551.274"/>
    <n v="-13.420799999999986"/>
    <m/>
    <m/>
    <m/>
    <m/>
    <n v="-13.073520000000066"/>
    <n v="0"/>
    <n v="29"/>
    <n v="-13.094549114136043"/>
    <n v="0"/>
    <n v="0"/>
    <n v="0"/>
    <n v="0"/>
    <m/>
    <m/>
    <m/>
    <n v="0"/>
    <n v="0"/>
    <n v="0"/>
    <m/>
    <m/>
    <n v="0"/>
    <n v="0"/>
    <n v="-1.5035922729111917E-8"/>
    <n v="0"/>
    <n v="-10.88094797111512"/>
    <m/>
    <n v="0"/>
    <n v="0"/>
    <m/>
    <n v="0"/>
    <n v="-1.6703039720936914"/>
    <n v="-0.54329715589128824"/>
    <n v="0"/>
    <n v="0"/>
    <m/>
    <m/>
    <m/>
    <n v="0"/>
    <n v="0"/>
    <n v="0"/>
    <n v="-13.0735200000000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3"/>
    <s v="Regular"/>
    <s v="Verde"/>
    <s v="A4"/>
    <s v="Industrial"/>
    <s v="Não se aplica"/>
    <s v="Fonte incentivada"/>
    <s v="Não se aplica"/>
    <s v="Não se aplica"/>
    <s v="LIVRE"/>
    <x v="7"/>
    <n v="600"/>
    <n v="219.78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18.9"/>
    <n v="1"/>
    <m/>
    <n v="17269.592400000001"/>
    <m/>
    <m/>
    <m/>
    <m/>
    <m/>
    <m/>
    <m/>
    <n v="0"/>
    <m/>
    <m/>
    <m/>
    <m/>
    <m/>
    <m/>
    <m/>
    <m/>
    <m/>
    <m/>
    <m/>
    <m/>
    <n v="9982.4076000000005"/>
    <n v="-6378.0455999999995"/>
    <m/>
    <m/>
    <m/>
    <m/>
    <n v="-17411.999999999996"/>
    <n v="0"/>
    <n v="29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4"/>
    <s v="Regular"/>
    <s v="Verde"/>
    <s v="A4"/>
    <s v="Industrial"/>
    <s v="Não se aplica"/>
    <s v="Fonte incentivada"/>
    <s v="Não se aplica"/>
    <s v="Ponta"/>
    <s v="LIVRE"/>
    <x v="7"/>
    <n v="0"/>
    <n v="0"/>
    <n v="0.77700000000000002"/>
    <n v="0.77700000000000002"/>
    <n v="0"/>
    <n v="0"/>
    <m/>
    <n v="2641.06"/>
    <m/>
    <m/>
    <n v="2052.1036199999999"/>
    <n v="2052.1036199999999"/>
    <n v="1138.39824"/>
    <n v="0"/>
    <n v="41.812115345856284"/>
    <n v="0"/>
    <n v="0"/>
    <n v="0"/>
    <n v="503.31495164898718"/>
    <n v="1485.6941947240864"/>
    <m/>
    <m/>
    <m/>
    <n v="0"/>
    <n v="0"/>
    <n v="0"/>
    <n v="7.4289196759674336"/>
    <m/>
    <n v="1.8693890689454642"/>
    <n v="0"/>
    <n v="0"/>
    <n v="0"/>
    <n v="0"/>
    <m/>
    <m/>
    <n v="0"/>
    <n v="0"/>
    <n v="0"/>
    <m/>
    <m/>
    <n v="0"/>
    <m/>
    <n v="0"/>
    <n v="0"/>
    <n v="0"/>
    <n v="0"/>
    <m/>
    <n v="11.983547668683705"/>
    <n v="0"/>
    <n v="0"/>
    <n v="0"/>
    <n v="0"/>
    <n v="0"/>
    <m/>
    <m/>
    <m/>
    <m/>
    <m/>
    <m/>
    <m/>
    <m/>
    <m/>
    <n v="11.983547668683705"/>
    <m/>
    <m/>
    <m/>
    <m/>
    <m/>
    <m/>
    <m/>
    <m/>
    <m/>
    <m/>
    <m/>
    <m/>
    <n v="1142.7936"/>
    <n v="-909.34002000000055"/>
    <m/>
    <m/>
    <m/>
    <m/>
    <n v="-913.7053800000001"/>
    <n v="0"/>
    <n v="29"/>
    <n v="-2.7566734210000732"/>
    <n v="0"/>
    <n v="0"/>
    <n v="0"/>
    <n v="0"/>
    <m/>
    <m/>
    <m/>
    <n v="-1.2935637486268661"/>
    <n v="0"/>
    <n v="0"/>
    <m/>
    <m/>
    <n v="0"/>
    <n v="0"/>
    <n v="-1.6800303370700931E-9"/>
    <n v="0"/>
    <n v="-1.2157746007415113"/>
    <m/>
    <n v="0"/>
    <n v="0"/>
    <m/>
    <n v="0"/>
    <n v="-0.18663016771883889"/>
    <n v="-6.0704902232892488E-2"/>
    <n v="0"/>
    <n v="0"/>
    <m/>
    <m/>
    <m/>
    <n v="1485.6941947240864"/>
    <n v="0"/>
    <n v="0"/>
    <n v="-913.70537999999988"/>
    <m/>
    <n v="0"/>
    <m/>
    <n v="-910.94614800365889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5"/>
    <s v="Regular"/>
    <s v="Verde"/>
    <s v="A4"/>
    <s v="Industrial"/>
    <s v="Não se aplica"/>
    <s v="Fonte incentivada"/>
    <s v="Não se aplica"/>
    <s v="Ponta"/>
    <s v="LIVRE"/>
    <x v="8"/>
    <n v="0"/>
    <n v="0"/>
    <n v="1.5289999999999999"/>
    <n v="1.5289999999999999"/>
    <n v="0"/>
    <n v="0"/>
    <m/>
    <n v="2641.06"/>
    <m/>
    <m/>
    <n v="4038.1807399999998"/>
    <n v="4038.1807399999998"/>
    <n v="2240.1684799999998"/>
    <n v="0"/>
    <n v="82.278924535153479"/>
    <n v="0"/>
    <n v="0"/>
    <n v="0"/>
    <n v="990.43572853449325"/>
    <n v="2923.5861309306665"/>
    <m/>
    <m/>
    <m/>
    <n v="0"/>
    <n v="0"/>
    <n v="0"/>
    <n v="14.618813622334883"/>
    <m/>
    <n v="3.678630484449954"/>
    <n v="0"/>
    <n v="0"/>
    <n v="0"/>
    <n v="0"/>
    <m/>
    <m/>
    <n v="0"/>
    <n v="0"/>
    <n v="0"/>
    <m/>
    <m/>
    <n v="0"/>
    <m/>
    <n v="0"/>
    <n v="0"/>
    <n v="0"/>
    <n v="0"/>
    <m/>
    <n v="23.581524305556478"/>
    <n v="0"/>
    <n v="0"/>
    <n v="0"/>
    <n v="0"/>
    <n v="0"/>
    <m/>
    <m/>
    <m/>
    <m/>
    <m/>
    <m/>
    <m/>
    <m/>
    <m/>
    <n v="23.581524305556478"/>
    <m/>
    <m/>
    <m/>
    <m/>
    <m/>
    <m/>
    <m/>
    <m/>
    <m/>
    <m/>
    <m/>
    <m/>
    <n v="2241.6335999999997"/>
    <n v="-1796.5771400000008"/>
    <m/>
    <m/>
    <m/>
    <m/>
    <n v="-1798.01226"/>
    <n v="0"/>
    <n v="31"/>
    <n v="-5.4246507859832036"/>
    <n v="0"/>
    <n v="0"/>
    <n v="0"/>
    <n v="0"/>
    <m/>
    <m/>
    <m/>
    <n v="-2.5455070420210859"/>
    <n v="0"/>
    <n v="0"/>
    <m/>
    <m/>
    <n v="0"/>
    <n v="0"/>
    <n v="-3.3060025828035577E-9"/>
    <n v="0"/>
    <n v="-2.3924316145865703"/>
    <m/>
    <n v="0"/>
    <n v="0"/>
    <m/>
    <n v="0"/>
    <n v="-0.36725550378649174"/>
    <n v="-0.11945662228325871"/>
    <n v="0"/>
    <n v="0"/>
    <m/>
    <m/>
    <m/>
    <n v="2923.5861309306665"/>
    <n v="0"/>
    <n v="0"/>
    <n v="-1798.01226"/>
    <m/>
    <n v="0"/>
    <m/>
    <n v="-1792.5825743855783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6"/>
    <s v="Regular"/>
    <s v="Verde"/>
    <s v="A4"/>
    <s v="Industrial"/>
    <s v="Não se aplica"/>
    <s v="Fonte incentivada"/>
    <s v="Não se aplica"/>
    <s v="Fora ponta"/>
    <s v="LIVRE"/>
    <x v="8"/>
    <n v="0"/>
    <n v="0"/>
    <n v="10.055"/>
    <n v="10.055"/>
    <n v="0"/>
    <n v="0"/>
    <m/>
    <n v="81.2"/>
    <m/>
    <m/>
    <n v="816.46600000000001"/>
    <n v="816.46600000000001"/>
    <n v="797.56259999999986"/>
    <n v="0"/>
    <n v="541.08213616806302"/>
    <n v="0"/>
    <n v="0"/>
    <n v="0"/>
    <n v="0"/>
    <n v="0"/>
    <m/>
    <m/>
    <m/>
    <n v="0"/>
    <n v="0"/>
    <n v="0"/>
    <n v="96.136148445112667"/>
    <m/>
    <n v="24.191386213959639"/>
    <n v="0"/>
    <n v="0"/>
    <n v="0"/>
    <n v="0"/>
    <m/>
    <m/>
    <n v="0"/>
    <n v="0"/>
    <n v="0"/>
    <m/>
    <m/>
    <n v="0"/>
    <m/>
    <n v="0"/>
    <n v="0"/>
    <n v="0"/>
    <n v="0"/>
    <m/>
    <n v="155.07666899435606"/>
    <n v="0"/>
    <n v="0"/>
    <n v="0"/>
    <n v="0"/>
    <n v="0"/>
    <m/>
    <m/>
    <m/>
    <m/>
    <m/>
    <m/>
    <m/>
    <m/>
    <m/>
    <n v="155.07666899435606"/>
    <m/>
    <m/>
    <m/>
    <m/>
    <m/>
    <m/>
    <m/>
    <m/>
    <m/>
    <m/>
    <m/>
    <m/>
    <n v="797.95920000000001"/>
    <n v="-18.536799999999971"/>
    <m/>
    <m/>
    <m/>
    <m/>
    <n v="-18.903400000000097"/>
    <n v="0"/>
    <n v="31"/>
    <n v="-18.93380663540961"/>
    <n v="0"/>
    <n v="0"/>
    <n v="0"/>
    <n v="0"/>
    <m/>
    <m/>
    <m/>
    <n v="0"/>
    <n v="0"/>
    <n v="0"/>
    <m/>
    <m/>
    <n v="0"/>
    <n v="0"/>
    <n v="-2.1740930833402672E-8"/>
    <n v="0"/>
    <n v="-15.733093449750299"/>
    <m/>
    <n v="0"/>
    <n v="0"/>
    <m/>
    <n v="0"/>
    <n v="-2.4151432901067267"/>
    <n v="-0.78556987381175247"/>
    <n v="0"/>
    <n v="0"/>
    <m/>
    <m/>
    <m/>
    <n v="0"/>
    <n v="0"/>
    <n v="0"/>
    <n v="-18.90340000000014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7"/>
    <s v="Regular"/>
    <s v="Verde"/>
    <s v="A4"/>
    <s v="Industrial"/>
    <s v="Não se aplica"/>
    <s v="Fonte incentivada"/>
    <s v="Não se aplica"/>
    <s v="Não se aplica"/>
    <s v="LIVRE"/>
    <x v="8"/>
    <n v="600"/>
    <n v="128.69999999999999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54.9"/>
    <n v="1"/>
    <m/>
    <n v="21406.446"/>
    <m/>
    <m/>
    <m/>
    <m/>
    <m/>
    <m/>
    <m/>
    <n v="0"/>
    <m/>
    <m/>
    <m/>
    <m/>
    <m/>
    <m/>
    <m/>
    <m/>
    <m/>
    <m/>
    <m/>
    <m/>
    <n v="5845.5540000000001"/>
    <n v="-3734.9039999999986"/>
    <m/>
    <m/>
    <m/>
    <m/>
    <n v="-17411.999999999996"/>
    <n v="0"/>
    <n v="31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8"/>
    <s v="Regular"/>
    <s v="Verde"/>
    <s v="A4"/>
    <s v="Industrial"/>
    <s v="Não se aplica"/>
    <s v="Fonte incentivada"/>
    <s v="Não se aplica"/>
    <s v="Ponta"/>
    <s v="LIVRE"/>
    <x v="9"/>
    <n v="0"/>
    <n v="0"/>
    <n v="4.9880000000000004"/>
    <n v="4.9880000000000004"/>
    <n v="0"/>
    <n v="0"/>
    <m/>
    <n v="2641.06"/>
    <m/>
    <m/>
    <n v="13173.60728"/>
    <n v="13173.60728"/>
    <n v="7308.0185600000004"/>
    <n v="0"/>
    <n v="268.41548435666817"/>
    <n v="0"/>
    <n v="0"/>
    <n v="0"/>
    <n v="3231.0617488097146"/>
    <n v="9537.5066194127976"/>
    <m/>
    <m/>
    <m/>
    <n v="0"/>
    <n v="0"/>
    <n v="0"/>
    <n v="47.690413569788369"/>
    <m/>
    <n v="12.000659814543083"/>
    <n v="0"/>
    <n v="0"/>
    <n v="0"/>
    <n v="0"/>
    <m/>
    <m/>
    <n v="0"/>
    <n v="0"/>
    <n v="0"/>
    <m/>
    <m/>
    <n v="0"/>
    <m/>
    <n v="0"/>
    <n v="0"/>
    <n v="0"/>
    <n v="0"/>
    <m/>
    <n v="76.929132266916767"/>
    <n v="0"/>
    <n v="0"/>
    <n v="0"/>
    <n v="0"/>
    <n v="0"/>
    <m/>
    <m/>
    <m/>
    <m/>
    <m/>
    <m/>
    <m/>
    <m/>
    <m/>
    <n v="76.929132266916767"/>
    <m/>
    <m/>
    <m/>
    <m/>
    <m/>
    <m/>
    <m/>
    <m/>
    <m/>
    <m/>
    <m/>
    <m/>
    <n v="7310.9488000000001"/>
    <n v="-5862.6884800000007"/>
    <m/>
    <m/>
    <m/>
    <m/>
    <n v="-5865.5887200000006"/>
    <n v="0"/>
    <n v="30"/>
    <n v="-17.696637096459199"/>
    <n v="0"/>
    <n v="0"/>
    <n v="0"/>
    <n v="0"/>
    <m/>
    <m/>
    <m/>
    <n v="-8.3041132279931844"/>
    <n v="0"/>
    <n v="0"/>
    <m/>
    <m/>
    <n v="0"/>
    <n v="0"/>
    <n v="-1.0785058179862972E-8"/>
    <n v="0"/>
    <n v="-7.8047409375787424"/>
    <m/>
    <n v="0"/>
    <n v="0"/>
    <m/>
    <n v="0"/>
    <n v="-1.198084011044493"/>
    <n v="-0.38969890905748628"/>
    <n v="0"/>
    <n v="0"/>
    <m/>
    <m/>
    <m/>
    <n v="9537.5066194127976"/>
    <n v="0"/>
    <n v="0"/>
    <n v="-5865.5887199999997"/>
    <m/>
    <n v="0"/>
    <m/>
    <n v="-5847.8756579694345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59"/>
    <s v="Regular"/>
    <s v="Verde"/>
    <s v="A4"/>
    <s v="Industrial"/>
    <s v="Não se aplica"/>
    <s v="Fonte incentivada"/>
    <s v="Não se aplica"/>
    <s v="Fora ponta"/>
    <s v="LIVRE"/>
    <x v="9"/>
    <n v="0"/>
    <n v="0"/>
    <n v="38.299999999999997"/>
    <n v="38.299999999999997"/>
    <n v="0"/>
    <n v="0"/>
    <m/>
    <n v="81.2"/>
    <m/>
    <m/>
    <n v="3109.96"/>
    <n v="3109.96"/>
    <n v="3037.9559999999997"/>
    <n v="0"/>
    <n v="2061.0090318485145"/>
    <n v="0"/>
    <n v="0"/>
    <n v="0"/>
    <n v="0"/>
    <n v="0"/>
    <m/>
    <m/>
    <m/>
    <n v="0"/>
    <n v="0"/>
    <n v="0"/>
    <n v="366.18741774717205"/>
    <m/>
    <n v="92.146205071571771"/>
    <n v="0"/>
    <n v="0"/>
    <n v="0"/>
    <n v="0"/>
    <m/>
    <m/>
    <n v="0"/>
    <n v="0"/>
    <n v="0"/>
    <m/>
    <m/>
    <n v="0"/>
    <m/>
    <n v="0"/>
    <n v="0"/>
    <n v="0"/>
    <n v="0"/>
    <m/>
    <n v="590.69482073434472"/>
    <n v="0"/>
    <n v="0"/>
    <n v="0"/>
    <n v="0"/>
    <n v="0"/>
    <m/>
    <m/>
    <m/>
    <m/>
    <m/>
    <m/>
    <m/>
    <m/>
    <m/>
    <n v="590.69482073434472"/>
    <m/>
    <m/>
    <m/>
    <m/>
    <m/>
    <m/>
    <m/>
    <m/>
    <m/>
    <m/>
    <m/>
    <m/>
    <n v="3037.9559999999997"/>
    <n v="-72.034000000001015"/>
    <m/>
    <m/>
    <m/>
    <m/>
    <n v="-72.00400000000036"/>
    <n v="0"/>
    <n v="30"/>
    <n v="-72.119820401411744"/>
    <n v="0"/>
    <n v="0"/>
    <n v="0"/>
    <n v="0"/>
    <m/>
    <m/>
    <m/>
    <n v="0"/>
    <n v="0"/>
    <n v="0"/>
    <m/>
    <m/>
    <n v="0"/>
    <n v="0"/>
    <n v="-8.2812221080530435E-8"/>
    <n v="0"/>
    <n v="-59.928143125354154"/>
    <m/>
    <n v="0"/>
    <n v="0"/>
    <m/>
    <n v="0"/>
    <n v="-9.1994020896158872"/>
    <n v="-2.9922751036290549"/>
    <n v="0"/>
    <n v="0"/>
    <m/>
    <m/>
    <m/>
    <n v="0"/>
    <n v="0"/>
    <n v="0"/>
    <n v="-72.0040000000003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0"/>
    <s v="Regular"/>
    <s v="Verde"/>
    <s v="A4"/>
    <s v="Industrial"/>
    <s v="Não se aplica"/>
    <s v="Fonte incentivada"/>
    <s v="Não se aplica"/>
    <s v="Não se aplica"/>
    <s v="LIVRE"/>
    <x v="9"/>
    <n v="600"/>
    <n v="146.16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49.9799999999996"/>
    <n v="1"/>
    <m/>
    <n v="20613.412800000002"/>
    <m/>
    <m/>
    <m/>
    <m/>
    <m/>
    <m/>
    <m/>
    <n v="0"/>
    <m/>
    <m/>
    <m/>
    <m/>
    <m/>
    <m/>
    <m/>
    <m/>
    <m/>
    <m/>
    <m/>
    <m/>
    <n v="6638.5871999999999"/>
    <n v="-4241.5931999999993"/>
    <m/>
    <m/>
    <m/>
    <m/>
    <n v="-17411.999999999996"/>
    <n v="0"/>
    <n v="30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1"/>
    <s v="Regular"/>
    <s v="Verde"/>
    <s v="A4"/>
    <s v="Industrial"/>
    <s v="Não se aplica"/>
    <s v="Fonte incentivada"/>
    <s v="Não se aplica"/>
    <s v="Ponta"/>
    <s v="LIVRE"/>
    <x v="10"/>
    <n v="0"/>
    <n v="0"/>
    <n v="17.71"/>
    <n v="17.71"/>
    <n v="0"/>
    <n v="0"/>
    <m/>
    <n v="2641.06"/>
    <m/>
    <m/>
    <n v="46773.172599999998"/>
    <n v="46773.172599999998"/>
    <n v="25947.2752"/>
    <n v="0"/>
    <n v="953.01488130645419"/>
    <n v="0"/>
    <n v="0"/>
    <n v="0"/>
    <n v="11471.953402449888"/>
    <n v="33863.119933801252"/>
    <m/>
    <m/>
    <m/>
    <n v="0"/>
    <n v="0"/>
    <n v="0"/>
    <n v="169.32582684862709"/>
    <m/>
    <n v="42.608597697585807"/>
    <n v="0"/>
    <n v="0"/>
    <n v="0"/>
    <n v="0"/>
    <m/>
    <m/>
    <n v="0"/>
    <n v="0"/>
    <n v="0"/>
    <m/>
    <m/>
    <n v="0"/>
    <m/>
    <n v="0"/>
    <n v="0"/>
    <n v="0"/>
    <n v="0"/>
    <m/>
    <n v="273.13851893486282"/>
    <n v="0"/>
    <n v="0"/>
    <n v="0"/>
    <n v="0"/>
    <n v="0"/>
    <m/>
    <m/>
    <m/>
    <m/>
    <m/>
    <m/>
    <m/>
    <m/>
    <m/>
    <n v="273.13851893486282"/>
    <m/>
    <m/>
    <m/>
    <m/>
    <m/>
    <m/>
    <m/>
    <m/>
    <m/>
    <m/>
    <m/>
    <m/>
    <n v="25947.2752"/>
    <n v="-20825.927400000004"/>
    <m/>
    <m/>
    <m/>
    <m/>
    <n v="-20825.897400000002"/>
    <n v="0"/>
    <n v="31"/>
    <n v="-62.832286082257269"/>
    <n v="0"/>
    <n v="0"/>
    <n v="0"/>
    <n v="0"/>
    <m/>
    <m/>
    <m/>
    <n v="-29.483930486720055"/>
    <n v="0"/>
    <n v="0"/>
    <m/>
    <m/>
    <n v="0"/>
    <n v="0"/>
    <n v="-3.8292569115583319E-8"/>
    <n v="0"/>
    <n v="-27.710898557441737"/>
    <m/>
    <n v="0"/>
    <n v="0"/>
    <m/>
    <n v="0"/>
    <n v="-4.2538227416996506"/>
    <n v="-1.3836342581010612"/>
    <n v="0"/>
    <n v="0"/>
    <m/>
    <m/>
    <m/>
    <n v="33863.119933801252"/>
    <n v="0"/>
    <n v="0"/>
    <n v="-20825.897399999998"/>
    <m/>
    <n v="0"/>
    <m/>
    <n v="-20763.006796840156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2"/>
    <s v="Regular"/>
    <s v="Verde"/>
    <s v="A4"/>
    <s v="Industrial"/>
    <s v="Não se aplica"/>
    <s v="Fonte incentivada"/>
    <s v="Não se aplica"/>
    <s v="Fora ponta"/>
    <s v="LIVRE"/>
    <x v="10"/>
    <n v="0"/>
    <n v="0"/>
    <n v="115.378"/>
    <n v="115.378"/>
    <n v="0"/>
    <n v="0"/>
    <m/>
    <n v="81.2"/>
    <m/>
    <m/>
    <n v="9368.6936000000005"/>
    <n v="9368.6936000000005"/>
    <n v="9151.7829599999986"/>
    <n v="0"/>
    <n v="6208.7493492589529"/>
    <n v="0"/>
    <n v="0"/>
    <n v="0"/>
    <n v="0"/>
    <n v="0"/>
    <m/>
    <m/>
    <m/>
    <n v="0"/>
    <n v="0"/>
    <n v="0"/>
    <n v="1103.1324251914677"/>
    <m/>
    <n v="277.58863834850678"/>
    <n v="0"/>
    <n v="0"/>
    <n v="0"/>
    <n v="0"/>
    <m/>
    <m/>
    <n v="0"/>
    <n v="0"/>
    <n v="0"/>
    <m/>
    <m/>
    <n v="0"/>
    <m/>
    <n v="0"/>
    <n v="0"/>
    <n v="0"/>
    <n v="0"/>
    <m/>
    <n v="1779.4565803312591"/>
    <n v="0"/>
    <n v="0"/>
    <n v="0"/>
    <n v="0"/>
    <n v="0"/>
    <m/>
    <m/>
    <m/>
    <m/>
    <m/>
    <m/>
    <m/>
    <m/>
    <m/>
    <n v="1779.4565803312591"/>
    <m/>
    <m/>
    <m/>
    <m/>
    <m/>
    <m/>
    <m/>
    <m/>
    <m/>
    <m/>
    <m/>
    <m/>
    <n v="9151.9415999999983"/>
    <n v="-216.78200000000288"/>
    <m/>
    <m/>
    <m/>
    <m/>
    <n v="-216.91064000000111"/>
    <n v="0"/>
    <n v="31"/>
    <n v="-217.25954669122439"/>
    <n v="0"/>
    <n v="0"/>
    <n v="0"/>
    <n v="0"/>
    <m/>
    <m/>
    <m/>
    <n v="0"/>
    <n v="0"/>
    <n v="0"/>
    <m/>
    <m/>
    <n v="0"/>
    <n v="0"/>
    <n v="-2.4947007659648079E-7"/>
    <n v="0"/>
    <n v="-180.53235763752127"/>
    <m/>
    <n v="0"/>
    <n v="0"/>
    <m/>
    <n v="0"/>
    <n v="-27.713018650018057"/>
    <n v="-9.0141701542170836"/>
    <n v="0"/>
    <n v="0"/>
    <m/>
    <m/>
    <m/>
    <n v="0"/>
    <n v="0"/>
    <n v="0"/>
    <n v="-216.910640000001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3"/>
    <s v="Regular"/>
    <s v="Verde"/>
    <s v="A4"/>
    <s v="Industrial"/>
    <s v="Não se aplica"/>
    <s v="Fonte incentivada"/>
    <s v="Não se aplica"/>
    <s v="Não se aplica"/>
    <s v="LIVRE"/>
    <x v="10"/>
    <n v="600"/>
    <n v="25.38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077.8"/>
    <n v="1"/>
    <m/>
    <n v="26099.240400000002"/>
    <m/>
    <m/>
    <m/>
    <m/>
    <m/>
    <m/>
    <m/>
    <n v="0"/>
    <m/>
    <m/>
    <m/>
    <m/>
    <m/>
    <m/>
    <m/>
    <m/>
    <m/>
    <m/>
    <m/>
    <m/>
    <n v="1152.7596000000001"/>
    <n v="-736.55759999999964"/>
    <m/>
    <m/>
    <m/>
    <m/>
    <n v="-17411.999999999996"/>
    <n v="0"/>
    <n v="31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4"/>
    <s v="Regular"/>
    <s v="Verde"/>
    <s v="A4"/>
    <s v="Industrial"/>
    <s v="Não se aplica"/>
    <s v="Fonte incentivada"/>
    <s v="Não se aplica"/>
    <s v="Ponta"/>
    <s v="LIVRE"/>
    <x v="11"/>
    <n v="0"/>
    <n v="0"/>
    <n v="2.4889999999999999"/>
    <n v="2.4889999999999999"/>
    <n v="0"/>
    <n v="0"/>
    <m/>
    <n v="2641.06"/>
    <m/>
    <m/>
    <n v="6573.5983399999996"/>
    <n v="6573.5983399999996"/>
    <n v="3646.6836799999996"/>
    <n v="0"/>
    <n v="133.93868094702225"/>
    <n v="0"/>
    <n v="0"/>
    <n v="0"/>
    <n v="1612.2920394521607"/>
    <n v="4759.1928580028971"/>
    <m/>
    <m/>
    <m/>
    <n v="0"/>
    <n v="0"/>
    <n v="0"/>
    <n v="23.797401638974183"/>
    <m/>
    <n v="5.9883003765833456"/>
    <n v="0"/>
    <n v="0"/>
    <n v="0"/>
    <n v="0"/>
    <m/>
    <m/>
    <n v="0"/>
    <n v="0"/>
    <n v="0"/>
    <m/>
    <m/>
    <n v="0"/>
    <m/>
    <n v="0"/>
    <n v="0"/>
    <n v="0"/>
    <n v="0"/>
    <m/>
    <n v="38.387451927096187"/>
    <n v="0"/>
    <n v="0"/>
    <n v="0"/>
    <n v="0"/>
    <n v="0"/>
    <m/>
    <m/>
    <m/>
    <m/>
    <m/>
    <m/>
    <m/>
    <m/>
    <m/>
    <n v="38.387451927096187"/>
    <m/>
    <m/>
    <m/>
    <m/>
    <m/>
    <m/>
    <m/>
    <m/>
    <m/>
    <m/>
    <m/>
    <m/>
    <n v="3648.1487999999999"/>
    <n v="-2925.4795400000003"/>
    <m/>
    <m/>
    <m/>
    <m/>
    <n v="-2926.9146599999999"/>
    <n v="0"/>
    <n v="30"/>
    <n v="-8.830579337025938"/>
    <n v="0"/>
    <n v="0"/>
    <n v="0"/>
    <n v="0"/>
    <m/>
    <m/>
    <m/>
    <n v="-4.1437325229499038"/>
    <n v="0"/>
    <n v="0"/>
    <m/>
    <m/>
    <n v="0"/>
    <n v="0"/>
    <n v="-5.3817146294932172E-9"/>
    <n v="0"/>
    <n v="-3.8945469514100637"/>
    <m/>
    <n v="0"/>
    <n v="0"/>
    <m/>
    <n v="0"/>
    <n v="-0.59784103919200504"/>
    <n v="-0.19445881809223753"/>
    <n v="0"/>
    <n v="0"/>
    <m/>
    <m/>
    <m/>
    <n v="4759.1928580028971"/>
    <n v="0"/>
    <n v="0"/>
    <n v="-2926.9146599999999"/>
    <m/>
    <n v="0"/>
    <m/>
    <n v="-2918.0758846603694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5"/>
    <s v="Regular"/>
    <s v="Verde"/>
    <s v="A4"/>
    <s v="Industrial"/>
    <s v="Não se aplica"/>
    <s v="Fonte incentivada"/>
    <s v="Não se aplica"/>
    <s v="Fora ponta"/>
    <s v="LIVRE"/>
    <x v="11"/>
    <n v="0"/>
    <n v="0"/>
    <n v="43.594999999999999"/>
    <n v="43.594999999999999"/>
    <n v="0"/>
    <n v="0"/>
    <m/>
    <n v="81.2"/>
    <m/>
    <m/>
    <n v="3539.9140000000002"/>
    <n v="3539.9140000000002"/>
    <n v="3457.9553999999998"/>
    <n v="0"/>
    <n v="2345.9448758077283"/>
    <n v="0"/>
    <n v="0"/>
    <n v="0"/>
    <n v="0"/>
    <n v="0"/>
    <m/>
    <m/>
    <m/>
    <n v="0"/>
    <n v="0"/>
    <n v="0"/>
    <n v="416.81306727644818"/>
    <m/>
    <n v="104.88547807037001"/>
    <n v="0"/>
    <n v="0"/>
    <n v="0"/>
    <n v="0"/>
    <m/>
    <m/>
    <n v="0"/>
    <n v="0"/>
    <n v="0"/>
    <m/>
    <m/>
    <n v="0"/>
    <m/>
    <n v="0"/>
    <n v="0"/>
    <n v="0"/>
    <n v="0"/>
    <m/>
    <n v="672.35876527189976"/>
    <n v="0"/>
    <n v="0"/>
    <n v="0"/>
    <n v="0"/>
    <n v="0"/>
    <m/>
    <m/>
    <m/>
    <m/>
    <m/>
    <m/>
    <m/>
    <m/>
    <m/>
    <n v="672.35876527189976"/>
    <m/>
    <m/>
    <m/>
    <m/>
    <m/>
    <m/>
    <m/>
    <m/>
    <m/>
    <m/>
    <m/>
    <m/>
    <n v="3458.3519999999999"/>
    <n v="-81.592000000001008"/>
    <m/>
    <m/>
    <m/>
    <m/>
    <n v="-81.958600000000416"/>
    <n v="0"/>
    <n v="30"/>
    <n v="-82.090432647506987"/>
    <n v="0"/>
    <n v="0"/>
    <n v="0"/>
    <n v="0"/>
    <m/>
    <m/>
    <m/>
    <n v="0"/>
    <n v="0"/>
    <n v="0"/>
    <m/>
    <m/>
    <n v="0"/>
    <n v="0"/>
    <n v="-9.4261167760123499E-8"/>
    <n v="0"/>
    <n v="-68.213248030021077"/>
    <m/>
    <n v="0"/>
    <n v="0"/>
    <m/>
    <n v="0"/>
    <n v="-10.471225433336883"/>
    <n v="-3.4059590898879435"/>
    <n v="0"/>
    <n v="0"/>
    <m/>
    <m/>
    <m/>
    <n v="0"/>
    <n v="0"/>
    <n v="0"/>
    <n v="-81.9586000000003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  <r>
    <n v="666"/>
    <s v="Regular"/>
    <s v="Verde"/>
    <s v="A4"/>
    <s v="Industrial"/>
    <s v="Não se aplica"/>
    <s v="Fonte incentivada"/>
    <s v="Não se aplica"/>
    <s v="Não se aplica"/>
    <s v="LIVRE"/>
    <x v="11"/>
    <n v="600"/>
    <n v="206.7"/>
    <n v="0"/>
    <n v="0"/>
    <n v="0"/>
    <n v="0"/>
    <n v="74.44"/>
    <m/>
    <m/>
    <n v="44664"/>
    <m/>
    <n v="44664"/>
    <n v="27252"/>
    <n v="0"/>
    <n v="0"/>
    <n v="0"/>
    <n v="0"/>
    <n v="0"/>
    <n v="16330.25551827108"/>
    <n v="28332.922760506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59.64"/>
    <n v="1"/>
    <m/>
    <n v="17863.686000000002"/>
    <m/>
    <m/>
    <m/>
    <m/>
    <m/>
    <m/>
    <m/>
    <n v="0"/>
    <m/>
    <m/>
    <m/>
    <m/>
    <m/>
    <m/>
    <m/>
    <m/>
    <m/>
    <m/>
    <m/>
    <m/>
    <n v="9388.3140000000003"/>
    <n v="-5998.4639999999999"/>
    <m/>
    <m/>
    <m/>
    <m/>
    <n v="-17411.999999999996"/>
    <n v="0"/>
    <n v="30"/>
    <n v="-41.970194755860575"/>
    <n v="0"/>
    <n v="0"/>
    <n v="0"/>
    <n v="0"/>
    <m/>
    <m/>
    <m/>
    <n v="-41.9701947558605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32.922760506921"/>
    <m/>
    <n v="0"/>
    <n v="0"/>
    <n v="-17412"/>
    <m/>
    <n v="0"/>
    <m/>
    <n v="-17372.193377360702"/>
    <m/>
    <n v="0"/>
    <n v="0"/>
    <m/>
    <n v="0"/>
    <n v="0"/>
    <n v="0"/>
    <n v="0"/>
    <n v="0"/>
    <m/>
    <m/>
    <n v="0"/>
    <n v="0"/>
    <m/>
    <n v="0"/>
    <m/>
    <n v="0"/>
    <m/>
    <n v="265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eletro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>
    <filterColumn colId="0">
      <filters>
        <filter val="Celetro"/>
      </filters>
    </filterColumn>
  </autoFilter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57" totalsRowShown="0" headerRowDxfId="383" dataDxfId="382" totalsRowDxfId="381">
  <autoFilter ref="A2:FI657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5" totalsRowShown="0">
  <autoFilter ref="A1:Q275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2174</v>
      </c>
    </row>
    <row r="2" spans="1:15">
      <c r="A2">
        <v>252</v>
      </c>
      <c r="B2" s="1009">
        <v>43922</v>
      </c>
      <c r="C2" s="234"/>
      <c r="D2" s="234"/>
      <c r="E2" s="234"/>
      <c r="F2" s="234"/>
      <c r="G2" s="234"/>
      <c r="H2" s="234"/>
      <c r="I2" s="1010"/>
    </row>
    <row r="3" spans="1:15">
      <c r="A3">
        <v>255</v>
      </c>
      <c r="B3" s="1009">
        <v>43922</v>
      </c>
      <c r="C3" s="234"/>
      <c r="D3" s="234"/>
      <c r="E3" s="234"/>
      <c r="F3" s="234"/>
      <c r="G3" s="234"/>
      <c r="H3" s="234"/>
      <c r="I3" s="1010"/>
    </row>
    <row r="4" spans="1:15">
      <c r="A4">
        <v>206</v>
      </c>
      <c r="B4" s="1009">
        <v>43922</v>
      </c>
      <c r="C4" s="234"/>
      <c r="D4" s="234"/>
      <c r="E4" s="234"/>
      <c r="F4" s="234"/>
      <c r="G4" s="234"/>
      <c r="H4" s="234"/>
      <c r="I4" s="1010"/>
    </row>
    <row r="5" spans="1:15">
      <c r="A5">
        <v>256</v>
      </c>
      <c r="B5" s="1009">
        <v>43922</v>
      </c>
      <c r="C5" s="234"/>
      <c r="D5" s="234"/>
      <c r="E5" s="234"/>
      <c r="F5" s="234"/>
      <c r="G5" s="234"/>
      <c r="H5" s="234"/>
      <c r="I5" s="1010"/>
      <c r="J5" s="234">
        <v>4154376.2782662762</v>
      </c>
    </row>
    <row r="6" spans="1:15">
      <c r="A6">
        <v>203</v>
      </c>
      <c r="B6" s="1009">
        <v>43952</v>
      </c>
      <c r="C6" s="234"/>
      <c r="D6" s="234"/>
      <c r="E6" s="234"/>
      <c r="F6" s="234"/>
      <c r="G6" s="234"/>
      <c r="H6" s="234"/>
      <c r="I6" s="1010"/>
      <c r="J6" s="234"/>
    </row>
    <row r="7" spans="1:15">
      <c r="A7">
        <v>211</v>
      </c>
      <c r="B7" s="1009">
        <v>43952</v>
      </c>
      <c r="C7" s="234"/>
      <c r="D7" s="234"/>
      <c r="E7" s="234"/>
      <c r="F7" s="234"/>
      <c r="G7" s="234"/>
      <c r="H7" s="234"/>
      <c r="I7" s="1010"/>
      <c r="J7" s="234">
        <v>18046086.986190885</v>
      </c>
      <c r="N7" s="234"/>
      <c r="O7" s="1010"/>
    </row>
    <row r="8" spans="1:15">
      <c r="A8">
        <v>254</v>
      </c>
      <c r="B8" s="1009">
        <v>43952</v>
      </c>
      <c r="C8" s="234"/>
      <c r="D8" s="234"/>
      <c r="E8" s="234"/>
      <c r="F8" s="234"/>
      <c r="G8" s="234"/>
      <c r="H8" s="234"/>
      <c r="I8" s="1010"/>
      <c r="N8" s="234"/>
      <c r="O8" s="1010"/>
    </row>
    <row r="9" spans="1:15">
      <c r="A9">
        <v>210</v>
      </c>
      <c r="B9" s="1009">
        <v>43952</v>
      </c>
      <c r="C9" s="234"/>
      <c r="D9" s="234"/>
      <c r="E9" s="234"/>
      <c r="F9" s="234"/>
      <c r="G9" s="234"/>
      <c r="H9" s="234"/>
      <c r="I9" s="1010"/>
      <c r="N9" s="234"/>
      <c r="O9" s="1010"/>
    </row>
    <row r="10" spans="1:15">
      <c r="A10">
        <v>258</v>
      </c>
      <c r="B10" s="1009">
        <v>44013</v>
      </c>
      <c r="C10" s="234"/>
      <c r="D10" s="234"/>
      <c r="E10" s="234"/>
      <c r="F10" s="234"/>
      <c r="G10" s="234"/>
      <c r="H10" s="234"/>
      <c r="I10" s="1010"/>
    </row>
    <row r="11" spans="1:15">
      <c r="A11">
        <v>247</v>
      </c>
      <c r="B11" s="1009">
        <v>44013</v>
      </c>
      <c r="C11" s="234"/>
      <c r="D11" s="234"/>
      <c r="E11" s="234"/>
      <c r="F11" s="234"/>
      <c r="G11" s="234"/>
      <c r="H11" s="234"/>
      <c r="I11" s="1010"/>
    </row>
    <row r="12" spans="1:15">
      <c r="A12">
        <v>248</v>
      </c>
      <c r="B12" s="1009">
        <v>44013</v>
      </c>
      <c r="C12" s="234"/>
      <c r="D12" s="234"/>
      <c r="E12" s="234"/>
      <c r="F12" s="234"/>
      <c r="G12" s="234"/>
      <c r="H12" s="234"/>
      <c r="I12" s="1011"/>
    </row>
    <row r="13" spans="1:15">
      <c r="A13">
        <v>209</v>
      </c>
      <c r="B13" s="1009">
        <v>44013</v>
      </c>
      <c r="C13" s="234"/>
      <c r="D13" s="234"/>
      <c r="E13" s="234"/>
      <c r="F13" s="234"/>
      <c r="G13" s="234"/>
      <c r="H13" s="234"/>
      <c r="I13" s="1010"/>
    </row>
    <row r="14" spans="1:15">
      <c r="A14">
        <v>207</v>
      </c>
      <c r="B14" s="1009">
        <v>44013</v>
      </c>
      <c r="C14" s="234"/>
      <c r="D14" s="234"/>
      <c r="E14" s="234"/>
      <c r="F14" s="234"/>
      <c r="G14" s="234"/>
      <c r="H14" s="234"/>
      <c r="I14" s="1010"/>
    </row>
    <row r="15" spans="1:15">
      <c r="A15">
        <v>249</v>
      </c>
      <c r="B15" s="1009">
        <v>44013</v>
      </c>
      <c r="C15" s="234"/>
      <c r="D15" s="234"/>
      <c r="E15" s="234"/>
      <c r="F15" s="234"/>
      <c r="G15" s="234"/>
      <c r="H15" s="234"/>
      <c r="I15" s="1010"/>
    </row>
    <row r="16" spans="1:15">
      <c r="A16">
        <v>237</v>
      </c>
      <c r="B16" s="1009">
        <v>44013</v>
      </c>
      <c r="C16" s="234"/>
      <c r="D16" s="234"/>
      <c r="E16" s="234"/>
      <c r="F16" s="234"/>
      <c r="G16" s="234"/>
      <c r="H16" s="234"/>
      <c r="I16" s="1011"/>
    </row>
    <row r="17" spans="1:10">
      <c r="A17">
        <v>246</v>
      </c>
      <c r="B17" s="1009">
        <v>44013</v>
      </c>
      <c r="C17" s="234"/>
      <c r="D17" s="234"/>
      <c r="E17" s="234"/>
      <c r="F17" s="234"/>
      <c r="G17" s="234"/>
      <c r="H17" s="234"/>
      <c r="I17" s="1010"/>
    </row>
    <row r="18" spans="1:10">
      <c r="A18">
        <v>238</v>
      </c>
      <c r="B18" s="1009">
        <v>44013</v>
      </c>
      <c r="C18" s="234"/>
      <c r="D18" s="234"/>
      <c r="E18" s="234"/>
      <c r="F18" s="234"/>
      <c r="G18" s="234"/>
      <c r="H18" s="234"/>
      <c r="I18" s="1010"/>
    </row>
    <row r="19" spans="1:10">
      <c r="A19">
        <v>240</v>
      </c>
      <c r="B19" s="1009">
        <v>44013</v>
      </c>
      <c r="C19" s="234"/>
      <c r="D19" s="234"/>
      <c r="E19" s="234"/>
      <c r="F19" s="234"/>
      <c r="G19" s="234"/>
      <c r="H19" s="234"/>
      <c r="I19" s="1010"/>
      <c r="J19" s="234">
        <v>81721407.839354143</v>
      </c>
    </row>
    <row r="20" spans="1:10">
      <c r="A20">
        <v>242</v>
      </c>
      <c r="B20" s="1009">
        <v>44013</v>
      </c>
      <c r="C20" s="234"/>
      <c r="D20" s="234"/>
      <c r="E20" s="234"/>
      <c r="F20" s="234"/>
      <c r="G20" s="234"/>
      <c r="H20" s="234"/>
      <c r="I20" s="1010"/>
    </row>
    <row r="21" spans="1:10">
      <c r="A21">
        <v>245</v>
      </c>
      <c r="B21" s="1009">
        <v>44013</v>
      </c>
      <c r="C21" s="234"/>
      <c r="D21" s="234"/>
      <c r="E21" s="234"/>
      <c r="F21" s="234"/>
      <c r="G21" s="234"/>
      <c r="H21" s="234"/>
      <c r="I21" s="1010"/>
    </row>
    <row r="22" spans="1:10">
      <c r="A22">
        <v>257</v>
      </c>
      <c r="B22" s="1009">
        <v>44013</v>
      </c>
      <c r="C22" s="234"/>
      <c r="D22" s="234"/>
      <c r="E22" s="234"/>
      <c r="F22" s="234"/>
      <c r="G22" s="234"/>
      <c r="H22" s="234"/>
      <c r="I22" s="1010"/>
    </row>
    <row r="23" spans="1:10">
      <c r="A23">
        <v>239</v>
      </c>
      <c r="B23" s="1009">
        <v>44013</v>
      </c>
      <c r="C23" s="234"/>
      <c r="D23" s="234"/>
      <c r="E23" s="234"/>
      <c r="F23" s="234"/>
      <c r="G23" s="234"/>
      <c r="H23" s="234"/>
      <c r="I23" s="1010"/>
    </row>
    <row r="24" spans="1:10">
      <c r="A24">
        <v>232</v>
      </c>
      <c r="B24" s="1009">
        <v>44075</v>
      </c>
      <c r="C24" s="234"/>
      <c r="D24" s="234"/>
      <c r="E24" s="234"/>
      <c r="F24" s="234"/>
      <c r="G24" s="234"/>
      <c r="H24" s="234"/>
      <c r="I24" s="1010"/>
    </row>
    <row r="25" spans="1:10">
      <c r="A25">
        <v>222</v>
      </c>
      <c r="B25" s="1009">
        <v>44075</v>
      </c>
      <c r="C25" s="234"/>
      <c r="D25" s="234"/>
      <c r="E25" s="234"/>
      <c r="F25" s="234"/>
      <c r="G25" s="234"/>
      <c r="H25" s="234"/>
      <c r="I25" s="1010"/>
    </row>
    <row r="26" spans="1:10">
      <c r="A26">
        <v>202</v>
      </c>
      <c r="B26" s="1009">
        <v>44075</v>
      </c>
      <c r="C26" s="234"/>
      <c r="D26" s="234"/>
      <c r="E26" s="234"/>
      <c r="F26" s="234"/>
      <c r="G26" s="234"/>
      <c r="H26" s="234"/>
      <c r="I26" s="1010"/>
    </row>
    <row r="27" spans="1:10">
      <c r="A27">
        <v>260</v>
      </c>
      <c r="B27" s="1009">
        <v>44075</v>
      </c>
      <c r="C27" s="234"/>
      <c r="D27" s="234"/>
      <c r="E27" s="234"/>
      <c r="F27" s="234"/>
      <c r="G27" s="234"/>
      <c r="H27" s="234"/>
      <c r="I27" s="1010"/>
    </row>
    <row r="28" spans="1:10">
      <c r="A28">
        <v>230</v>
      </c>
      <c r="B28" s="1009">
        <v>44075</v>
      </c>
      <c r="C28" s="234"/>
      <c r="D28" s="234"/>
      <c r="E28" s="234"/>
      <c r="F28" s="234"/>
      <c r="G28" s="234"/>
      <c r="H28" s="234"/>
      <c r="I28" s="1010"/>
    </row>
    <row r="29" spans="1:10">
      <c r="A29">
        <v>221</v>
      </c>
      <c r="B29" s="1009">
        <v>44075</v>
      </c>
      <c r="C29" s="234"/>
      <c r="D29" s="234"/>
      <c r="E29" s="234"/>
      <c r="F29" s="234"/>
      <c r="G29" s="234"/>
      <c r="H29" s="234"/>
      <c r="I29" s="1010"/>
    </row>
    <row r="30" spans="1:10">
      <c r="A30">
        <v>218</v>
      </c>
      <c r="B30" s="1009">
        <v>44075</v>
      </c>
      <c r="C30" s="234"/>
      <c r="D30" s="234"/>
      <c r="E30" s="234"/>
      <c r="F30" s="234"/>
      <c r="G30" s="234"/>
      <c r="H30" s="234"/>
      <c r="I30" s="1010"/>
    </row>
    <row r="31" spans="1:10">
      <c r="A31">
        <v>261</v>
      </c>
      <c r="B31" s="1009">
        <v>44075</v>
      </c>
      <c r="C31" s="234"/>
      <c r="D31" s="234"/>
      <c r="E31" s="234"/>
      <c r="F31" s="234"/>
      <c r="G31" s="234"/>
      <c r="H31" s="234"/>
      <c r="I31" s="1010"/>
    </row>
    <row r="32" spans="1:10">
      <c r="A32">
        <v>262</v>
      </c>
      <c r="B32" s="1009">
        <v>44075</v>
      </c>
      <c r="C32" s="234"/>
      <c r="D32" s="234"/>
      <c r="E32" s="234"/>
      <c r="F32" s="234"/>
      <c r="G32" s="234"/>
      <c r="H32" s="234"/>
      <c r="I32" s="1010"/>
    </row>
    <row r="33" spans="1:9">
      <c r="A33">
        <v>227</v>
      </c>
      <c r="B33" s="1009">
        <v>44075</v>
      </c>
      <c r="C33" s="234"/>
      <c r="D33" s="234"/>
      <c r="E33" s="234"/>
      <c r="F33" s="234"/>
      <c r="G33" s="234"/>
      <c r="H33" s="234"/>
      <c r="I33" s="1010"/>
    </row>
    <row r="34" spans="1:9">
      <c r="A34">
        <v>231</v>
      </c>
      <c r="B34" s="1009">
        <v>44075</v>
      </c>
      <c r="C34" s="234"/>
      <c r="D34" s="234"/>
      <c r="E34" s="234"/>
      <c r="F34" s="234"/>
      <c r="G34" s="234"/>
      <c r="H34" s="234"/>
      <c r="I34" s="1010"/>
    </row>
    <row r="35" spans="1:9">
      <c r="A35">
        <v>216</v>
      </c>
      <c r="B35" s="1009">
        <v>44075</v>
      </c>
      <c r="C35" s="234"/>
      <c r="D35" s="234"/>
      <c r="E35" s="234"/>
      <c r="F35" s="234"/>
      <c r="G35" s="234"/>
      <c r="H35" s="234"/>
      <c r="I35" s="1010"/>
    </row>
    <row r="36" spans="1:9">
      <c r="A36">
        <v>229</v>
      </c>
      <c r="B36" s="1009">
        <v>44075</v>
      </c>
      <c r="C36" s="234"/>
      <c r="D36" s="234"/>
      <c r="E36" s="234"/>
      <c r="F36" s="234"/>
      <c r="G36" s="234"/>
      <c r="H36" s="234"/>
      <c r="I36" s="1010"/>
    </row>
    <row r="37" spans="1:9">
      <c r="A37">
        <v>215</v>
      </c>
      <c r="B37" s="1009">
        <v>44075</v>
      </c>
      <c r="C37" s="234"/>
      <c r="D37" s="234"/>
      <c r="E37" s="234"/>
      <c r="F37" s="234"/>
      <c r="G37" s="234"/>
      <c r="H37" s="234"/>
      <c r="I37" s="1010"/>
    </row>
    <row r="38" spans="1:9">
      <c r="A38">
        <v>224</v>
      </c>
      <c r="B38" s="1009">
        <v>44075</v>
      </c>
      <c r="C38" s="234"/>
      <c r="D38" s="234"/>
      <c r="E38" s="234"/>
      <c r="F38" s="234"/>
      <c r="G38" s="234"/>
      <c r="H38" s="234"/>
      <c r="I38" s="1010"/>
    </row>
    <row r="39" spans="1:9">
      <c r="A39">
        <v>226</v>
      </c>
      <c r="B39" s="1009">
        <v>44075</v>
      </c>
      <c r="C39" s="234"/>
      <c r="D39" s="234"/>
      <c r="E39" s="234"/>
      <c r="F39" s="234"/>
      <c r="G39" s="234"/>
      <c r="H39" s="234"/>
      <c r="I39" s="1010"/>
    </row>
    <row r="40" spans="1:9">
      <c r="A40">
        <v>234</v>
      </c>
      <c r="B40" s="1009">
        <v>44075</v>
      </c>
      <c r="C40" s="234"/>
      <c r="D40" s="234"/>
      <c r="E40" s="234"/>
      <c r="F40" s="234"/>
      <c r="G40" s="234"/>
      <c r="H40" s="234"/>
      <c r="I40" s="1010"/>
    </row>
    <row r="41" spans="1:9">
      <c r="A41">
        <v>223</v>
      </c>
      <c r="B41" s="1009">
        <v>44075</v>
      </c>
      <c r="C41" s="234"/>
      <c r="D41" s="234"/>
      <c r="E41" s="234"/>
      <c r="F41" s="234"/>
      <c r="G41" s="234"/>
      <c r="H41" s="234"/>
      <c r="I41" s="1010"/>
    </row>
    <row r="42" spans="1:9">
      <c r="A42">
        <v>225</v>
      </c>
      <c r="B42" s="1009">
        <v>44075</v>
      </c>
      <c r="C42" s="234"/>
      <c r="D42" s="234"/>
      <c r="E42" s="234"/>
      <c r="F42" s="234"/>
      <c r="G42" s="234"/>
      <c r="H42" s="234"/>
      <c r="I42" s="1010"/>
    </row>
    <row r="43" spans="1:9">
      <c r="A43">
        <v>228</v>
      </c>
      <c r="B43" s="1009">
        <v>44075</v>
      </c>
      <c r="C43" s="234"/>
      <c r="D43" s="234"/>
      <c r="E43" s="234"/>
      <c r="F43" s="234"/>
      <c r="G43" s="234"/>
      <c r="H43" s="234"/>
      <c r="I43" s="1010"/>
    </row>
    <row r="44" spans="1:9">
      <c r="A44">
        <v>220</v>
      </c>
      <c r="B44" s="1009">
        <v>44075</v>
      </c>
      <c r="C44" s="234"/>
      <c r="D44" s="234"/>
      <c r="E44" s="234"/>
      <c r="F44" s="234"/>
      <c r="G44" s="234"/>
      <c r="H44" s="234"/>
      <c r="I44" s="1010"/>
    </row>
    <row r="45" spans="1:9">
      <c r="A45">
        <v>201</v>
      </c>
      <c r="B45" s="1009">
        <v>44136</v>
      </c>
      <c r="C45" s="234"/>
      <c r="D45" s="234"/>
      <c r="E45" s="234"/>
      <c r="F45" s="234"/>
      <c r="G45" s="234"/>
      <c r="H45" s="234"/>
      <c r="I45" s="1010"/>
    </row>
    <row r="46" spans="1:9">
      <c r="A46">
        <v>213</v>
      </c>
      <c r="B46" s="1009">
        <v>44136</v>
      </c>
      <c r="C46" s="234"/>
      <c r="D46" s="234"/>
      <c r="E46" s="234"/>
      <c r="F46" s="234"/>
      <c r="G46" s="234"/>
      <c r="H46" s="234"/>
      <c r="I46" s="1010"/>
    </row>
    <row r="47" spans="1:9">
      <c r="A47">
        <v>219</v>
      </c>
      <c r="B47" s="1009">
        <v>44136</v>
      </c>
      <c r="C47" s="234"/>
      <c r="D47" s="234"/>
      <c r="E47" s="234"/>
      <c r="F47" s="234"/>
      <c r="G47" s="234"/>
      <c r="H47" s="234"/>
      <c r="I47" s="1010"/>
    </row>
    <row r="48" spans="1:9">
      <c r="A48">
        <v>205</v>
      </c>
      <c r="B48" s="1009">
        <v>44136</v>
      </c>
      <c r="C48" s="234"/>
      <c r="D48" s="234"/>
      <c r="E48" s="234"/>
      <c r="F48" s="234"/>
      <c r="G48" s="234"/>
      <c r="H48" s="234"/>
      <c r="I48" s="1010"/>
    </row>
    <row r="49" spans="1:10">
      <c r="A49">
        <v>208</v>
      </c>
      <c r="B49" s="1009">
        <v>44136</v>
      </c>
      <c r="C49" s="234"/>
      <c r="D49" s="234"/>
      <c r="E49" s="234"/>
      <c r="F49" s="234"/>
      <c r="G49" s="234"/>
      <c r="H49" s="234"/>
      <c r="I49" s="1010"/>
    </row>
    <row r="50" spans="1:10">
      <c r="A50">
        <v>263</v>
      </c>
      <c r="B50" s="1009">
        <v>44166</v>
      </c>
      <c r="C50" s="234"/>
      <c r="D50" s="234"/>
      <c r="F50" s="234"/>
      <c r="G50" s="234"/>
      <c r="H50" s="234"/>
      <c r="I50" s="1010"/>
      <c r="J50" s="234">
        <v>5389974.3136365721</v>
      </c>
    </row>
    <row r="51" spans="1:10">
      <c r="A51">
        <v>217</v>
      </c>
      <c r="B51" s="1009">
        <v>44166</v>
      </c>
      <c r="C51" s="234"/>
      <c r="D51" s="234"/>
      <c r="E51" s="234"/>
      <c r="F51" s="234"/>
      <c r="G51" s="234"/>
      <c r="H51" s="234"/>
      <c r="I51" s="1010"/>
      <c r="J51" s="234"/>
    </row>
    <row r="52" spans="1:10">
      <c r="A52">
        <v>264</v>
      </c>
      <c r="B52" s="1009">
        <v>44166</v>
      </c>
      <c r="C52" s="234"/>
      <c r="D52" s="234"/>
      <c r="F52" s="234"/>
      <c r="G52" s="234"/>
      <c r="H52" s="234"/>
      <c r="I52" s="1010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W4" zoomScale="106" zoomScaleNormal="106" workbookViewId="0">
      <selection activeCell="Z15" sqref="Z15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39" t="s">
        <v>12</v>
      </c>
      <c r="C1" s="1040"/>
      <c r="D1" s="1040"/>
      <c r="E1" s="1041" t="s">
        <v>13</v>
      </c>
      <c r="F1" s="1042">
        <f ca="1">LnkTXTIRTEco</f>
        <v>6.4299999999999996E-2</v>
      </c>
    </row>
    <row r="2" spans="2:43" ht="28.5" customHeight="1">
      <c r="B2" s="138" t="str">
        <f>CAPA!C9</f>
        <v>Celetro</v>
      </c>
      <c r="C2" s="70"/>
      <c r="D2" s="70"/>
      <c r="E2" s="84" t="s">
        <v>14</v>
      </c>
      <c r="F2" s="85">
        <f ca="1">LnkTXTIRTTotal</f>
        <v>-0.2445</v>
      </c>
      <c r="M2" s="86"/>
      <c r="N2" s="87"/>
      <c r="AA2" s="906"/>
      <c r="AB2" s="1008"/>
      <c r="AC2" s="906"/>
      <c r="AD2" s="906"/>
    </row>
    <row r="3" spans="2:43" ht="21" customHeight="1">
      <c r="B3" s="1043" t="s">
        <v>15</v>
      </c>
      <c r="C3" s="824"/>
      <c r="I3" s="1043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44" t="s">
        <v>17</v>
      </c>
      <c r="C5" s="1045">
        <v>86134.504999999903</v>
      </c>
      <c r="D5" s="1710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23" t="s">
        <v>27</v>
      </c>
      <c r="T5" s="493" t="s">
        <v>28</v>
      </c>
      <c r="U5" s="71" t="s">
        <v>29</v>
      </c>
      <c r="V5" s="823" t="s">
        <v>30</v>
      </c>
      <c r="AA5" s="68" t="s">
        <v>31</v>
      </c>
      <c r="AB5" s="68" t="s">
        <v>32</v>
      </c>
      <c r="AC5" s="68" t="s">
        <v>20</v>
      </c>
      <c r="AD5" s="906" t="s">
        <v>33</v>
      </c>
      <c r="AE5" s="906" t="s">
        <v>2169</v>
      </c>
      <c r="AI5" s="971" t="s">
        <v>34</v>
      </c>
      <c r="AJ5" s="971" t="s">
        <v>35</v>
      </c>
      <c r="AL5" s="989" t="s">
        <v>36</v>
      </c>
      <c r="AM5" s="989" t="s">
        <v>37</v>
      </c>
      <c r="AO5" s="906" t="s">
        <v>2198</v>
      </c>
      <c r="AP5" s="906" t="s">
        <v>37</v>
      </c>
      <c r="AQ5" s="906" t="s">
        <v>2199</v>
      </c>
    </row>
    <row r="6" spans="2:43" ht="16.5">
      <c r="B6" s="94"/>
      <c r="C6" s="89"/>
      <c r="D6" s="1711"/>
      <c r="E6" s="91"/>
      <c r="F6" s="72"/>
      <c r="G6" s="72"/>
      <c r="H6" s="68" t="str">
        <f>CONCATENATE(W6,J6,L6,O6)</f>
        <v>400A4PontaPotência</v>
      </c>
      <c r="I6" s="1046">
        <v>2021</v>
      </c>
      <c r="J6" s="1047" t="s">
        <v>596</v>
      </c>
      <c r="K6" s="1047" t="s">
        <v>826</v>
      </c>
      <c r="L6" s="1047" t="s">
        <v>968</v>
      </c>
      <c r="M6" s="1047" t="s">
        <v>2312</v>
      </c>
      <c r="N6" s="1047">
        <v>5343</v>
      </c>
      <c r="O6" s="1047" t="s">
        <v>1316</v>
      </c>
      <c r="P6" s="1047" t="s">
        <v>827</v>
      </c>
      <c r="Q6" s="1048">
        <v>44399</v>
      </c>
      <c r="R6" s="1048">
        <v>44390</v>
      </c>
      <c r="S6" s="521" t="s">
        <v>2313</v>
      </c>
      <c r="T6" s="1048" t="s">
        <v>2314</v>
      </c>
      <c r="U6" s="1047">
        <v>23.23</v>
      </c>
      <c r="V6" s="1047">
        <v>164</v>
      </c>
      <c r="W6" s="68">
        <f>VLOOKUP(V6,DescontosTE[[#All],[idsreag supridora]:[codsariSUP]],2,FALSE)</f>
        <v>400</v>
      </c>
      <c r="AA6" s="907"/>
      <c r="AB6" s="908"/>
      <c r="AC6" s="907"/>
      <c r="AD6" s="907"/>
      <c r="AE6" s="907"/>
      <c r="AI6" s="987"/>
      <c r="AJ6" s="988"/>
      <c r="AL6" s="990"/>
      <c r="AM6" s="991"/>
      <c r="AO6" s="1648" t="s">
        <v>2215</v>
      </c>
      <c r="AP6" s="1649">
        <v>0</v>
      </c>
      <c r="AQ6" s="1649"/>
    </row>
    <row r="7" spans="2:43" ht="16.5">
      <c r="B7" s="1049" t="s">
        <v>38</v>
      </c>
      <c r="C7" s="1050">
        <v>0</v>
      </c>
      <c r="D7" s="1711"/>
      <c r="E7" s="72"/>
      <c r="F7" s="72"/>
      <c r="G7" s="72"/>
      <c r="H7" s="68" t="str">
        <f t="shared" ref="H7:H30" si="0">CONCATENATE(W7,J7,L7,O7)</f>
        <v>400A4Não se aplicaEnergia</v>
      </c>
      <c r="I7" s="519">
        <v>2021</v>
      </c>
      <c r="J7" s="520" t="s">
        <v>596</v>
      </c>
      <c r="K7" s="520" t="s">
        <v>826</v>
      </c>
      <c r="L7" s="520" t="s">
        <v>1317</v>
      </c>
      <c r="M7" s="520" t="s">
        <v>2312</v>
      </c>
      <c r="N7" s="520">
        <v>5343</v>
      </c>
      <c r="O7" s="520" t="s">
        <v>120</v>
      </c>
      <c r="P7" s="520" t="s">
        <v>827</v>
      </c>
      <c r="Q7" s="521">
        <v>44399</v>
      </c>
      <c r="R7" s="521">
        <v>44390</v>
      </c>
      <c r="S7" s="521" t="s">
        <v>2313</v>
      </c>
      <c r="T7" s="521" t="s">
        <v>2314</v>
      </c>
      <c r="U7" s="520">
        <v>12.96</v>
      </c>
      <c r="V7" s="520">
        <v>164</v>
      </c>
      <c r="W7" s="68">
        <f>VLOOKUP(V7,DescontosTE[[#All],[idsreag supridora]:[codsariSUP]],2,FALSE)</f>
        <v>400</v>
      </c>
      <c r="AA7" s="907"/>
      <c r="AB7" s="908"/>
      <c r="AC7" s="907"/>
      <c r="AD7" s="907"/>
      <c r="AE7" s="907"/>
      <c r="AI7" s="987"/>
      <c r="AJ7" s="988"/>
      <c r="AL7" s="990"/>
      <c r="AM7" s="991"/>
      <c r="AO7" s="1648" t="s">
        <v>2216</v>
      </c>
      <c r="AP7" s="1649">
        <v>0</v>
      </c>
      <c r="AQ7" s="1649"/>
    </row>
    <row r="8" spans="2:43" ht="16.5">
      <c r="B8" s="94" t="s">
        <v>39</v>
      </c>
      <c r="C8" s="120">
        <v>0</v>
      </c>
      <c r="D8" s="1711"/>
      <c r="E8" s="72"/>
      <c r="F8" s="72"/>
      <c r="G8" s="72"/>
      <c r="H8" s="68" t="str">
        <f t="shared" si="0"/>
        <v>400A4Fora pontaPotência</v>
      </c>
      <c r="I8" s="519">
        <v>2021</v>
      </c>
      <c r="J8" s="520" t="s">
        <v>596</v>
      </c>
      <c r="K8" s="520" t="s">
        <v>826</v>
      </c>
      <c r="L8" s="520" t="s">
        <v>2236</v>
      </c>
      <c r="M8" s="520" t="s">
        <v>2312</v>
      </c>
      <c r="N8" s="520">
        <v>5343</v>
      </c>
      <c r="O8" s="520" t="s">
        <v>1316</v>
      </c>
      <c r="P8" s="520" t="s">
        <v>827</v>
      </c>
      <c r="Q8" s="521">
        <v>44399</v>
      </c>
      <c r="R8" s="521">
        <v>44390</v>
      </c>
      <c r="S8" s="521" t="s">
        <v>2313</v>
      </c>
      <c r="T8" s="521" t="s">
        <v>2314</v>
      </c>
      <c r="U8" s="520">
        <v>23.37</v>
      </c>
      <c r="V8" s="520">
        <v>164</v>
      </c>
      <c r="W8" s="68">
        <f>VLOOKUP(V8,DescontosTE[[#All],[idsreag supridora]:[codsariSUP]],2,FALSE)</f>
        <v>400</v>
      </c>
      <c r="AI8" s="987"/>
      <c r="AJ8" s="988"/>
      <c r="AL8" s="990"/>
      <c r="AM8" s="991"/>
      <c r="AO8" s="1648" t="s">
        <v>2217</v>
      </c>
      <c r="AP8" s="1649">
        <v>0</v>
      </c>
      <c r="AQ8" s="1649"/>
    </row>
    <row r="9" spans="2:43" ht="16.5">
      <c r="B9" s="94" t="s">
        <v>40</v>
      </c>
      <c r="C9" s="120">
        <v>197673.645121712</v>
      </c>
      <c r="D9" s="1711"/>
      <c r="E9" s="72"/>
      <c r="F9" s="72"/>
      <c r="G9" s="72"/>
      <c r="H9" s="68" t="str">
        <f t="shared" si="0"/>
        <v>396A4Não se aplicaEnergia</v>
      </c>
      <c r="I9" s="519">
        <v>2022</v>
      </c>
      <c r="J9" s="520" t="s">
        <v>596</v>
      </c>
      <c r="K9" s="520" t="s">
        <v>826</v>
      </c>
      <c r="L9" s="520" t="s">
        <v>1317</v>
      </c>
      <c r="M9" s="520" t="s">
        <v>2312</v>
      </c>
      <c r="N9" s="520">
        <v>5343</v>
      </c>
      <c r="O9" s="520" t="s">
        <v>120</v>
      </c>
      <c r="P9" s="520" t="s">
        <v>827</v>
      </c>
      <c r="Q9" s="521">
        <v>44734</v>
      </c>
      <c r="R9" s="521">
        <v>44732</v>
      </c>
      <c r="S9" s="521" t="s">
        <v>2307</v>
      </c>
      <c r="T9" s="521" t="s">
        <v>2308</v>
      </c>
      <c r="U9" s="520">
        <v>11.36</v>
      </c>
      <c r="V9" s="520">
        <v>167</v>
      </c>
      <c r="W9" s="68">
        <f>VLOOKUP(V9,DescontosTE[[#All],[idsreag supridora]:[codsariSUP]],2,FALSE)</f>
        <v>396</v>
      </c>
      <c r="AI9" s="987"/>
      <c r="AJ9" s="988"/>
      <c r="AL9" s="990"/>
      <c r="AM9" s="991"/>
      <c r="AO9" s="1648"/>
      <c r="AP9" s="1649"/>
      <c r="AQ9" s="1649" t="s">
        <v>2218</v>
      </c>
    </row>
    <row r="10" spans="2:43" ht="16.5">
      <c r="B10" s="94" t="s">
        <v>41</v>
      </c>
      <c r="C10" s="120">
        <v>5059594.8226600001</v>
      </c>
      <c r="D10" s="1711"/>
      <c r="H10" s="68" t="str">
        <f t="shared" si="0"/>
        <v>396A4Fora pontaPotência</v>
      </c>
      <c r="I10" s="519">
        <v>2022</v>
      </c>
      <c r="J10" s="520" t="s">
        <v>596</v>
      </c>
      <c r="K10" s="520" t="s">
        <v>826</v>
      </c>
      <c r="L10" s="520" t="s">
        <v>2236</v>
      </c>
      <c r="M10" s="520" t="s">
        <v>2312</v>
      </c>
      <c r="N10" s="520">
        <v>5343</v>
      </c>
      <c r="O10" s="520" t="s">
        <v>1316</v>
      </c>
      <c r="P10" s="520" t="s">
        <v>827</v>
      </c>
      <c r="Q10" s="521">
        <v>44734</v>
      </c>
      <c r="R10" s="521">
        <v>44732</v>
      </c>
      <c r="S10" s="521" t="s">
        <v>2307</v>
      </c>
      <c r="T10" s="521" t="s">
        <v>2308</v>
      </c>
      <c r="U10" s="520">
        <v>19.98</v>
      </c>
      <c r="V10" s="520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12" t="s">
        <v>45</v>
      </c>
      <c r="AI10" s="987"/>
      <c r="AJ10" s="988"/>
      <c r="AL10" s="990"/>
      <c r="AM10" s="991"/>
    </row>
    <row r="11" spans="2:43" ht="16.5">
      <c r="B11" s="94" t="s">
        <v>46</v>
      </c>
      <c r="C11" s="120">
        <v>0</v>
      </c>
      <c r="D11" s="1711"/>
      <c r="H11" s="68" t="str">
        <f t="shared" si="0"/>
        <v>396A4PontaPotência</v>
      </c>
      <c r="I11" s="519">
        <v>2022</v>
      </c>
      <c r="J11" s="520" t="s">
        <v>596</v>
      </c>
      <c r="K11" s="520" t="s">
        <v>826</v>
      </c>
      <c r="L11" s="520" t="s">
        <v>968</v>
      </c>
      <c r="M11" s="520" t="s">
        <v>2312</v>
      </c>
      <c r="N11" s="520">
        <v>5343</v>
      </c>
      <c r="O11" s="520" t="s">
        <v>1316</v>
      </c>
      <c r="P11" s="520" t="s">
        <v>827</v>
      </c>
      <c r="Q11" s="521">
        <v>44734</v>
      </c>
      <c r="R11" s="521">
        <v>44732</v>
      </c>
      <c r="S11" s="521" t="s">
        <v>2307</v>
      </c>
      <c r="T11" s="521" t="s">
        <v>2308</v>
      </c>
      <c r="U11" s="520">
        <v>26.9</v>
      </c>
      <c r="V11" s="520">
        <v>167</v>
      </c>
      <c r="W11" s="68">
        <f>VLOOKUP(V11,DescontosTE[[#All],[idsreag supridora]:[codsariSUP]],2,FALSE)</f>
        <v>396</v>
      </c>
      <c r="AA11" s="907">
        <v>0.88500000000000001</v>
      </c>
      <c r="AB11" s="908">
        <v>195.04</v>
      </c>
      <c r="AC11" s="907">
        <v>14739.74</v>
      </c>
      <c r="AD11" s="907"/>
      <c r="AI11" s="987"/>
      <c r="AJ11" s="988"/>
      <c r="AL11" s="990"/>
      <c r="AM11" s="991"/>
    </row>
    <row r="12" spans="2:43" ht="16.5">
      <c r="B12" s="94" t="s">
        <v>47</v>
      </c>
      <c r="C12" s="120">
        <v>800079.28643999901</v>
      </c>
      <c r="D12" s="1711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87"/>
      <c r="AJ12" s="988"/>
      <c r="AL12" s="990"/>
      <c r="AM12" s="991"/>
    </row>
    <row r="13" spans="2:43" ht="16.5">
      <c r="B13" s="94" t="s">
        <v>48</v>
      </c>
      <c r="C13" s="120">
        <v>0</v>
      </c>
      <c r="D13" s="1711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87"/>
      <c r="AJ13" s="988"/>
      <c r="AL13" s="990"/>
      <c r="AM13" s="991"/>
    </row>
    <row r="14" spans="2:43" ht="16.5">
      <c r="B14" s="94" t="s">
        <v>49</v>
      </c>
      <c r="C14" s="120">
        <v>0</v>
      </c>
      <c r="D14" s="1711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6"/>
      <c r="AB14" s="836"/>
      <c r="AC14" s="836"/>
      <c r="AI14" s="987"/>
      <c r="AJ14" s="988"/>
      <c r="AL14" s="990"/>
      <c r="AM14" s="991"/>
    </row>
    <row r="15" spans="2:43" ht="16.5">
      <c r="B15" s="1051" t="s">
        <v>2170</v>
      </c>
      <c r="C15" s="1052">
        <v>0</v>
      </c>
      <c r="D15" s="1711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93" t="s">
        <v>122</v>
      </c>
      <c r="AB15" s="993" t="s">
        <v>973</v>
      </c>
      <c r="AC15" s="836"/>
      <c r="AI15" s="987"/>
      <c r="AJ15" s="988"/>
      <c r="AL15" s="990"/>
      <c r="AM15" s="991"/>
    </row>
    <row r="16" spans="2:43" ht="16.5">
      <c r="D16" s="1711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7">
        <v>2022</v>
      </c>
      <c r="AB16" s="908">
        <v>1498.212724965482</v>
      </c>
      <c r="AC16" s="906"/>
      <c r="AI16" s="987"/>
      <c r="AJ16" s="988"/>
      <c r="AL16" s="990"/>
      <c r="AM16" s="991"/>
    </row>
    <row r="17" spans="2:42" ht="16.5">
      <c r="B17" s="1044" t="s">
        <v>50</v>
      </c>
      <c r="C17" s="1053"/>
      <c r="D17" s="1711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87"/>
      <c r="AJ17" s="988"/>
      <c r="AL17" s="913"/>
      <c r="AM17" s="908"/>
    </row>
    <row r="18" spans="2:42" ht="16.5">
      <c r="B18" s="94" t="s">
        <v>51</v>
      </c>
      <c r="C18" s="120">
        <v>0</v>
      </c>
      <c r="D18" s="1711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87"/>
      <c r="AJ18" s="988"/>
      <c r="AL18" s="913"/>
      <c r="AM18" s="908"/>
    </row>
    <row r="19" spans="2:42" ht="16.5">
      <c r="B19" s="94" t="s">
        <v>52</v>
      </c>
      <c r="C19" s="120">
        <v>0</v>
      </c>
      <c r="D19" s="1711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87"/>
      <c r="AJ19" s="988"/>
    </row>
    <row r="20" spans="2:42" ht="16.5">
      <c r="B20" s="94" t="s">
        <v>53</v>
      </c>
      <c r="C20" s="120"/>
      <c r="D20" s="1711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9" t="s">
        <v>54</v>
      </c>
      <c r="AB20" s="909"/>
      <c r="AC20" s="910"/>
      <c r="AD20" s="910"/>
      <c r="AE20" s="910"/>
      <c r="AF20" s="910"/>
      <c r="AG20" s="911"/>
      <c r="AI20" s="913"/>
      <c r="AJ20" s="908"/>
    </row>
    <row r="21" spans="2:42" ht="16.5">
      <c r="B21" s="94" t="s">
        <v>55</v>
      </c>
      <c r="C21" s="120"/>
      <c r="D21" s="1711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11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7"/>
      <c r="AB22" s="908"/>
      <c r="AC22" s="907"/>
      <c r="AD22" s="907"/>
      <c r="AE22" s="908"/>
      <c r="AF22" s="913"/>
      <c r="AG22" s="907"/>
    </row>
    <row r="23" spans="2:42" ht="16.5">
      <c r="B23" s="94" t="s">
        <v>64</v>
      </c>
      <c r="C23" s="120"/>
      <c r="D23" s="1711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7"/>
      <c r="AB23" s="908"/>
      <c r="AC23" s="907"/>
      <c r="AD23" s="907"/>
      <c r="AE23" s="908"/>
      <c r="AF23" s="907"/>
      <c r="AG23" s="907"/>
      <c r="AI23" s="906" t="s">
        <v>2202</v>
      </c>
      <c r="AM23" s="906" t="s">
        <v>2206</v>
      </c>
    </row>
    <row r="24" spans="2:42" ht="16.5">
      <c r="B24" s="94" t="s">
        <v>65</v>
      </c>
      <c r="C24" s="120">
        <v>0</v>
      </c>
      <c r="D24" s="1711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2200</v>
      </c>
      <c r="AJ24" s="68" t="s">
        <v>2201</v>
      </c>
      <c r="AK24" s="68" t="s">
        <v>1525</v>
      </c>
      <c r="AM24" s="68" t="s">
        <v>2203</v>
      </c>
      <c r="AN24" s="68" t="s">
        <v>2204</v>
      </c>
      <c r="AO24" s="68" t="s">
        <v>2205</v>
      </c>
      <c r="AP24" s="68" t="s">
        <v>37</v>
      </c>
    </row>
    <row r="25" spans="2:42" ht="16.5">
      <c r="B25" s="94" t="s">
        <v>66</v>
      </c>
      <c r="C25" s="120">
        <v>12160512.7984225</v>
      </c>
      <c r="D25" s="1711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6"/>
      <c r="AE25" s="1008"/>
      <c r="AF25" s="906"/>
      <c r="AG25" s="906"/>
      <c r="AI25" s="262" t="s">
        <v>2219</v>
      </c>
      <c r="AJ25" s="262" t="s">
        <v>41</v>
      </c>
      <c r="AK25" s="69">
        <v>-147118.28915020099</v>
      </c>
      <c r="AM25" s="1652"/>
      <c r="AN25" s="1652"/>
      <c r="AO25" s="1652"/>
      <c r="AP25" s="1651"/>
    </row>
    <row r="26" spans="2:42" ht="16.5">
      <c r="B26" s="1044" t="s">
        <v>67</v>
      </c>
      <c r="C26" s="1054">
        <v>42767969.536457799</v>
      </c>
      <c r="D26" s="1711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93" t="s">
        <v>2207</v>
      </c>
      <c r="AB26" s="993" t="s">
        <v>37</v>
      </c>
      <c r="AD26" s="906"/>
      <c r="AE26" s="1008"/>
      <c r="AF26" s="906"/>
      <c r="AG26" s="906"/>
      <c r="AI26" s="262" t="s">
        <v>2219</v>
      </c>
      <c r="AJ26" s="262" t="s">
        <v>47</v>
      </c>
      <c r="AK26" s="69">
        <v>-20099.683120778998</v>
      </c>
      <c r="AM26" s="1652"/>
      <c r="AN26" s="1652"/>
      <c r="AO26" s="1652"/>
      <c r="AP26" s="1651"/>
    </row>
    <row r="27" spans="2:42" ht="16.5">
      <c r="C27" s="69"/>
      <c r="D27" s="1711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7" t="s">
        <v>2209</v>
      </c>
      <c r="AB27" s="908"/>
      <c r="AI27" s="262" t="s">
        <v>2219</v>
      </c>
      <c r="AJ27" s="262" t="s">
        <v>40</v>
      </c>
      <c r="AK27" s="69">
        <v>-6419.0807042117103</v>
      </c>
      <c r="AM27" s="1652"/>
      <c r="AN27" s="1652"/>
      <c r="AO27" s="1652"/>
      <c r="AP27" s="1651"/>
    </row>
    <row r="28" spans="2:42" ht="16.5">
      <c r="B28" s="1043" t="s">
        <v>68</v>
      </c>
      <c r="C28" s="1055"/>
      <c r="D28" s="1711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7" t="s">
        <v>2210</v>
      </c>
      <c r="AB28" s="908"/>
      <c r="AI28" s="262" t="s">
        <v>2220</v>
      </c>
      <c r="AJ28" s="262" t="s">
        <v>2221</v>
      </c>
      <c r="AK28" s="69">
        <v>-3.3394400961697102E-3</v>
      </c>
      <c r="AM28" s="1652"/>
      <c r="AN28" s="1652"/>
      <c r="AO28" s="1652"/>
      <c r="AP28" s="1651"/>
    </row>
    <row r="29" spans="2:42" ht="18" customHeight="1">
      <c r="D29" s="1711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7"/>
      <c r="AB29" s="908"/>
      <c r="AI29" s="262" t="s">
        <v>2222</v>
      </c>
      <c r="AJ29" s="262" t="s">
        <v>2223</v>
      </c>
      <c r="AK29" s="69">
        <v>-31253.588770237995</v>
      </c>
      <c r="AM29" s="1652"/>
      <c r="AN29" s="1652"/>
      <c r="AO29" s="1652"/>
      <c r="AP29" s="1651"/>
    </row>
    <row r="30" spans="2:42" ht="16.5">
      <c r="B30" s="1056"/>
      <c r="C30" s="1057"/>
      <c r="D30" s="1711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7"/>
      <c r="AB30" s="908"/>
      <c r="AI30" s="262" t="s">
        <v>109</v>
      </c>
      <c r="AJ30" s="262"/>
      <c r="AK30" s="69">
        <v>-26222971.891203601</v>
      </c>
      <c r="AM30" s="1652"/>
      <c r="AN30" s="1652"/>
      <c r="AO30" s="1652"/>
      <c r="AP30" s="1651"/>
    </row>
    <row r="31" spans="2:42">
      <c r="B31" s="684" t="s">
        <v>69</v>
      </c>
      <c r="C31" s="685">
        <v>0.11088586848758</v>
      </c>
      <c r="D31" s="1712"/>
      <c r="AI31" s="262" t="s">
        <v>2224</v>
      </c>
      <c r="AJ31" s="262" t="s">
        <v>1317</v>
      </c>
      <c r="AK31" s="69">
        <v>1436638.0649712568</v>
      </c>
      <c r="AM31" s="1652"/>
      <c r="AN31" s="1652"/>
      <c r="AO31" s="1652"/>
      <c r="AP31" s="1651"/>
    </row>
    <row r="32" spans="2:42">
      <c r="B32" s="1058" t="s">
        <v>70</v>
      </c>
      <c r="C32" s="1059">
        <v>0.76946233409201359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43"/>
      <c r="C34" s="1055"/>
      <c r="AI34" s="262"/>
      <c r="AJ34" s="262"/>
      <c r="AK34" s="69"/>
    </row>
    <row r="35" spans="1:37">
      <c r="B35" s="1056" t="s">
        <v>41</v>
      </c>
      <c r="C35" s="1060">
        <v>5240482.3725000005</v>
      </c>
      <c r="AI35" s="262"/>
      <c r="AJ35" s="262"/>
      <c r="AK35" s="69"/>
    </row>
    <row r="36" spans="1:37">
      <c r="B36" s="684" t="s">
        <v>47</v>
      </c>
      <c r="C36" s="88">
        <v>691491.24266000011</v>
      </c>
      <c r="AI36" s="262"/>
      <c r="AJ36" s="262"/>
      <c r="AK36" s="69"/>
    </row>
    <row r="37" spans="1:37">
      <c r="B37" s="1058" t="s">
        <v>40</v>
      </c>
      <c r="C37" s="1061">
        <v>202563.05259930747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58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62">
        <f>DATE(YEAR(B41),MONTH(B41),1)</f>
        <v>44440</v>
      </c>
      <c r="B41" s="1048">
        <v>44447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62">
        <f t="shared" ref="A42:A57" si="1">DATE(YEAR(B42),MONTH(B42),1)</f>
        <v>44470</v>
      </c>
      <c r="B42" s="521">
        <v>44476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23" t="s">
        <v>20</v>
      </c>
      <c r="J42" s="823" t="s">
        <v>21</v>
      </c>
      <c r="K42" s="823"/>
      <c r="L42" s="823" t="s">
        <v>22</v>
      </c>
      <c r="M42" s="823" t="s">
        <v>23</v>
      </c>
      <c r="N42" s="823" t="s">
        <v>24</v>
      </c>
      <c r="O42" s="823" t="s">
        <v>25</v>
      </c>
      <c r="P42" s="823" t="s">
        <v>26</v>
      </c>
      <c r="Q42" s="823" t="s">
        <v>27</v>
      </c>
      <c r="R42" s="823" t="s">
        <v>28</v>
      </c>
      <c r="S42" s="824" t="s">
        <v>29</v>
      </c>
      <c r="T42" s="823" t="s">
        <v>30</v>
      </c>
      <c r="AI42" s="262"/>
      <c r="AJ42" s="262"/>
      <c r="AK42" s="69"/>
    </row>
    <row r="43" spans="1:37" ht="16.5">
      <c r="A43" s="1062">
        <f t="shared" si="1"/>
        <v>44501</v>
      </c>
      <c r="B43" s="521">
        <v>44509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400A4</v>
      </c>
      <c r="I43" s="519">
        <v>2021</v>
      </c>
      <c r="J43" s="520" t="s">
        <v>596</v>
      </c>
      <c r="K43" s="520" t="s">
        <v>2309</v>
      </c>
      <c r="L43" s="520" t="s">
        <v>1317</v>
      </c>
      <c r="M43" s="520" t="s">
        <v>2312</v>
      </c>
      <c r="N43" s="520">
        <v>5343</v>
      </c>
      <c r="O43" s="521">
        <v>44399</v>
      </c>
      <c r="P43" s="521">
        <v>44390</v>
      </c>
      <c r="Q43" s="521" t="s">
        <v>2313</v>
      </c>
      <c r="R43" s="521" t="s">
        <v>2314</v>
      </c>
      <c r="S43" s="520">
        <v>215.96</v>
      </c>
      <c r="T43" s="520">
        <v>164</v>
      </c>
      <c r="U43" s="68">
        <f>VLOOKUP(T43,DescontosTE[[#All],[idsreag supridora]:[codsariSUP]],2,FALSE)</f>
        <v>400</v>
      </c>
      <c r="AI43" s="262"/>
      <c r="AJ43" s="262"/>
      <c r="AK43" s="69"/>
    </row>
    <row r="44" spans="1:37" ht="16.5">
      <c r="A44" s="1062">
        <f t="shared" si="1"/>
        <v>44531</v>
      </c>
      <c r="B44" s="521">
        <v>44538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str">
        <f t="shared" ref="H44:H59" si="2">CONCATENATE(U44,J44)</f>
        <v>396A4</v>
      </c>
      <c r="I44" s="519">
        <v>2022</v>
      </c>
      <c r="J44" s="520" t="s">
        <v>596</v>
      </c>
      <c r="K44" s="520" t="s">
        <v>2309</v>
      </c>
      <c r="L44" s="520" t="s">
        <v>1317</v>
      </c>
      <c r="M44" s="520" t="s">
        <v>2312</v>
      </c>
      <c r="N44" s="520">
        <v>5343</v>
      </c>
      <c r="O44" s="521">
        <v>44734</v>
      </c>
      <c r="P44" s="521">
        <v>44732</v>
      </c>
      <c r="Q44" s="521" t="s">
        <v>2307</v>
      </c>
      <c r="R44" s="521" t="s">
        <v>2308</v>
      </c>
      <c r="S44" s="520">
        <v>273.92</v>
      </c>
      <c r="T44" s="520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62">
        <f t="shared" si="1"/>
        <v>44562</v>
      </c>
      <c r="B45" s="521">
        <v>44566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62">
        <f t="shared" si="1"/>
        <v>44593</v>
      </c>
      <c r="B46" s="521">
        <v>44599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62">
        <f t="shared" si="1"/>
        <v>44621</v>
      </c>
      <c r="B47" s="521">
        <v>44629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62">
        <f t="shared" si="1"/>
        <v>44652</v>
      </c>
      <c r="B48" s="521">
        <v>44657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62">
        <f t="shared" si="1"/>
        <v>44682</v>
      </c>
      <c r="B49" s="521">
        <v>44691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62">
        <f t="shared" si="1"/>
        <v>44713</v>
      </c>
      <c r="B50" s="521">
        <v>44718</v>
      </c>
      <c r="C50" s="545">
        <v>741274.69830000005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62">
        <f t="shared" si="1"/>
        <v>44743</v>
      </c>
      <c r="B51" s="521">
        <v>44749</v>
      </c>
      <c r="C51" s="545">
        <v>60107.207199999997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62">
        <f t="shared" si="1"/>
        <v>1</v>
      </c>
      <c r="B52" s="521"/>
      <c r="C52" s="545"/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62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62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62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748800.9760169402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62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62">
        <f t="shared" si="1"/>
        <v>1</v>
      </c>
      <c r="B57" s="1063"/>
      <c r="C57" s="862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64"/>
      <c r="J59" s="1065"/>
      <c r="K59" s="1065"/>
      <c r="L59" s="1065"/>
      <c r="M59" s="1065"/>
      <c r="N59" s="1065"/>
      <c r="O59" s="1065"/>
      <c r="P59" s="1065"/>
      <c r="Q59" s="1063"/>
      <c r="R59" s="1063"/>
      <c r="S59" s="1063"/>
      <c r="T59" s="1065"/>
      <c r="U59" s="68" t="e">
        <f>VLOOKUP(T59,DescontosTE[[#All],[idsreag supridora]:[codsariSUP]],2,FALSE)</f>
        <v>#N/A</v>
      </c>
    </row>
    <row r="60" spans="1:21">
      <c r="B60" s="1058" t="s">
        <v>75</v>
      </c>
      <c r="C60" s="72"/>
    </row>
    <row r="61" spans="1:21" ht="16.5">
      <c r="B61" s="1066" t="s">
        <v>771</v>
      </c>
      <c r="C61" s="863">
        <v>0</v>
      </c>
      <c r="D61" s="68">
        <v>0</v>
      </c>
    </row>
    <row r="62" spans="1:21" ht="16.5">
      <c r="B62" s="721" t="s">
        <v>773</v>
      </c>
      <c r="C62" s="545">
        <v>0</v>
      </c>
      <c r="D62" s="69">
        <v>0</v>
      </c>
    </row>
    <row r="63" spans="1:21" ht="16.5">
      <c r="B63" s="721" t="s">
        <v>775</v>
      </c>
      <c r="C63" s="545">
        <v>0</v>
      </c>
      <c r="D63" s="69">
        <v>0</v>
      </c>
    </row>
    <row r="64" spans="1:21" ht="16.5">
      <c r="B64" s="721" t="s">
        <v>776</v>
      </c>
      <c r="C64" s="545">
        <v>2958.51</v>
      </c>
      <c r="D64" s="69">
        <v>0</v>
      </c>
    </row>
    <row r="65" spans="2:4" ht="16.5">
      <c r="B65" s="721" t="s">
        <v>779</v>
      </c>
      <c r="C65" s="545">
        <v>314391.77</v>
      </c>
      <c r="D65" s="69">
        <v>0</v>
      </c>
    </row>
    <row r="66" spans="2:4" ht="16.5">
      <c r="B66" s="1067" t="s">
        <v>781</v>
      </c>
      <c r="C66" s="862">
        <v>63097.54</v>
      </c>
      <c r="D66" s="69">
        <v>0</v>
      </c>
    </row>
    <row r="70" spans="2:4">
      <c r="B70" s="993" t="s">
        <v>72</v>
      </c>
      <c r="C70" s="993" t="s">
        <v>37</v>
      </c>
      <c r="D70" s="993" t="s">
        <v>73</v>
      </c>
    </row>
    <row r="71" spans="2:4">
      <c r="B71" s="907" t="s">
        <v>49</v>
      </c>
      <c r="C71" s="1650"/>
      <c r="D71" s="908"/>
    </row>
    <row r="72" spans="2:4">
      <c r="B72" s="907" t="s">
        <v>842</v>
      </c>
      <c r="C72" s="1650"/>
      <c r="D72" s="908"/>
    </row>
    <row r="73" spans="2:4">
      <c r="B73" s="907" t="s">
        <v>2172</v>
      </c>
      <c r="C73" s="1650"/>
      <c r="D73" s="908"/>
    </row>
    <row r="74" spans="2:4">
      <c r="B74" s="907" t="s">
        <v>2211</v>
      </c>
      <c r="C74" s="1650"/>
      <c r="D74" s="908"/>
    </row>
    <row r="75" spans="2:4">
      <c r="B75" s="907" t="s">
        <v>2212</v>
      </c>
      <c r="C75" s="1650"/>
      <c r="D75" s="908"/>
    </row>
    <row r="76" spans="2:4">
      <c r="B76" s="907" t="s">
        <v>2213</v>
      </c>
      <c r="C76" s="1650">
        <v>0</v>
      </c>
      <c r="D76" s="908"/>
    </row>
    <row r="77" spans="2:4">
      <c r="B77" s="907" t="s">
        <v>2214</v>
      </c>
      <c r="C77" s="1650">
        <v>0</v>
      </c>
      <c r="D77" s="908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6" bestFit="1" customWidth="1"/>
    <col min="2" max="2" width="71.42578125" style="886" bestFit="1" customWidth="1"/>
    <col min="3" max="3" width="9.5703125" style="886" customWidth="1"/>
    <col min="4" max="4" width="15.42578125" style="886" customWidth="1"/>
    <col min="5" max="5" width="8.85546875" style="886" customWidth="1"/>
    <col min="6" max="6" width="19.42578125" style="886" customWidth="1"/>
    <col min="7" max="7" width="17.7109375" style="886" customWidth="1"/>
    <col min="8" max="8" width="16.5703125" style="886" customWidth="1"/>
    <col min="9" max="10" width="12.7109375" style="886" customWidth="1"/>
    <col min="11" max="11" width="13.28515625" style="886" customWidth="1"/>
    <col min="12" max="13" width="12.7109375" style="886" customWidth="1"/>
    <col min="14" max="14" width="15.85546875" style="886" customWidth="1"/>
    <col min="15" max="16" width="12.7109375" style="886" customWidth="1"/>
    <col min="17" max="17" width="12" style="886" customWidth="1"/>
    <col min="18" max="18" width="12.7109375" style="886" customWidth="1"/>
    <col min="19" max="19" width="14.28515625" style="886" customWidth="1"/>
    <col min="20" max="20" width="12.7109375" style="886" customWidth="1"/>
    <col min="21" max="21" width="12" style="886" customWidth="1"/>
    <col min="22" max="22" width="16.85546875" style="886" customWidth="1"/>
    <col min="23" max="24" width="12.7109375" style="886" customWidth="1"/>
    <col min="25" max="25" width="12" style="886" customWidth="1"/>
    <col min="26" max="26" width="10.5703125" style="886" customWidth="1"/>
    <col min="27" max="27" width="10.5703125" style="886" bestFit="1" customWidth="1"/>
    <col min="28" max="28" width="9.85546875" style="886" bestFit="1" customWidth="1"/>
    <col min="29" max="29" width="12" style="886" bestFit="1" customWidth="1"/>
    <col min="30" max="30" width="13.28515625" style="887" bestFit="1" customWidth="1"/>
    <col min="31" max="31" width="11.7109375" style="886" bestFit="1" customWidth="1"/>
    <col min="32" max="32" width="12.7109375" style="886" bestFit="1" customWidth="1"/>
    <col min="33" max="34" width="10.5703125" style="886" bestFit="1" customWidth="1"/>
    <col min="35" max="16384" width="9.140625" style="886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6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3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3">
        <v>44043</v>
      </c>
      <c r="AH2" s="888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3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3">
        <v>44055</v>
      </c>
      <c r="AH3" s="888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3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3">
        <v>44088</v>
      </c>
      <c r="AH4" s="888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3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3">
        <v>44117</v>
      </c>
      <c r="AH5" s="888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3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3">
        <v>44147</v>
      </c>
      <c r="AH6" s="888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3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3">
        <v>44179</v>
      </c>
      <c r="AH7" s="888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3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3">
        <v>44193</v>
      </c>
      <c r="AH8" s="888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3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3">
        <v>44208</v>
      </c>
      <c r="AH9" s="888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3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3">
        <v>44043</v>
      </c>
      <c r="AH10" s="888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3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3">
        <v>44055</v>
      </c>
      <c r="AH11" s="888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3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3">
        <v>44088</v>
      </c>
      <c r="AH12" s="888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3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3">
        <v>44117</v>
      </c>
      <c r="AH13" s="888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3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3">
        <v>44147</v>
      </c>
      <c r="AH14" s="888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3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3">
        <v>44179</v>
      </c>
      <c r="AH15" s="888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3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3">
        <v>44193</v>
      </c>
      <c r="AH16" s="888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3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3">
        <v>44208</v>
      </c>
      <c r="AH17" s="888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3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3">
        <v>44043</v>
      </c>
      <c r="AH18" s="888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3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3">
        <v>44055</v>
      </c>
      <c r="AH19" s="888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3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3">
        <v>44088</v>
      </c>
      <c r="AH20" s="888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3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3">
        <v>44117</v>
      </c>
      <c r="AH21" s="888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3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3">
        <v>44147</v>
      </c>
      <c r="AH22" s="888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3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3">
        <v>44179</v>
      </c>
      <c r="AH23" s="888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3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3">
        <v>44193</v>
      </c>
      <c r="AH24" s="888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3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3">
        <v>44208</v>
      </c>
      <c r="AH25" s="888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3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3">
        <v>44043</v>
      </c>
      <c r="AH26" s="888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3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3">
        <v>44055</v>
      </c>
      <c r="AH27" s="888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3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3">
        <v>44088</v>
      </c>
      <c r="AH28" s="888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3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3">
        <v>44117</v>
      </c>
      <c r="AH29" s="888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3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3">
        <v>44147</v>
      </c>
      <c r="AH30" s="888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3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3">
        <v>44179</v>
      </c>
      <c r="AH31" s="888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3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3">
        <v>44193</v>
      </c>
      <c r="AH32" s="888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3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3">
        <v>44208</v>
      </c>
      <c r="AH33" s="888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3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3">
        <v>44043</v>
      </c>
      <c r="AH34" s="888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3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3">
        <v>44055</v>
      </c>
      <c r="AH35" s="888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3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3">
        <v>44088</v>
      </c>
      <c r="AH36" s="888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3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3">
        <v>44117</v>
      </c>
      <c r="AH37" s="888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3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3">
        <v>44147</v>
      </c>
      <c r="AH38" s="888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3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3">
        <v>44179</v>
      </c>
      <c r="AH39" s="888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3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3">
        <v>44193</v>
      </c>
      <c r="AH40" s="888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3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3">
        <v>44208</v>
      </c>
      <c r="AH41" s="888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3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3">
        <v>44043</v>
      </c>
      <c r="AH42" s="888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3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3">
        <v>44055</v>
      </c>
      <c r="AH43" s="888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3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3">
        <v>44088</v>
      </c>
      <c r="AH44" s="888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3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3">
        <v>44117</v>
      </c>
      <c r="AH45" s="888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3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3">
        <v>44147</v>
      </c>
      <c r="AH46" s="888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3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3">
        <v>44179</v>
      </c>
      <c r="AH47" s="888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3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3">
        <v>44193</v>
      </c>
      <c r="AH48" s="888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3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3">
        <v>44208</v>
      </c>
      <c r="AH49" s="888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3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3">
        <v>44043</v>
      </c>
      <c r="AH50" s="888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3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3">
        <v>44055</v>
      </c>
      <c r="AH51" s="888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3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3">
        <v>44088</v>
      </c>
      <c r="AH52" s="888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3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3">
        <v>44117</v>
      </c>
      <c r="AH53" s="888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3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3">
        <v>44147</v>
      </c>
      <c r="AH54" s="888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3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3">
        <v>44179</v>
      </c>
      <c r="AH55" s="888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3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3">
        <v>44193</v>
      </c>
      <c r="AH56" s="888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3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3">
        <v>44208</v>
      </c>
      <c r="AH57" s="888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3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3">
        <v>44043</v>
      </c>
      <c r="AH58" s="888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3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3">
        <v>44055</v>
      </c>
      <c r="AH59" s="888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3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3">
        <v>44088</v>
      </c>
      <c r="AH60" s="888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3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3">
        <v>44117</v>
      </c>
      <c r="AH61" s="888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3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3">
        <v>44147</v>
      </c>
      <c r="AH62" s="888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3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3">
        <v>44179</v>
      </c>
      <c r="AH63" s="888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3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3">
        <v>44193</v>
      </c>
      <c r="AH64" s="888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3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3">
        <v>44208</v>
      </c>
      <c r="AH65" s="888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3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3">
        <v>44043</v>
      </c>
      <c r="AH66" s="888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3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3">
        <v>44055</v>
      </c>
      <c r="AH67" s="888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3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3">
        <v>44088</v>
      </c>
      <c r="AH68" s="888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3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3">
        <v>44117</v>
      </c>
      <c r="AH69" s="888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3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3">
        <v>44147</v>
      </c>
      <c r="AH70" s="888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3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3">
        <v>44179</v>
      </c>
      <c r="AH71" s="888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3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3">
        <v>44193</v>
      </c>
      <c r="AH72" s="888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3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3">
        <v>44208</v>
      </c>
      <c r="AH73" s="888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3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3">
        <v>44043</v>
      </c>
      <c r="AH74" s="888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3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3">
        <v>44055</v>
      </c>
      <c r="AH75" s="888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3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3">
        <v>44088</v>
      </c>
      <c r="AH76" s="888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3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3">
        <v>44117</v>
      </c>
      <c r="AH77" s="888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3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3">
        <v>44147</v>
      </c>
      <c r="AH78" s="888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3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3">
        <v>44179</v>
      </c>
      <c r="AH79" s="888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3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3">
        <v>44193</v>
      </c>
      <c r="AH80" s="888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3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3">
        <v>44208</v>
      </c>
      <c r="AH81" s="888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3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3">
        <v>44043</v>
      </c>
      <c r="AH82" s="888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3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3">
        <v>44055</v>
      </c>
      <c r="AH83" s="888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3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3">
        <v>44088</v>
      </c>
      <c r="AH84" s="888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3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3">
        <v>44117</v>
      </c>
      <c r="AH85" s="888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3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3">
        <v>44147</v>
      </c>
      <c r="AH86" s="888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3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3">
        <v>44179</v>
      </c>
      <c r="AH87" s="888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3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3">
        <v>44193</v>
      </c>
      <c r="AH88" s="888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3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3">
        <v>44208</v>
      </c>
      <c r="AH89" s="888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3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3">
        <v>44043</v>
      </c>
      <c r="AH90" s="888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3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3">
        <v>44055</v>
      </c>
      <c r="AH91" s="888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3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3">
        <v>44088</v>
      </c>
      <c r="AH92" s="888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3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3">
        <v>44117</v>
      </c>
      <c r="AH93" s="888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3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3">
        <v>44147</v>
      </c>
      <c r="AH94" s="888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3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3">
        <v>44179</v>
      </c>
      <c r="AH95" s="888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3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3">
        <v>44193</v>
      </c>
      <c r="AH96" s="888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3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3">
        <v>44208</v>
      </c>
      <c r="AH97" s="888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3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3">
        <v>44043</v>
      </c>
      <c r="AH98" s="888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3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3">
        <v>44055</v>
      </c>
      <c r="AH99" s="888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3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3">
        <v>44088</v>
      </c>
      <c r="AH100" s="888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3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3">
        <v>44117</v>
      </c>
      <c r="AH101" s="888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3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3">
        <v>44147</v>
      </c>
      <c r="AH102" s="888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3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3">
        <v>44179</v>
      </c>
      <c r="AH103" s="888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3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3">
        <v>44193</v>
      </c>
      <c r="AH104" s="888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3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3">
        <v>44208</v>
      </c>
      <c r="AH105" s="888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3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3">
        <v>44043</v>
      </c>
      <c r="AH106" s="888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3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3">
        <v>44055</v>
      </c>
      <c r="AH107" s="888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3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3">
        <v>44088</v>
      </c>
      <c r="AH108" s="888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3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3">
        <v>44117</v>
      </c>
      <c r="AH109" s="888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3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3">
        <v>44147</v>
      </c>
      <c r="AH110" s="888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3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3">
        <v>44179</v>
      </c>
      <c r="AH111" s="888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3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3">
        <v>44193</v>
      </c>
      <c r="AH112" s="888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3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3">
        <v>44208</v>
      </c>
      <c r="AH113" s="888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3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3">
        <v>44043</v>
      </c>
      <c r="AH114" s="888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3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3">
        <v>44055</v>
      </c>
      <c r="AH115" s="888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3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3">
        <v>44088</v>
      </c>
      <c r="AH116" s="888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3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3">
        <v>44117</v>
      </c>
      <c r="AH117" s="888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3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3">
        <v>44147</v>
      </c>
      <c r="AH118" s="888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3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3">
        <v>44179</v>
      </c>
      <c r="AH119" s="888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3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3">
        <v>44193</v>
      </c>
      <c r="AH120" s="888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3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3">
        <v>44208</v>
      </c>
      <c r="AH121" s="888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3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3">
        <v>44043</v>
      </c>
      <c r="AH122" s="888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3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3">
        <v>44055</v>
      </c>
      <c r="AH123" s="888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3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3">
        <v>44088</v>
      </c>
      <c r="AH124" s="888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3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3">
        <v>44117</v>
      </c>
      <c r="AH125" s="888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3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3">
        <v>44147</v>
      </c>
      <c r="AH126" s="888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3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3">
        <v>44179</v>
      </c>
      <c r="AH127" s="888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3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3">
        <v>44193</v>
      </c>
      <c r="AH128" s="888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3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3">
        <v>44208</v>
      </c>
      <c r="AH129" s="888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3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3">
        <v>44043</v>
      </c>
      <c r="AH130" s="888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3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3">
        <v>44055</v>
      </c>
      <c r="AH131" s="888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3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3">
        <v>44088</v>
      </c>
      <c r="AH132" s="888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3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3">
        <v>44117</v>
      </c>
      <c r="AH133" s="888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3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3">
        <v>44147</v>
      </c>
      <c r="AH134" s="888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3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3">
        <v>44179</v>
      </c>
      <c r="AH135" s="888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3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3">
        <v>44193</v>
      </c>
      <c r="AH136" s="888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3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3">
        <v>44208</v>
      </c>
      <c r="AH137" s="888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3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3">
        <v>44043</v>
      </c>
      <c r="AH138" s="888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3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3">
        <v>44055</v>
      </c>
      <c r="AH139" s="888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3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3">
        <v>44088</v>
      </c>
      <c r="AH140" s="888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3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3">
        <v>44117</v>
      </c>
      <c r="AH141" s="888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3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3">
        <v>44147</v>
      </c>
      <c r="AH142" s="888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3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3">
        <v>44179</v>
      </c>
      <c r="AH143" s="888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3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3">
        <v>44193</v>
      </c>
      <c r="AH144" s="888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3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3">
        <v>44208</v>
      </c>
      <c r="AH145" s="888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3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3">
        <v>44043</v>
      </c>
      <c r="AH146" s="888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3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3">
        <v>44055</v>
      </c>
      <c r="AH147" s="888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3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3">
        <v>44088</v>
      </c>
      <c r="AH148" s="888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3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3">
        <v>44117</v>
      </c>
      <c r="AH149" s="888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3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3">
        <v>44147</v>
      </c>
      <c r="AH150" s="888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3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3">
        <v>44179</v>
      </c>
      <c r="AH151" s="888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3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3">
        <v>44193</v>
      </c>
      <c r="AH152" s="888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3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3">
        <v>44208</v>
      </c>
      <c r="AH153" s="888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3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3">
        <v>44043</v>
      </c>
      <c r="AH154" s="888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3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3">
        <v>44055</v>
      </c>
      <c r="AH155" s="888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3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3">
        <v>44088</v>
      </c>
      <c r="AH156" s="888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3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3">
        <v>44117</v>
      </c>
      <c r="AH157" s="888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3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3">
        <v>44147</v>
      </c>
      <c r="AH158" s="888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3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3">
        <v>44179</v>
      </c>
      <c r="AH159" s="888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3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3">
        <v>44193</v>
      </c>
      <c r="AH160" s="888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3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3">
        <v>44208</v>
      </c>
      <c r="AH161" s="888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3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3">
        <v>44043</v>
      </c>
      <c r="AH162" s="888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3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3">
        <v>44055</v>
      </c>
      <c r="AH163" s="888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3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3">
        <v>44088</v>
      </c>
      <c r="AH164" s="888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3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3">
        <v>44117</v>
      </c>
      <c r="AH165" s="888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3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3">
        <v>44147</v>
      </c>
      <c r="AH166" s="888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3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3">
        <v>44179</v>
      </c>
      <c r="AH167" s="888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3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3">
        <v>44193</v>
      </c>
      <c r="AH168" s="888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3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3">
        <v>44208</v>
      </c>
      <c r="AH169" s="888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3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3">
        <v>44043</v>
      </c>
      <c r="AH170" s="888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3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3">
        <v>44055</v>
      </c>
      <c r="AH171" s="888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3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3">
        <v>44088</v>
      </c>
      <c r="AH172" s="888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3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3">
        <v>44117</v>
      </c>
      <c r="AH173" s="888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3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3">
        <v>44147</v>
      </c>
      <c r="AH174" s="888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3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3">
        <v>44179</v>
      </c>
      <c r="AH175" s="888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3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3">
        <v>44193</v>
      </c>
      <c r="AH176" s="888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3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3">
        <v>44208</v>
      </c>
      <c r="AH177" s="888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3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3">
        <v>44043</v>
      </c>
      <c r="AH178" s="888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3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3">
        <v>44055</v>
      </c>
      <c r="AH179" s="888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3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3">
        <v>44088</v>
      </c>
      <c r="AH180" s="888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3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3">
        <v>44117</v>
      </c>
      <c r="AH181" s="888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3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3">
        <v>44147</v>
      </c>
      <c r="AH182" s="888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3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3">
        <v>44179</v>
      </c>
      <c r="AH183" s="888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3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3">
        <v>44193</v>
      </c>
      <c r="AH184" s="888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3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3">
        <v>44208</v>
      </c>
      <c r="AH185" s="888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3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3">
        <v>44043</v>
      </c>
      <c r="AH186" s="888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3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3">
        <v>44055</v>
      </c>
      <c r="AH187" s="888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3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3">
        <v>44088</v>
      </c>
      <c r="AH188" s="888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3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3">
        <v>44117</v>
      </c>
      <c r="AH189" s="888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3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3">
        <v>44147</v>
      </c>
      <c r="AH190" s="888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3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3">
        <v>44179</v>
      </c>
      <c r="AH191" s="888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3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3">
        <v>44193</v>
      </c>
      <c r="AH192" s="888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3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3">
        <v>44208</v>
      </c>
      <c r="AH193" s="888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3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3">
        <v>44043</v>
      </c>
      <c r="AH194" s="888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3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3">
        <v>44055</v>
      </c>
      <c r="AH195" s="888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3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3">
        <v>44088</v>
      </c>
      <c r="AH196" s="888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3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3">
        <v>44117</v>
      </c>
      <c r="AH197" s="888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3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3">
        <v>44147</v>
      </c>
      <c r="AH198" s="888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3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3">
        <v>44179</v>
      </c>
      <c r="AH199" s="888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3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3">
        <v>44193</v>
      </c>
      <c r="AH200" s="888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3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3">
        <v>44208</v>
      </c>
      <c r="AH201" s="888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3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3">
        <v>44043</v>
      </c>
      <c r="AH202" s="888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3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3">
        <v>44055</v>
      </c>
      <c r="AH203" s="888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3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3">
        <v>44088</v>
      </c>
      <c r="AH204" s="888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3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3">
        <v>44117</v>
      </c>
      <c r="AH205" s="888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3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3">
        <v>44147</v>
      </c>
      <c r="AH206" s="888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3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3">
        <v>44179</v>
      </c>
      <c r="AH207" s="888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3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3">
        <v>44193</v>
      </c>
      <c r="AH208" s="888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3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3">
        <v>44208</v>
      </c>
      <c r="AH209" s="888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3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3">
        <v>44043</v>
      </c>
      <c r="AH210" s="888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3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3">
        <v>44055</v>
      </c>
      <c r="AH211" s="888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3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3">
        <v>44088</v>
      </c>
      <c r="AH212" s="888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3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3">
        <v>44117</v>
      </c>
      <c r="AH213" s="888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3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3">
        <v>44147</v>
      </c>
      <c r="AH214" s="888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3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3">
        <v>44179</v>
      </c>
      <c r="AH215" s="888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3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3">
        <v>44193</v>
      </c>
      <c r="AH216" s="888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3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3">
        <v>44208</v>
      </c>
      <c r="AH217" s="888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3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3">
        <v>44043</v>
      </c>
      <c r="AH218" s="888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3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3">
        <v>44055</v>
      </c>
      <c r="AH219" s="888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3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3">
        <v>44088</v>
      </c>
      <c r="AH220" s="888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3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3">
        <v>44117</v>
      </c>
      <c r="AH221" s="888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3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3">
        <v>44147</v>
      </c>
      <c r="AH222" s="888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3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3">
        <v>44179</v>
      </c>
      <c r="AH223" s="888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3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3">
        <v>44193</v>
      </c>
      <c r="AH224" s="888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3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3">
        <v>44208</v>
      </c>
      <c r="AH225" s="888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3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3">
        <v>44043</v>
      </c>
      <c r="AH226" s="888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3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3">
        <v>44055</v>
      </c>
      <c r="AH227" s="888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3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3">
        <v>44088</v>
      </c>
      <c r="AH228" s="888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3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3">
        <v>44117</v>
      </c>
      <c r="AH229" s="888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3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3">
        <v>44147</v>
      </c>
      <c r="AH230" s="888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3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3">
        <v>44179</v>
      </c>
      <c r="AH231" s="888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3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3">
        <v>44193</v>
      </c>
      <c r="AH232" s="888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3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3">
        <v>44208</v>
      </c>
      <c r="AH233" s="888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3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3">
        <v>44043</v>
      </c>
      <c r="AH234" s="888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3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3">
        <v>44055</v>
      </c>
      <c r="AH235" s="888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3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3">
        <v>44088</v>
      </c>
      <c r="AH236" s="888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3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3">
        <v>44117</v>
      </c>
      <c r="AH237" s="888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3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3">
        <v>44147</v>
      </c>
      <c r="AH238" s="888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3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3">
        <v>44179</v>
      </c>
      <c r="AH239" s="888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3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3">
        <v>44193</v>
      </c>
      <c r="AH240" s="888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3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3">
        <v>44208</v>
      </c>
      <c r="AH241" s="888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3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3">
        <v>44043</v>
      </c>
      <c r="AH242" s="888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3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3">
        <v>44055</v>
      </c>
      <c r="AH243" s="888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3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3">
        <v>44088</v>
      </c>
      <c r="AH244" s="888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3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3">
        <v>44117</v>
      </c>
      <c r="AH245" s="888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3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3">
        <v>44147</v>
      </c>
      <c r="AH246" s="888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3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3">
        <v>44179</v>
      </c>
      <c r="AH247" s="888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3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3">
        <v>44193</v>
      </c>
      <c r="AH248" s="888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3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3">
        <v>44208</v>
      </c>
      <c r="AH249" s="888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3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3">
        <v>44043</v>
      </c>
      <c r="AH250" s="888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3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3">
        <v>44055</v>
      </c>
      <c r="AH251" s="888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3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3">
        <v>44088</v>
      </c>
      <c r="AH252" s="888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3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3">
        <v>44117</v>
      </c>
      <c r="AH253" s="888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3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3">
        <v>44147</v>
      </c>
      <c r="AH254" s="888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3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3">
        <v>44179</v>
      </c>
      <c r="AH255" s="888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3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3">
        <v>44193</v>
      </c>
      <c r="AH256" s="888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3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3">
        <v>44208</v>
      </c>
      <c r="AH257" s="888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3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3">
        <v>44043</v>
      </c>
      <c r="AH258" s="888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3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3">
        <v>44055</v>
      </c>
      <c r="AH259" s="888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3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3">
        <v>44088</v>
      </c>
      <c r="AH260" s="888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3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3">
        <v>44117</v>
      </c>
      <c r="AH261" s="888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3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3">
        <v>44147</v>
      </c>
      <c r="AH262" s="888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3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3">
        <v>44179</v>
      </c>
      <c r="AH263" s="888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3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3">
        <v>44193</v>
      </c>
      <c r="AH264" s="888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3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3">
        <v>44208</v>
      </c>
      <c r="AH265" s="888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3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3">
        <v>44043</v>
      </c>
      <c r="AH266" s="888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3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3">
        <v>44055</v>
      </c>
      <c r="AH267" s="888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3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3">
        <v>44088</v>
      </c>
      <c r="AH268" s="888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3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3">
        <v>44117</v>
      </c>
      <c r="AH269" s="888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3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3">
        <v>44147</v>
      </c>
      <c r="AH270" s="888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3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3">
        <v>44179</v>
      </c>
      <c r="AH271" s="888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3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3">
        <v>44193</v>
      </c>
      <c r="AH272" s="888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3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3">
        <v>44208</v>
      </c>
      <c r="AH273" s="888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3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8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3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8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3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8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3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8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3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8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3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8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3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8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3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8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3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8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3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8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3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8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3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8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3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8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3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8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3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8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3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8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3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3">
        <v>44043</v>
      </c>
      <c r="AH290" s="888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3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3">
        <v>44055</v>
      </c>
      <c r="AH291" s="888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3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3">
        <v>44088</v>
      </c>
      <c r="AH292" s="888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3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3">
        <v>44117</v>
      </c>
      <c r="AH293" s="888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3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3">
        <v>44147</v>
      </c>
      <c r="AH294" s="888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3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3">
        <v>44179</v>
      </c>
      <c r="AH295" s="888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3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3">
        <v>44193</v>
      </c>
      <c r="AH296" s="888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3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3">
        <v>44208</v>
      </c>
      <c r="AH297" s="888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3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3">
        <v>44043</v>
      </c>
      <c r="AH298" s="888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3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3">
        <v>44055</v>
      </c>
      <c r="AH299" s="888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3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3">
        <v>44088</v>
      </c>
      <c r="AH300" s="888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3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3">
        <v>44117</v>
      </c>
      <c r="AH301" s="888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3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3">
        <v>44147</v>
      </c>
      <c r="AH302" s="888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3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3">
        <v>44179</v>
      </c>
      <c r="AH303" s="888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3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3">
        <v>44193</v>
      </c>
      <c r="AH304" s="888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3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3">
        <v>44208</v>
      </c>
      <c r="AH305" s="888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3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3">
        <v>44043</v>
      </c>
      <c r="AH306" s="888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3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3">
        <v>44055</v>
      </c>
      <c r="AH307" s="888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3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3">
        <v>44088</v>
      </c>
      <c r="AH308" s="888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3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3">
        <v>44117</v>
      </c>
      <c r="AH309" s="888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3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3">
        <v>44147</v>
      </c>
      <c r="AH310" s="888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3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3">
        <v>44179</v>
      </c>
      <c r="AH311" s="888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3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3">
        <v>44193</v>
      </c>
      <c r="AH312" s="888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3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3">
        <v>44208</v>
      </c>
      <c r="AH313" s="888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3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3">
        <v>44043</v>
      </c>
      <c r="AH314" s="888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3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3">
        <v>44055</v>
      </c>
      <c r="AH315" s="888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3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3">
        <v>44088</v>
      </c>
      <c r="AH316" s="888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3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3">
        <v>44117</v>
      </c>
      <c r="AH317" s="888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3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3">
        <v>44147</v>
      </c>
      <c r="AH318" s="888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3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3">
        <v>44179</v>
      </c>
      <c r="AH319" s="888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3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3">
        <v>44193</v>
      </c>
      <c r="AH320" s="888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3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3">
        <v>44208</v>
      </c>
      <c r="AH321" s="888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3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8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3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8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3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8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3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8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3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8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3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8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3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8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3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8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3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8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3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8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3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8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3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8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3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8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3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8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3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8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3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8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3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8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3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8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3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8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3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8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3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8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3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8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3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8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3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8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3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8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3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8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13">
        <v>-3012884.08</v>
      </c>
      <c r="H348" s="234" t="s">
        <v>138</v>
      </c>
      <c r="I348" s="893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8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3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8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3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8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3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8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3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8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3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8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3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8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3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8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3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8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3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8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3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8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3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8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3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8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3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8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3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8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3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8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3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8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3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8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3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8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3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8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3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8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3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8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3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8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3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8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3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8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3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8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3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8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3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8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3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8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3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8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3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3">
        <v>44043</v>
      </c>
      <c r="AH378" s="888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3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3">
        <v>44055</v>
      </c>
      <c r="AH379" s="888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3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3">
        <v>44088</v>
      </c>
      <c r="AH380" s="888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3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3">
        <v>44117</v>
      </c>
      <c r="AH381" s="888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3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3">
        <v>44147</v>
      </c>
      <c r="AH382" s="888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3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3">
        <v>44179</v>
      </c>
      <c r="AH383" s="888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3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3">
        <v>44193</v>
      </c>
      <c r="AH384" s="888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3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3">
        <v>44208</v>
      </c>
      <c r="AH385" s="888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3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3">
        <v>44043</v>
      </c>
      <c r="AH386" s="888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3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3">
        <v>44055</v>
      </c>
      <c r="AH387" s="888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3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3">
        <v>44088</v>
      </c>
      <c r="AH388" s="888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3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3">
        <v>44117</v>
      </c>
      <c r="AH389" s="888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3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3">
        <v>44147</v>
      </c>
      <c r="AH390" s="888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3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3">
        <v>44179</v>
      </c>
      <c r="AH391" s="888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3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3">
        <v>44193</v>
      </c>
      <c r="AH392" s="888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3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3">
        <v>44208</v>
      </c>
      <c r="AH393" s="888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3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3">
        <v>44043</v>
      </c>
      <c r="AH394" s="888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3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3">
        <v>44055</v>
      </c>
      <c r="AH395" s="888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3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3">
        <v>44088</v>
      </c>
      <c r="AH396" s="888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3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3">
        <v>44117</v>
      </c>
      <c r="AH397" s="888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3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3">
        <v>44147</v>
      </c>
      <c r="AH398" s="888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3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3">
        <v>44179</v>
      </c>
      <c r="AH399" s="888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3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3">
        <v>44193</v>
      </c>
      <c r="AH400" s="888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3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3">
        <v>44208</v>
      </c>
      <c r="AH401" s="888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3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3">
        <v>44043</v>
      </c>
      <c r="AH402" s="888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3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3">
        <v>44055</v>
      </c>
      <c r="AH403" s="888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3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3">
        <v>44088</v>
      </c>
      <c r="AH404" s="888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3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3">
        <v>44117</v>
      </c>
      <c r="AH405" s="888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3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3">
        <v>44147</v>
      </c>
      <c r="AH406" s="888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3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3">
        <v>44179</v>
      </c>
      <c r="AH407" s="888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3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3">
        <v>44193</v>
      </c>
      <c r="AH408" s="888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3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3">
        <v>44208</v>
      </c>
      <c r="AH409" s="888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3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3">
        <v>44043</v>
      </c>
      <c r="AH410" s="888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3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3">
        <v>44055</v>
      </c>
      <c r="AH411" s="888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3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3">
        <v>44088</v>
      </c>
      <c r="AH412" s="888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3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3">
        <v>44117</v>
      </c>
      <c r="AH413" s="888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3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3">
        <v>44147</v>
      </c>
      <c r="AH414" s="888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3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3">
        <v>44179</v>
      </c>
      <c r="AH415" s="888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3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3">
        <v>44193</v>
      </c>
      <c r="AH416" s="888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3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3">
        <v>44208</v>
      </c>
      <c r="AH417" s="888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3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3">
        <v>44043</v>
      </c>
      <c r="AH418" s="888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3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3">
        <v>44055</v>
      </c>
      <c r="AH419" s="888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3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3">
        <v>44088</v>
      </c>
      <c r="AH420" s="888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3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3">
        <v>44117</v>
      </c>
      <c r="AH421" s="888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3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3">
        <v>44147</v>
      </c>
      <c r="AH422" s="888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3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3">
        <v>44179</v>
      </c>
      <c r="AH423" s="888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3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3">
        <v>44193</v>
      </c>
      <c r="AH424" s="888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3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3">
        <v>44208</v>
      </c>
      <c r="AH425" s="888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3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8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3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8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3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8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3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8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3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8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3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8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3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8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3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8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3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3">
        <v>44043</v>
      </c>
      <c r="AH434" s="888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3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3">
        <v>44055</v>
      </c>
      <c r="AH435" s="888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3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3">
        <v>44088</v>
      </c>
      <c r="AH436" s="888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3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3">
        <v>44117</v>
      </c>
      <c r="AH437" s="888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3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3">
        <v>44147</v>
      </c>
      <c r="AH438" s="888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3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3">
        <v>44179</v>
      </c>
      <c r="AH439" s="888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3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3">
        <v>44193</v>
      </c>
      <c r="AH440" s="888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3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3">
        <v>44208</v>
      </c>
      <c r="AH441" s="888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3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3">
        <v>44043</v>
      </c>
      <c r="AH442" s="888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3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3">
        <v>44055</v>
      </c>
      <c r="AH443" s="888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3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3">
        <v>44088</v>
      </c>
      <c r="AH444" s="888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3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3">
        <v>44117</v>
      </c>
      <c r="AH445" s="888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3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3">
        <v>44147</v>
      </c>
      <c r="AH446" s="888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3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3">
        <v>44179</v>
      </c>
      <c r="AH447" s="888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3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3">
        <v>44193</v>
      </c>
      <c r="AH448" s="888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3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3">
        <v>44208</v>
      </c>
      <c r="AH449" s="888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3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3">
        <v>44043</v>
      </c>
      <c r="AH450" s="888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3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3">
        <v>44055</v>
      </c>
      <c r="AH451" s="888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3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3">
        <v>44088</v>
      </c>
      <c r="AH452" s="888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3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3">
        <v>44117</v>
      </c>
      <c r="AH453" s="888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3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3">
        <v>44147</v>
      </c>
      <c r="AH454" s="888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3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3">
        <v>44179</v>
      </c>
      <c r="AH455" s="888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3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3">
        <v>44193</v>
      </c>
      <c r="AH456" s="888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3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3">
        <v>44208</v>
      </c>
      <c r="AH457" s="888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3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3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3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3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3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3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3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3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3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3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3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3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3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3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3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3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3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3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3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3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3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3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3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3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3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3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3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3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3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3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3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3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3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3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3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3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3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3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3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3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3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3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3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3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3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3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3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3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3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3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3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3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3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3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3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3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3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3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3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3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3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3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3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3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7"/>
  <sheetViews>
    <sheetView topLeftCell="M1" zoomScale="70" zoomScaleNormal="70" workbookViewId="0">
      <selection activeCell="T11" sqref="T1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2315</v>
      </c>
      <c r="B2" t="s">
        <v>2316</v>
      </c>
      <c r="C2" t="s">
        <v>2310</v>
      </c>
      <c r="D2" t="s">
        <v>2311</v>
      </c>
      <c r="E2" t="s">
        <v>2173</v>
      </c>
      <c r="F2">
        <v>202104</v>
      </c>
      <c r="G2" t="s">
        <v>215</v>
      </c>
      <c r="H2">
        <v>0</v>
      </c>
      <c r="J2" s="754">
        <f>CAPA!K12</f>
        <v>5343</v>
      </c>
      <c r="K2" s="754" t="s">
        <v>216</v>
      </c>
      <c r="L2" s="754" t="str">
        <f>"&gt;="&amp;K6</f>
        <v>&gt;=202107</v>
      </c>
      <c r="M2" s="754" t="str">
        <f>"&lt;="&amp;K7</f>
        <v>&lt;=202206</v>
      </c>
      <c r="O2" t="s">
        <v>2315</v>
      </c>
      <c r="P2" t="s">
        <v>2316</v>
      </c>
      <c r="Q2" t="s">
        <v>2310</v>
      </c>
      <c r="R2" t="s">
        <v>2311</v>
      </c>
      <c r="S2" t="s">
        <v>2173</v>
      </c>
      <c r="T2">
        <v>202107</v>
      </c>
      <c r="U2" t="s">
        <v>217</v>
      </c>
      <c r="V2">
        <v>17296.34</v>
      </c>
      <c r="X2" t="s">
        <v>2310</v>
      </c>
      <c r="Y2" t="s">
        <v>2311</v>
      </c>
      <c r="Z2" t="s">
        <v>2173</v>
      </c>
      <c r="AB2" t="s">
        <v>2310</v>
      </c>
      <c r="AC2" t="s">
        <v>2311</v>
      </c>
      <c r="AD2" t="s">
        <v>2173</v>
      </c>
      <c r="AE2" t="s">
        <v>217</v>
      </c>
      <c r="AH2" t="s">
        <v>2310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2315</v>
      </c>
      <c r="B3" t="s">
        <v>2316</v>
      </c>
      <c r="C3" t="s">
        <v>2310</v>
      </c>
      <c r="D3" t="s">
        <v>2311</v>
      </c>
      <c r="E3" t="s">
        <v>2173</v>
      </c>
      <c r="F3">
        <v>202105</v>
      </c>
      <c r="G3" t="s">
        <v>215</v>
      </c>
      <c r="H3">
        <v>0</v>
      </c>
      <c r="J3" s="754">
        <f>J2</f>
        <v>5343</v>
      </c>
      <c r="K3" s="754" t="s">
        <v>218</v>
      </c>
      <c r="L3" s="754" t="str">
        <f>L2</f>
        <v>&gt;=202107</v>
      </c>
      <c r="M3" s="754" t="str">
        <f>M2</f>
        <v>&lt;=202206</v>
      </c>
      <c r="O3" t="s">
        <v>2315</v>
      </c>
      <c r="P3" t="s">
        <v>2316</v>
      </c>
      <c r="Q3" t="s">
        <v>2310</v>
      </c>
      <c r="R3" t="s">
        <v>2311</v>
      </c>
      <c r="S3" t="s">
        <v>2173</v>
      </c>
      <c r="T3">
        <v>202107</v>
      </c>
      <c r="U3" t="s">
        <v>219</v>
      </c>
      <c r="V3">
        <v>17090.78</v>
      </c>
      <c r="X3" t="s">
        <v>2317</v>
      </c>
      <c r="Y3" t="s">
        <v>2318</v>
      </c>
      <c r="Z3" t="s">
        <v>2173</v>
      </c>
      <c r="AB3" t="s">
        <v>2310</v>
      </c>
      <c r="AC3" t="s">
        <v>2311</v>
      </c>
      <c r="AD3" t="s">
        <v>2173</v>
      </c>
      <c r="AE3" t="s">
        <v>219</v>
      </c>
      <c r="AH3" t="s">
        <v>2317</v>
      </c>
      <c r="AI3">
        <f t="shared" ref="AI3:AI8" si="0">_xlfn.MAXIFS(F:F,C:C,AH3)</f>
        <v>202206</v>
      </c>
      <c r="AJ3">
        <f>IFERROR(ROUND((DATE(ROUND($K$7/100,0),$K$7-ROUND($K$7/100,0)*100,1)-DATE(ROUND(AI3/100,0),AI3-ROUND(AI3/100,0)*100,1))/30,0),"Nada")</f>
        <v>0</v>
      </c>
    </row>
    <row r="4" spans="1:36">
      <c r="A4" t="s">
        <v>2315</v>
      </c>
      <c r="B4" t="s">
        <v>2316</v>
      </c>
      <c r="C4" t="s">
        <v>2310</v>
      </c>
      <c r="D4" t="s">
        <v>2311</v>
      </c>
      <c r="E4" t="s">
        <v>2173</v>
      </c>
      <c r="F4">
        <v>202106</v>
      </c>
      <c r="G4" t="s">
        <v>215</v>
      </c>
      <c r="H4">
        <v>-4976.38</v>
      </c>
      <c r="J4" s="756">
        <f>J3</f>
        <v>5343</v>
      </c>
      <c r="K4" s="754" t="s">
        <v>220</v>
      </c>
      <c r="L4" s="755" t="str">
        <f>L2</f>
        <v>&gt;=202107</v>
      </c>
      <c r="M4" s="755" t="str">
        <f>M2</f>
        <v>&lt;=202206</v>
      </c>
      <c r="O4" t="s">
        <v>2315</v>
      </c>
      <c r="P4" t="s">
        <v>2316</v>
      </c>
      <c r="Q4" t="s">
        <v>2310</v>
      </c>
      <c r="R4" t="s">
        <v>2311</v>
      </c>
      <c r="S4" t="s">
        <v>2173</v>
      </c>
      <c r="T4">
        <v>202108</v>
      </c>
      <c r="U4" t="s">
        <v>217</v>
      </c>
      <c r="V4">
        <v>15999.3</v>
      </c>
      <c r="AB4" t="s">
        <v>2317</v>
      </c>
      <c r="AC4" t="s">
        <v>2318</v>
      </c>
      <c r="AD4" t="s">
        <v>2173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2315</v>
      </c>
      <c r="B5" t="s">
        <v>2316</v>
      </c>
      <c r="C5" t="s">
        <v>2310</v>
      </c>
      <c r="D5" t="s">
        <v>2311</v>
      </c>
      <c r="E5" t="s">
        <v>2173</v>
      </c>
      <c r="F5">
        <v>202107</v>
      </c>
      <c r="G5" t="s">
        <v>215</v>
      </c>
      <c r="H5">
        <v>-22982.83</v>
      </c>
      <c r="J5" s="756">
        <f>J4</f>
        <v>5343</v>
      </c>
      <c r="K5" s="995" t="s">
        <v>222</v>
      </c>
      <c r="L5" s="755" t="str">
        <f>L3</f>
        <v>&gt;=202107</v>
      </c>
      <c r="M5" s="755" t="str">
        <f>M3</f>
        <v>&lt;=202206</v>
      </c>
      <c r="O5" t="s">
        <v>2315</v>
      </c>
      <c r="P5" t="s">
        <v>2316</v>
      </c>
      <c r="Q5" t="s">
        <v>2310</v>
      </c>
      <c r="R5" t="s">
        <v>2311</v>
      </c>
      <c r="S5" t="s">
        <v>2173</v>
      </c>
      <c r="T5">
        <v>202108</v>
      </c>
      <c r="U5" t="s">
        <v>219</v>
      </c>
      <c r="V5">
        <v>17289.97</v>
      </c>
      <c r="AB5" t="s">
        <v>2317</v>
      </c>
      <c r="AC5" t="s">
        <v>2318</v>
      </c>
      <c r="AD5" t="s">
        <v>2173</v>
      </c>
      <c r="AE5" t="s">
        <v>219</v>
      </c>
      <c r="AI5">
        <f t="shared" si="0"/>
        <v>0</v>
      </c>
      <c r="AJ5" t="str">
        <f t="shared" si="1"/>
        <v>Nada</v>
      </c>
    </row>
    <row r="6" spans="1:36">
      <c r="A6" t="s">
        <v>2315</v>
      </c>
      <c r="B6" t="s">
        <v>2316</v>
      </c>
      <c r="C6" t="s">
        <v>2310</v>
      </c>
      <c r="D6" t="s">
        <v>2311</v>
      </c>
      <c r="E6" t="s">
        <v>2173</v>
      </c>
      <c r="F6">
        <v>202108</v>
      </c>
      <c r="G6" t="s">
        <v>215</v>
      </c>
      <c r="H6">
        <v>-4998.08</v>
      </c>
      <c r="J6" t="s">
        <v>224</v>
      </c>
      <c r="K6">
        <f>(YEAR(SAS_RA0_DataInicio)*100+MONTH(SAS_RA0_DataInicio))</f>
        <v>202107</v>
      </c>
      <c r="O6" t="s">
        <v>2315</v>
      </c>
      <c r="P6" t="s">
        <v>2316</v>
      </c>
      <c r="Q6" t="s">
        <v>2310</v>
      </c>
      <c r="R6" t="s">
        <v>2311</v>
      </c>
      <c r="S6" t="s">
        <v>2173</v>
      </c>
      <c r="T6">
        <v>202109</v>
      </c>
      <c r="U6" t="s">
        <v>217</v>
      </c>
      <c r="V6">
        <v>15883.26</v>
      </c>
      <c r="AB6" t="s">
        <v>2310</v>
      </c>
      <c r="AC6" t="s">
        <v>2311</v>
      </c>
      <c r="AD6" t="s">
        <v>2173</v>
      </c>
      <c r="AE6" t="s">
        <v>221</v>
      </c>
      <c r="AI6">
        <f t="shared" si="0"/>
        <v>0</v>
      </c>
      <c r="AJ6" t="str">
        <f t="shared" si="1"/>
        <v>Nada</v>
      </c>
    </row>
    <row r="7" spans="1:36">
      <c r="A7" t="s">
        <v>2315</v>
      </c>
      <c r="B7" t="s">
        <v>2316</v>
      </c>
      <c r="C7" t="s">
        <v>2310</v>
      </c>
      <c r="D7" t="s">
        <v>2311</v>
      </c>
      <c r="E7" t="s">
        <v>2173</v>
      </c>
      <c r="F7">
        <v>202109</v>
      </c>
      <c r="G7" t="s">
        <v>215</v>
      </c>
      <c r="H7">
        <v>-33283.06</v>
      </c>
      <c r="J7" t="s">
        <v>226</v>
      </c>
      <c r="K7">
        <f>YEAR(SAS_RA0_DataFim)*100+MONTH(SAS_RA0_DataFim)</f>
        <v>202206</v>
      </c>
      <c r="O7" t="s">
        <v>2315</v>
      </c>
      <c r="P7" t="s">
        <v>2316</v>
      </c>
      <c r="Q7" t="s">
        <v>2310</v>
      </c>
      <c r="R7" t="s">
        <v>2311</v>
      </c>
      <c r="S7" t="s">
        <v>2173</v>
      </c>
      <c r="T7">
        <v>202109</v>
      </c>
      <c r="U7" t="s">
        <v>219</v>
      </c>
      <c r="V7">
        <v>16333.25</v>
      </c>
      <c r="AB7" t="s">
        <v>2310</v>
      </c>
      <c r="AC7" t="s">
        <v>2311</v>
      </c>
      <c r="AD7" t="s">
        <v>2173</v>
      </c>
      <c r="AE7" t="s">
        <v>223</v>
      </c>
      <c r="AI7">
        <f t="shared" si="0"/>
        <v>0</v>
      </c>
      <c r="AJ7" t="str">
        <f t="shared" si="1"/>
        <v>Nada</v>
      </c>
    </row>
    <row r="8" spans="1:36">
      <c r="A8" t="s">
        <v>2315</v>
      </c>
      <c r="B8" t="s">
        <v>2316</v>
      </c>
      <c r="C8" t="s">
        <v>2310</v>
      </c>
      <c r="D8" t="s">
        <v>2311</v>
      </c>
      <c r="E8" t="s">
        <v>2173</v>
      </c>
      <c r="F8">
        <v>202110</v>
      </c>
      <c r="G8" t="s">
        <v>215</v>
      </c>
      <c r="H8">
        <v>-31501.03</v>
      </c>
      <c r="J8" t="s">
        <v>227</v>
      </c>
      <c r="K8" s="661">
        <f>MAX(AI:AI)</f>
        <v>202206</v>
      </c>
      <c r="O8" t="s">
        <v>2315</v>
      </c>
      <c r="P8" t="s">
        <v>2316</v>
      </c>
      <c r="Q8" t="s">
        <v>2310</v>
      </c>
      <c r="R8" t="s">
        <v>2311</v>
      </c>
      <c r="S8" t="s">
        <v>2173</v>
      </c>
      <c r="T8">
        <v>202110</v>
      </c>
      <c r="U8" t="s">
        <v>217</v>
      </c>
      <c r="V8">
        <v>21312.65</v>
      </c>
      <c r="AB8" t="s">
        <v>2310</v>
      </c>
      <c r="AC8" t="s">
        <v>2311</v>
      </c>
      <c r="AD8" t="s">
        <v>2173</v>
      </c>
      <c r="AE8" t="s">
        <v>225</v>
      </c>
      <c r="AI8">
        <f t="shared" si="0"/>
        <v>0</v>
      </c>
      <c r="AJ8" t="str">
        <f t="shared" si="1"/>
        <v>Nada</v>
      </c>
    </row>
    <row r="9" spans="1:36">
      <c r="A9" t="s">
        <v>2315</v>
      </c>
      <c r="B9" t="s">
        <v>2316</v>
      </c>
      <c r="C9" t="s">
        <v>2310</v>
      </c>
      <c r="D9" t="s">
        <v>2311</v>
      </c>
      <c r="E9" t="s">
        <v>2173</v>
      </c>
      <c r="F9">
        <v>202111</v>
      </c>
      <c r="G9" t="s">
        <v>215</v>
      </c>
      <c r="H9">
        <v>-63112.78</v>
      </c>
      <c r="J9" t="s">
        <v>229</v>
      </c>
      <c r="K9" s="661">
        <f>MAX(AJ:AJ)</f>
        <v>1</v>
      </c>
      <c r="O9" t="s">
        <v>2315</v>
      </c>
      <c r="P9" t="s">
        <v>2316</v>
      </c>
      <c r="Q9" t="s">
        <v>2310</v>
      </c>
      <c r="R9" t="s">
        <v>2311</v>
      </c>
      <c r="S9" t="s">
        <v>2173</v>
      </c>
      <c r="T9">
        <v>202110</v>
      </c>
      <c r="U9" t="s">
        <v>219</v>
      </c>
      <c r="V9">
        <v>20035.8</v>
      </c>
      <c r="AB9" t="s">
        <v>2317</v>
      </c>
      <c r="AC9" t="s">
        <v>2318</v>
      </c>
      <c r="AD9" t="s">
        <v>2173</v>
      </c>
      <c r="AE9" t="s">
        <v>221</v>
      </c>
    </row>
    <row r="10" spans="1:36">
      <c r="A10" t="s">
        <v>2315</v>
      </c>
      <c r="B10" t="s">
        <v>2316</v>
      </c>
      <c r="C10" t="s">
        <v>2310</v>
      </c>
      <c r="D10" t="s">
        <v>2311</v>
      </c>
      <c r="E10" t="s">
        <v>2173</v>
      </c>
      <c r="F10">
        <v>202112</v>
      </c>
      <c r="G10" t="s">
        <v>215</v>
      </c>
      <c r="H10">
        <v>-3544.91</v>
      </c>
      <c r="O10" t="s">
        <v>2315</v>
      </c>
      <c r="P10" t="s">
        <v>2316</v>
      </c>
      <c r="Q10" t="s">
        <v>2310</v>
      </c>
      <c r="R10" t="s">
        <v>2311</v>
      </c>
      <c r="S10" t="s">
        <v>2173</v>
      </c>
      <c r="T10">
        <v>202111</v>
      </c>
      <c r="U10" t="s">
        <v>217</v>
      </c>
      <c r="V10">
        <v>24193.81</v>
      </c>
      <c r="AB10" t="s">
        <v>2317</v>
      </c>
      <c r="AC10" t="s">
        <v>2318</v>
      </c>
      <c r="AD10" t="s">
        <v>2173</v>
      </c>
      <c r="AE10" t="s">
        <v>223</v>
      </c>
    </row>
    <row r="11" spans="1:36">
      <c r="A11" t="s">
        <v>2315</v>
      </c>
      <c r="B11" t="s">
        <v>2316</v>
      </c>
      <c r="C11" t="s">
        <v>2310</v>
      </c>
      <c r="D11" t="s">
        <v>2311</v>
      </c>
      <c r="E11" t="s">
        <v>2173</v>
      </c>
      <c r="F11">
        <v>202201</v>
      </c>
      <c r="G11" t="s">
        <v>215</v>
      </c>
      <c r="H11">
        <v>-222900.15</v>
      </c>
      <c r="J11" s="819">
        <f>VALUE(A2)</f>
        <v>5343</v>
      </c>
      <c r="O11" t="s">
        <v>2315</v>
      </c>
      <c r="P11" t="s">
        <v>2316</v>
      </c>
      <c r="Q11" t="s">
        <v>2310</v>
      </c>
      <c r="R11" t="s">
        <v>2311</v>
      </c>
      <c r="S11" t="s">
        <v>2173</v>
      </c>
      <c r="T11">
        <v>202111</v>
      </c>
      <c r="U11" t="s">
        <v>219</v>
      </c>
      <c r="V11">
        <v>22686.959999999999</v>
      </c>
      <c r="AB11" t="s">
        <v>2317</v>
      </c>
      <c r="AC11" t="s">
        <v>2318</v>
      </c>
      <c r="AD11" t="s">
        <v>2173</v>
      </c>
      <c r="AE11" t="s">
        <v>225</v>
      </c>
    </row>
    <row r="12" spans="1:36">
      <c r="A12" t="s">
        <v>2315</v>
      </c>
      <c r="B12" t="s">
        <v>2316</v>
      </c>
      <c r="C12" t="s">
        <v>2310</v>
      </c>
      <c r="D12" t="s">
        <v>2311</v>
      </c>
      <c r="E12" t="s">
        <v>2173</v>
      </c>
      <c r="F12">
        <v>202202</v>
      </c>
      <c r="G12" t="s">
        <v>215</v>
      </c>
      <c r="H12">
        <v>-149120.51</v>
      </c>
      <c r="K12" s="8"/>
      <c r="O12" t="s">
        <v>2315</v>
      </c>
      <c r="P12" t="s">
        <v>2316</v>
      </c>
      <c r="Q12" t="s">
        <v>2310</v>
      </c>
      <c r="R12" t="s">
        <v>2311</v>
      </c>
      <c r="S12" t="s">
        <v>2173</v>
      </c>
      <c r="T12">
        <v>202112</v>
      </c>
      <c r="U12" t="s">
        <v>217</v>
      </c>
      <c r="V12">
        <v>28109.87</v>
      </c>
    </row>
    <row r="13" spans="1:36">
      <c r="A13" t="s">
        <v>2315</v>
      </c>
      <c r="B13" t="s">
        <v>2316</v>
      </c>
      <c r="C13" t="s">
        <v>2310</v>
      </c>
      <c r="D13" t="s">
        <v>2311</v>
      </c>
      <c r="E13" t="s">
        <v>2173</v>
      </c>
      <c r="F13">
        <v>202203</v>
      </c>
      <c r="G13" t="s">
        <v>215</v>
      </c>
      <c r="H13">
        <v>-75792.05</v>
      </c>
      <c r="O13" t="s">
        <v>2315</v>
      </c>
      <c r="P13" t="s">
        <v>2316</v>
      </c>
      <c r="Q13" t="s">
        <v>2310</v>
      </c>
      <c r="R13" t="s">
        <v>2311</v>
      </c>
      <c r="S13" t="s">
        <v>2173</v>
      </c>
      <c r="T13">
        <v>202112</v>
      </c>
      <c r="U13" t="s">
        <v>219</v>
      </c>
      <c r="V13">
        <v>27093.06</v>
      </c>
    </row>
    <row r="14" spans="1:36">
      <c r="A14" t="s">
        <v>2315</v>
      </c>
      <c r="B14" t="s">
        <v>2316</v>
      </c>
      <c r="C14" t="s">
        <v>2310</v>
      </c>
      <c r="D14" t="s">
        <v>2311</v>
      </c>
      <c r="E14" t="s">
        <v>2173</v>
      </c>
      <c r="F14">
        <v>202204</v>
      </c>
      <c r="G14" t="s">
        <v>215</v>
      </c>
      <c r="H14">
        <v>-77764.28</v>
      </c>
      <c r="O14" t="s">
        <v>2315</v>
      </c>
      <c r="P14" t="s">
        <v>2316</v>
      </c>
      <c r="Q14" t="s">
        <v>2310</v>
      </c>
      <c r="R14" t="s">
        <v>2311</v>
      </c>
      <c r="S14" t="s">
        <v>2173</v>
      </c>
      <c r="T14">
        <v>202201</v>
      </c>
      <c r="U14" t="s">
        <v>217</v>
      </c>
      <c r="V14">
        <v>30939.38</v>
      </c>
    </row>
    <row r="15" spans="1:36">
      <c r="A15" t="s">
        <v>2315</v>
      </c>
      <c r="B15" t="s">
        <v>2316</v>
      </c>
      <c r="C15" t="s">
        <v>2310</v>
      </c>
      <c r="D15" t="s">
        <v>2311</v>
      </c>
      <c r="E15" t="s">
        <v>2173</v>
      </c>
      <c r="F15">
        <v>202205</v>
      </c>
      <c r="G15" t="s">
        <v>215</v>
      </c>
      <c r="H15">
        <v>-12200.33</v>
      </c>
      <c r="O15" t="s">
        <v>2315</v>
      </c>
      <c r="P15" t="s">
        <v>2316</v>
      </c>
      <c r="Q15" t="s">
        <v>2310</v>
      </c>
      <c r="R15" t="s">
        <v>2311</v>
      </c>
      <c r="S15" t="s">
        <v>2173</v>
      </c>
      <c r="T15">
        <v>202201</v>
      </c>
      <c r="U15" t="s">
        <v>219</v>
      </c>
      <c r="V15">
        <v>28605.51</v>
      </c>
    </row>
    <row r="16" spans="1:36">
      <c r="A16" t="s">
        <v>2315</v>
      </c>
      <c r="B16" t="s">
        <v>2316</v>
      </c>
      <c r="C16" t="s">
        <v>2317</v>
      </c>
      <c r="D16" t="s">
        <v>2318</v>
      </c>
      <c r="E16" t="s">
        <v>2173</v>
      </c>
      <c r="F16">
        <v>202104</v>
      </c>
      <c r="G16" t="s">
        <v>215</v>
      </c>
      <c r="H16">
        <v>0</v>
      </c>
      <c r="O16" t="s">
        <v>2315</v>
      </c>
      <c r="P16" t="s">
        <v>2316</v>
      </c>
      <c r="Q16" t="s">
        <v>2310</v>
      </c>
      <c r="R16" t="s">
        <v>2311</v>
      </c>
      <c r="S16" t="s">
        <v>2173</v>
      </c>
      <c r="T16">
        <v>202202</v>
      </c>
      <c r="U16" t="s">
        <v>217</v>
      </c>
      <c r="V16">
        <v>27181.040000000001</v>
      </c>
    </row>
    <row r="17" spans="1:22">
      <c r="A17" t="s">
        <v>2315</v>
      </c>
      <c r="B17" t="s">
        <v>2316</v>
      </c>
      <c r="C17" t="s">
        <v>2317</v>
      </c>
      <c r="D17" t="s">
        <v>2318</v>
      </c>
      <c r="E17" t="s">
        <v>2173</v>
      </c>
      <c r="F17">
        <v>202105</v>
      </c>
      <c r="G17" t="s">
        <v>215</v>
      </c>
      <c r="H17">
        <v>0</v>
      </c>
      <c r="O17" t="s">
        <v>2315</v>
      </c>
      <c r="P17" t="s">
        <v>2316</v>
      </c>
      <c r="Q17" t="s">
        <v>2310</v>
      </c>
      <c r="R17" t="s">
        <v>2311</v>
      </c>
      <c r="S17" t="s">
        <v>2173</v>
      </c>
      <c r="T17">
        <v>202202</v>
      </c>
      <c r="U17" t="s">
        <v>219</v>
      </c>
      <c r="V17">
        <v>25670.36</v>
      </c>
    </row>
    <row r="18" spans="1:22">
      <c r="A18" t="s">
        <v>2315</v>
      </c>
      <c r="B18" t="s">
        <v>2316</v>
      </c>
      <c r="C18" t="s">
        <v>2317</v>
      </c>
      <c r="D18" t="s">
        <v>2318</v>
      </c>
      <c r="E18" t="s">
        <v>2173</v>
      </c>
      <c r="F18">
        <v>202106</v>
      </c>
      <c r="G18" t="s">
        <v>215</v>
      </c>
      <c r="H18">
        <v>-211.9</v>
      </c>
      <c r="O18" t="s">
        <v>2315</v>
      </c>
      <c r="P18" t="s">
        <v>2316</v>
      </c>
      <c r="Q18" t="s">
        <v>2310</v>
      </c>
      <c r="R18" t="s">
        <v>2311</v>
      </c>
      <c r="S18" t="s">
        <v>2173</v>
      </c>
      <c r="T18">
        <v>202203</v>
      </c>
      <c r="U18" t="s">
        <v>217</v>
      </c>
      <c r="V18">
        <v>23289.06</v>
      </c>
    </row>
    <row r="19" spans="1:22">
      <c r="A19" t="s">
        <v>2315</v>
      </c>
      <c r="B19" t="s">
        <v>2316</v>
      </c>
      <c r="C19" t="s">
        <v>2317</v>
      </c>
      <c r="D19" t="s">
        <v>2318</v>
      </c>
      <c r="E19" t="s">
        <v>2173</v>
      </c>
      <c r="F19">
        <v>202107</v>
      </c>
      <c r="G19" t="s">
        <v>215</v>
      </c>
      <c r="H19">
        <v>-13.56</v>
      </c>
      <c r="O19" t="s">
        <v>2315</v>
      </c>
      <c r="P19" t="s">
        <v>2316</v>
      </c>
      <c r="Q19" t="s">
        <v>2310</v>
      </c>
      <c r="R19" t="s">
        <v>2311</v>
      </c>
      <c r="S19" t="s">
        <v>2173</v>
      </c>
      <c r="T19">
        <v>202203</v>
      </c>
      <c r="U19" t="s">
        <v>219</v>
      </c>
      <c r="V19">
        <v>23892.52</v>
      </c>
    </row>
    <row r="20" spans="1:22">
      <c r="A20" t="s">
        <v>2315</v>
      </c>
      <c r="B20" t="s">
        <v>2316</v>
      </c>
      <c r="C20" t="s">
        <v>2317</v>
      </c>
      <c r="D20" t="s">
        <v>2318</v>
      </c>
      <c r="E20" t="s">
        <v>2173</v>
      </c>
      <c r="F20">
        <v>202108</v>
      </c>
      <c r="G20" t="s">
        <v>215</v>
      </c>
      <c r="H20">
        <v>-56.09</v>
      </c>
      <c r="O20" t="s">
        <v>2315</v>
      </c>
      <c r="P20" t="s">
        <v>2316</v>
      </c>
      <c r="Q20" t="s">
        <v>2310</v>
      </c>
      <c r="R20" t="s">
        <v>2311</v>
      </c>
      <c r="S20" t="s">
        <v>2173</v>
      </c>
      <c r="T20">
        <v>202204</v>
      </c>
      <c r="U20" t="s">
        <v>217</v>
      </c>
      <c r="V20">
        <v>21401.06</v>
      </c>
    </row>
    <row r="21" spans="1:22">
      <c r="A21" t="s">
        <v>2315</v>
      </c>
      <c r="B21" t="s">
        <v>2316</v>
      </c>
      <c r="C21" t="s">
        <v>2317</v>
      </c>
      <c r="D21" t="s">
        <v>2318</v>
      </c>
      <c r="E21" t="s">
        <v>2173</v>
      </c>
      <c r="F21">
        <v>202109</v>
      </c>
      <c r="G21" t="s">
        <v>215</v>
      </c>
      <c r="H21">
        <v>0</v>
      </c>
      <c r="O21" t="s">
        <v>2315</v>
      </c>
      <c r="P21" t="s">
        <v>2316</v>
      </c>
      <c r="Q21" t="s">
        <v>2310</v>
      </c>
      <c r="R21" t="s">
        <v>2311</v>
      </c>
      <c r="S21" t="s">
        <v>2173</v>
      </c>
      <c r="T21">
        <v>202204</v>
      </c>
      <c r="U21" t="s">
        <v>219</v>
      </c>
      <c r="V21">
        <v>21201.27</v>
      </c>
    </row>
    <row r="22" spans="1:22">
      <c r="A22" t="s">
        <v>2315</v>
      </c>
      <c r="B22" t="s">
        <v>2316</v>
      </c>
      <c r="C22" t="s">
        <v>2317</v>
      </c>
      <c r="D22" t="s">
        <v>2318</v>
      </c>
      <c r="E22" t="s">
        <v>2173</v>
      </c>
      <c r="F22">
        <v>202110</v>
      </c>
      <c r="G22" t="s">
        <v>215</v>
      </c>
      <c r="H22">
        <v>0</v>
      </c>
      <c r="O22" t="s">
        <v>2315</v>
      </c>
      <c r="P22" t="s">
        <v>2316</v>
      </c>
      <c r="Q22" t="s">
        <v>2310</v>
      </c>
      <c r="R22" t="s">
        <v>2311</v>
      </c>
      <c r="S22" t="s">
        <v>2173</v>
      </c>
      <c r="T22">
        <v>202205</v>
      </c>
      <c r="U22" t="s">
        <v>217</v>
      </c>
      <c r="V22">
        <v>21659.67</v>
      </c>
    </row>
    <row r="23" spans="1:22">
      <c r="A23" t="s">
        <v>2315</v>
      </c>
      <c r="B23" t="s">
        <v>2316</v>
      </c>
      <c r="C23" t="s">
        <v>2317</v>
      </c>
      <c r="D23" t="s">
        <v>2318</v>
      </c>
      <c r="E23" t="s">
        <v>2173</v>
      </c>
      <c r="F23">
        <v>202111</v>
      </c>
      <c r="G23" t="s">
        <v>215</v>
      </c>
      <c r="H23">
        <v>0</v>
      </c>
      <c r="O23" t="s">
        <v>2315</v>
      </c>
      <c r="P23" t="s">
        <v>2316</v>
      </c>
      <c r="Q23" t="s">
        <v>2310</v>
      </c>
      <c r="R23" t="s">
        <v>2311</v>
      </c>
      <c r="S23" t="s">
        <v>2173</v>
      </c>
      <c r="T23">
        <v>202205</v>
      </c>
      <c r="U23" t="s">
        <v>219</v>
      </c>
      <c r="V23">
        <v>21209.09</v>
      </c>
    </row>
    <row r="24" spans="1:22">
      <c r="A24" t="s">
        <v>2315</v>
      </c>
      <c r="B24" t="s">
        <v>2316</v>
      </c>
      <c r="C24" t="s">
        <v>2317</v>
      </c>
      <c r="D24" t="s">
        <v>2318</v>
      </c>
      <c r="E24" t="s">
        <v>2173</v>
      </c>
      <c r="F24">
        <v>202112</v>
      </c>
      <c r="G24" t="s">
        <v>215</v>
      </c>
      <c r="H24">
        <v>0</v>
      </c>
      <c r="O24" t="s">
        <v>2315</v>
      </c>
      <c r="P24" t="s">
        <v>2316</v>
      </c>
      <c r="Q24" t="s">
        <v>2317</v>
      </c>
      <c r="R24" t="s">
        <v>2318</v>
      </c>
      <c r="S24" t="s">
        <v>2173</v>
      </c>
      <c r="T24">
        <v>202107</v>
      </c>
      <c r="U24" t="s">
        <v>217</v>
      </c>
      <c r="V24">
        <v>1083</v>
      </c>
    </row>
    <row r="25" spans="1:22">
      <c r="A25" t="s">
        <v>2315</v>
      </c>
      <c r="B25" t="s">
        <v>2316</v>
      </c>
      <c r="C25" t="s">
        <v>2317</v>
      </c>
      <c r="D25" t="s">
        <v>2318</v>
      </c>
      <c r="E25" t="s">
        <v>2173</v>
      </c>
      <c r="F25">
        <v>202201</v>
      </c>
      <c r="G25" t="s">
        <v>215</v>
      </c>
      <c r="H25">
        <v>-1525.83</v>
      </c>
      <c r="O25" t="s">
        <v>2315</v>
      </c>
      <c r="P25" t="s">
        <v>2316</v>
      </c>
      <c r="Q25" t="s">
        <v>2317</v>
      </c>
      <c r="R25" t="s">
        <v>2318</v>
      </c>
      <c r="S25" t="s">
        <v>2173</v>
      </c>
      <c r="T25">
        <v>202107</v>
      </c>
      <c r="U25" t="s">
        <v>219</v>
      </c>
      <c r="V25">
        <v>1074</v>
      </c>
    </row>
    <row r="26" spans="1:22">
      <c r="A26" t="s">
        <v>2315</v>
      </c>
      <c r="B26" t="s">
        <v>2316</v>
      </c>
      <c r="C26" t="s">
        <v>2317</v>
      </c>
      <c r="D26" t="s">
        <v>2318</v>
      </c>
      <c r="E26" t="s">
        <v>2173</v>
      </c>
      <c r="F26">
        <v>202202</v>
      </c>
      <c r="G26" t="s">
        <v>215</v>
      </c>
      <c r="H26">
        <v>-15127.53</v>
      </c>
      <c r="O26" t="s">
        <v>2315</v>
      </c>
      <c r="P26" t="s">
        <v>2316</v>
      </c>
      <c r="Q26" t="s">
        <v>2317</v>
      </c>
      <c r="R26" t="s">
        <v>2318</v>
      </c>
      <c r="S26" t="s">
        <v>2173</v>
      </c>
      <c r="T26">
        <v>202108</v>
      </c>
      <c r="U26" t="s">
        <v>217</v>
      </c>
      <c r="V26">
        <v>1058</v>
      </c>
    </row>
    <row r="27" spans="1:22">
      <c r="A27" t="s">
        <v>2315</v>
      </c>
      <c r="B27" t="s">
        <v>2316</v>
      </c>
      <c r="C27" t="s">
        <v>2317</v>
      </c>
      <c r="D27" t="s">
        <v>2318</v>
      </c>
      <c r="E27" t="s">
        <v>2173</v>
      </c>
      <c r="F27">
        <v>202203</v>
      </c>
      <c r="G27" t="s">
        <v>215</v>
      </c>
      <c r="H27">
        <v>0</v>
      </c>
      <c r="O27" t="s">
        <v>2315</v>
      </c>
      <c r="P27" t="s">
        <v>2316</v>
      </c>
      <c r="Q27" t="s">
        <v>2317</v>
      </c>
      <c r="R27" t="s">
        <v>2318</v>
      </c>
      <c r="S27" t="s">
        <v>2173</v>
      </c>
      <c r="T27">
        <v>202108</v>
      </c>
      <c r="U27" t="s">
        <v>219</v>
      </c>
      <c r="V27">
        <v>1206</v>
      </c>
    </row>
    <row r="28" spans="1:22">
      <c r="A28" t="s">
        <v>2315</v>
      </c>
      <c r="B28" t="s">
        <v>2316</v>
      </c>
      <c r="C28" t="s">
        <v>2317</v>
      </c>
      <c r="D28" t="s">
        <v>2318</v>
      </c>
      <c r="E28" t="s">
        <v>2173</v>
      </c>
      <c r="F28">
        <v>202204</v>
      </c>
      <c r="G28" t="s">
        <v>215</v>
      </c>
      <c r="H28">
        <v>0</v>
      </c>
      <c r="O28" t="s">
        <v>2315</v>
      </c>
      <c r="P28" t="s">
        <v>2316</v>
      </c>
      <c r="Q28" t="s">
        <v>2317</v>
      </c>
      <c r="R28" t="s">
        <v>2318</v>
      </c>
      <c r="S28" t="s">
        <v>2173</v>
      </c>
      <c r="T28">
        <v>202109</v>
      </c>
      <c r="U28" t="s">
        <v>217</v>
      </c>
      <c r="V28">
        <v>1067</v>
      </c>
    </row>
    <row r="29" spans="1:22">
      <c r="A29" t="s">
        <v>2315</v>
      </c>
      <c r="B29" t="s">
        <v>2316</v>
      </c>
      <c r="C29" t="s">
        <v>2317</v>
      </c>
      <c r="D29" t="s">
        <v>2318</v>
      </c>
      <c r="E29" t="s">
        <v>2173</v>
      </c>
      <c r="F29">
        <v>202205</v>
      </c>
      <c r="G29" t="s">
        <v>215</v>
      </c>
      <c r="H29">
        <v>0</v>
      </c>
      <c r="O29" t="s">
        <v>2315</v>
      </c>
      <c r="P29" t="s">
        <v>2316</v>
      </c>
      <c r="Q29" t="s">
        <v>2317</v>
      </c>
      <c r="R29" t="s">
        <v>2318</v>
      </c>
      <c r="S29" t="s">
        <v>2173</v>
      </c>
      <c r="T29">
        <v>202109</v>
      </c>
      <c r="U29" t="s">
        <v>219</v>
      </c>
      <c r="V29">
        <v>1022</v>
      </c>
    </row>
    <row r="30" spans="1:22">
      <c r="A30" t="s">
        <v>2315</v>
      </c>
      <c r="B30" t="s">
        <v>2316</v>
      </c>
      <c r="C30" t="s">
        <v>2317</v>
      </c>
      <c r="D30" t="s">
        <v>2318</v>
      </c>
      <c r="E30" t="s">
        <v>2173</v>
      </c>
      <c r="F30">
        <v>202206</v>
      </c>
      <c r="G30" t="s">
        <v>215</v>
      </c>
      <c r="H30">
        <v>0</v>
      </c>
      <c r="O30" t="s">
        <v>2315</v>
      </c>
      <c r="P30" t="s">
        <v>2316</v>
      </c>
      <c r="Q30" t="s">
        <v>2317</v>
      </c>
      <c r="R30" t="s">
        <v>2318</v>
      </c>
      <c r="S30" t="s">
        <v>2173</v>
      </c>
      <c r="T30">
        <v>202110</v>
      </c>
      <c r="U30" t="s">
        <v>217</v>
      </c>
      <c r="V30">
        <v>1154</v>
      </c>
    </row>
    <row r="31" spans="1:22">
      <c r="A31" t="s">
        <v>2315</v>
      </c>
      <c r="B31" t="s">
        <v>2316</v>
      </c>
      <c r="C31" t="s">
        <v>2310</v>
      </c>
      <c r="D31" t="s">
        <v>2311</v>
      </c>
      <c r="E31" t="s">
        <v>2173</v>
      </c>
      <c r="F31">
        <v>202104</v>
      </c>
      <c r="G31" t="s">
        <v>228</v>
      </c>
      <c r="H31">
        <v>205497.4</v>
      </c>
      <c r="O31" t="s">
        <v>2315</v>
      </c>
      <c r="P31" t="s">
        <v>2316</v>
      </c>
      <c r="Q31" t="s">
        <v>2317</v>
      </c>
      <c r="R31" t="s">
        <v>2318</v>
      </c>
      <c r="S31" t="s">
        <v>2173</v>
      </c>
      <c r="T31">
        <v>202110</v>
      </c>
      <c r="U31" t="s">
        <v>219</v>
      </c>
      <c r="V31">
        <v>1327</v>
      </c>
    </row>
    <row r="32" spans="1:22">
      <c r="A32" t="s">
        <v>2315</v>
      </c>
      <c r="B32" t="s">
        <v>2316</v>
      </c>
      <c r="C32" t="s">
        <v>2310</v>
      </c>
      <c r="D32" t="s">
        <v>2311</v>
      </c>
      <c r="E32" t="s">
        <v>2173</v>
      </c>
      <c r="F32">
        <v>202105</v>
      </c>
      <c r="G32" t="s">
        <v>228</v>
      </c>
      <c r="H32">
        <v>157141.01</v>
      </c>
      <c r="O32" t="s">
        <v>2315</v>
      </c>
      <c r="P32" t="s">
        <v>2316</v>
      </c>
      <c r="Q32" t="s">
        <v>2317</v>
      </c>
      <c r="R32" t="s">
        <v>2318</v>
      </c>
      <c r="S32" t="s">
        <v>2173</v>
      </c>
      <c r="T32">
        <v>202111</v>
      </c>
      <c r="U32" t="s">
        <v>217</v>
      </c>
      <c r="V32">
        <v>1511</v>
      </c>
    </row>
    <row r="33" spans="1:22">
      <c r="A33" t="s">
        <v>2315</v>
      </c>
      <c r="B33" t="s">
        <v>2316</v>
      </c>
      <c r="C33" t="s">
        <v>2310</v>
      </c>
      <c r="D33" t="s">
        <v>2311</v>
      </c>
      <c r="E33" t="s">
        <v>2173</v>
      </c>
      <c r="F33">
        <v>202106</v>
      </c>
      <c r="G33" t="s">
        <v>228</v>
      </c>
      <c r="H33">
        <v>237798.62</v>
      </c>
      <c r="O33" t="s">
        <v>2315</v>
      </c>
      <c r="P33" t="s">
        <v>2316</v>
      </c>
      <c r="Q33" t="s">
        <v>2317</v>
      </c>
      <c r="R33" t="s">
        <v>2318</v>
      </c>
      <c r="S33" t="s">
        <v>2173</v>
      </c>
      <c r="T33">
        <v>202111</v>
      </c>
      <c r="U33" t="s">
        <v>219</v>
      </c>
      <c r="V33">
        <v>1479</v>
      </c>
    </row>
    <row r="34" spans="1:22">
      <c r="A34" t="s">
        <v>2315</v>
      </c>
      <c r="B34" t="s">
        <v>2316</v>
      </c>
      <c r="C34" t="s">
        <v>2310</v>
      </c>
      <c r="D34" t="s">
        <v>2311</v>
      </c>
      <c r="E34" t="s">
        <v>2173</v>
      </c>
      <c r="F34">
        <v>202107</v>
      </c>
      <c r="G34" t="s">
        <v>228</v>
      </c>
      <c r="H34">
        <v>144919.14000000001</v>
      </c>
      <c r="O34" t="s">
        <v>2315</v>
      </c>
      <c r="P34" t="s">
        <v>2316</v>
      </c>
      <c r="Q34" t="s">
        <v>2317</v>
      </c>
      <c r="R34" t="s">
        <v>2318</v>
      </c>
      <c r="S34" t="s">
        <v>2173</v>
      </c>
      <c r="T34">
        <v>202112</v>
      </c>
      <c r="U34" t="s">
        <v>217</v>
      </c>
      <c r="V34">
        <v>1813</v>
      </c>
    </row>
    <row r="35" spans="1:22">
      <c r="A35" t="s">
        <v>2315</v>
      </c>
      <c r="B35" t="s">
        <v>2316</v>
      </c>
      <c r="C35" t="s">
        <v>2310</v>
      </c>
      <c r="D35" t="s">
        <v>2311</v>
      </c>
      <c r="E35" t="s">
        <v>2173</v>
      </c>
      <c r="F35">
        <v>202108</v>
      </c>
      <c r="G35" t="s">
        <v>228</v>
      </c>
      <c r="H35">
        <v>158395.25</v>
      </c>
      <c r="O35" t="s">
        <v>2315</v>
      </c>
      <c r="P35" t="s">
        <v>2316</v>
      </c>
      <c r="Q35" t="s">
        <v>2317</v>
      </c>
      <c r="R35" t="s">
        <v>2318</v>
      </c>
      <c r="S35" t="s">
        <v>2173</v>
      </c>
      <c r="T35">
        <v>202112</v>
      </c>
      <c r="U35" t="s">
        <v>219</v>
      </c>
      <c r="V35">
        <v>1755</v>
      </c>
    </row>
    <row r="36" spans="1:22">
      <c r="A36" t="s">
        <v>2315</v>
      </c>
      <c r="B36" t="s">
        <v>2316</v>
      </c>
      <c r="C36" t="s">
        <v>2310</v>
      </c>
      <c r="D36" t="s">
        <v>2311</v>
      </c>
      <c r="E36" t="s">
        <v>2173</v>
      </c>
      <c r="F36">
        <v>202109</v>
      </c>
      <c r="G36" t="s">
        <v>228</v>
      </c>
      <c r="H36">
        <v>155086.07</v>
      </c>
      <c r="O36" t="s">
        <v>2315</v>
      </c>
      <c r="P36" t="s">
        <v>2316</v>
      </c>
      <c r="Q36" t="s">
        <v>2317</v>
      </c>
      <c r="R36" t="s">
        <v>2318</v>
      </c>
      <c r="S36" t="s">
        <v>2173</v>
      </c>
      <c r="T36">
        <v>202201</v>
      </c>
      <c r="U36" t="s">
        <v>217</v>
      </c>
      <c r="V36">
        <v>2086</v>
      </c>
    </row>
    <row r="37" spans="1:22">
      <c r="A37" t="s">
        <v>2315</v>
      </c>
      <c r="B37" t="s">
        <v>2316</v>
      </c>
      <c r="C37" t="s">
        <v>2310</v>
      </c>
      <c r="D37" t="s">
        <v>2311</v>
      </c>
      <c r="E37" t="s">
        <v>2173</v>
      </c>
      <c r="F37">
        <v>202110</v>
      </c>
      <c r="G37" t="s">
        <v>228</v>
      </c>
      <c r="H37">
        <v>180225.02</v>
      </c>
      <c r="O37" t="s">
        <v>2315</v>
      </c>
      <c r="P37" t="s">
        <v>2316</v>
      </c>
      <c r="Q37" t="s">
        <v>2317</v>
      </c>
      <c r="R37" t="s">
        <v>2318</v>
      </c>
      <c r="S37" t="s">
        <v>2173</v>
      </c>
      <c r="T37">
        <v>202201</v>
      </c>
      <c r="U37" t="s">
        <v>219</v>
      </c>
      <c r="V37">
        <v>2111</v>
      </c>
    </row>
    <row r="38" spans="1:22">
      <c r="A38" t="s">
        <v>2315</v>
      </c>
      <c r="B38" t="s">
        <v>2316</v>
      </c>
      <c r="C38" t="s">
        <v>2310</v>
      </c>
      <c r="D38" t="s">
        <v>2311</v>
      </c>
      <c r="E38" t="s">
        <v>2173</v>
      </c>
      <c r="F38">
        <v>202111</v>
      </c>
      <c r="G38" t="s">
        <v>228</v>
      </c>
      <c r="H38">
        <v>184403.62</v>
      </c>
      <c r="O38" t="s">
        <v>2315</v>
      </c>
      <c r="P38" t="s">
        <v>2316</v>
      </c>
      <c r="Q38" t="s">
        <v>2317</v>
      </c>
      <c r="R38" t="s">
        <v>2318</v>
      </c>
      <c r="S38" t="s">
        <v>2173</v>
      </c>
      <c r="T38">
        <v>202202</v>
      </c>
      <c r="U38" t="s">
        <v>217</v>
      </c>
      <c r="V38">
        <v>1549</v>
      </c>
    </row>
    <row r="39" spans="1:22">
      <c r="A39" t="s">
        <v>2315</v>
      </c>
      <c r="B39" t="s">
        <v>2316</v>
      </c>
      <c r="C39" t="s">
        <v>2310</v>
      </c>
      <c r="D39" t="s">
        <v>2311</v>
      </c>
      <c r="E39" t="s">
        <v>2173</v>
      </c>
      <c r="F39">
        <v>202112</v>
      </c>
      <c r="G39" t="s">
        <v>228</v>
      </c>
      <c r="H39">
        <v>121803.62</v>
      </c>
      <c r="O39" t="s">
        <v>2315</v>
      </c>
      <c r="P39" t="s">
        <v>2316</v>
      </c>
      <c r="Q39" t="s">
        <v>2317</v>
      </c>
      <c r="R39" t="s">
        <v>2318</v>
      </c>
      <c r="S39" t="s">
        <v>2173</v>
      </c>
      <c r="T39">
        <v>202202</v>
      </c>
      <c r="U39" t="s">
        <v>219</v>
      </c>
      <c r="V39">
        <v>1529</v>
      </c>
    </row>
    <row r="40" spans="1:22">
      <c r="A40" t="s">
        <v>2315</v>
      </c>
      <c r="B40" t="s">
        <v>2316</v>
      </c>
      <c r="C40" t="s">
        <v>2310</v>
      </c>
      <c r="D40" t="s">
        <v>2311</v>
      </c>
      <c r="E40" t="s">
        <v>2173</v>
      </c>
      <c r="F40">
        <v>202201</v>
      </c>
      <c r="G40" t="s">
        <v>228</v>
      </c>
      <c r="H40">
        <v>9808.98</v>
      </c>
      <c r="O40" t="s">
        <v>2315</v>
      </c>
      <c r="P40" t="s">
        <v>2316</v>
      </c>
      <c r="Q40" t="s">
        <v>2317</v>
      </c>
      <c r="R40" t="s">
        <v>2318</v>
      </c>
      <c r="S40" t="s">
        <v>2173</v>
      </c>
      <c r="T40">
        <v>202203</v>
      </c>
      <c r="U40" t="s">
        <v>217</v>
      </c>
      <c r="V40">
        <v>1215</v>
      </c>
    </row>
    <row r="41" spans="1:22">
      <c r="A41" t="s">
        <v>2315</v>
      </c>
      <c r="B41" t="s">
        <v>2316</v>
      </c>
      <c r="C41" t="s">
        <v>2310</v>
      </c>
      <c r="D41" t="s">
        <v>2311</v>
      </c>
      <c r="E41" t="s">
        <v>2173</v>
      </c>
      <c r="F41">
        <v>202202</v>
      </c>
      <c r="G41" t="s">
        <v>228</v>
      </c>
      <c r="H41">
        <v>54233.65</v>
      </c>
      <c r="O41" t="s">
        <v>2315</v>
      </c>
      <c r="P41" t="s">
        <v>2316</v>
      </c>
      <c r="Q41" t="s">
        <v>2317</v>
      </c>
      <c r="R41" t="s">
        <v>2318</v>
      </c>
      <c r="S41" t="s">
        <v>2173</v>
      </c>
      <c r="T41">
        <v>202203</v>
      </c>
      <c r="U41" t="s">
        <v>219</v>
      </c>
      <c r="V41">
        <v>1264</v>
      </c>
    </row>
    <row r="42" spans="1:22">
      <c r="A42" t="s">
        <v>2315</v>
      </c>
      <c r="B42" t="s">
        <v>2316</v>
      </c>
      <c r="C42" t="s">
        <v>2310</v>
      </c>
      <c r="D42" t="s">
        <v>2311</v>
      </c>
      <c r="E42" t="s">
        <v>2173</v>
      </c>
      <c r="F42">
        <v>202203</v>
      </c>
      <c r="G42" t="s">
        <v>228</v>
      </c>
      <c r="H42">
        <v>227291.74</v>
      </c>
      <c r="O42" t="s">
        <v>2315</v>
      </c>
      <c r="P42" t="s">
        <v>2316</v>
      </c>
      <c r="Q42" t="s">
        <v>2317</v>
      </c>
      <c r="R42" t="s">
        <v>2318</v>
      </c>
      <c r="S42" t="s">
        <v>2173</v>
      </c>
      <c r="T42">
        <v>202204</v>
      </c>
      <c r="U42" t="s">
        <v>217</v>
      </c>
      <c r="V42">
        <v>1322</v>
      </c>
    </row>
    <row r="43" spans="1:22">
      <c r="A43" t="s">
        <v>2315</v>
      </c>
      <c r="B43" t="s">
        <v>2316</v>
      </c>
      <c r="C43" t="s">
        <v>2310</v>
      </c>
      <c r="D43" t="s">
        <v>2311</v>
      </c>
      <c r="E43" t="s">
        <v>2173</v>
      </c>
      <c r="F43">
        <v>202204</v>
      </c>
      <c r="G43" t="s">
        <v>228</v>
      </c>
      <c r="H43">
        <v>205117.8</v>
      </c>
      <c r="O43" t="s">
        <v>2315</v>
      </c>
      <c r="P43" t="s">
        <v>2316</v>
      </c>
      <c r="Q43" t="s">
        <v>2317</v>
      </c>
      <c r="R43" t="s">
        <v>2318</v>
      </c>
      <c r="S43" t="s">
        <v>2173</v>
      </c>
      <c r="T43">
        <v>202204</v>
      </c>
      <c r="U43" t="s">
        <v>219</v>
      </c>
      <c r="V43">
        <v>1361</v>
      </c>
    </row>
    <row r="44" spans="1:22">
      <c r="A44" t="s">
        <v>2315</v>
      </c>
      <c r="B44" t="s">
        <v>2316</v>
      </c>
      <c r="C44" t="s">
        <v>2310</v>
      </c>
      <c r="D44" t="s">
        <v>2311</v>
      </c>
      <c r="E44" t="s">
        <v>2173</v>
      </c>
      <c r="F44">
        <v>202205</v>
      </c>
      <c r="G44" t="s">
        <v>228</v>
      </c>
      <c r="H44">
        <v>160551.57999999999</v>
      </c>
      <c r="O44" t="s">
        <v>2315</v>
      </c>
      <c r="P44" t="s">
        <v>2316</v>
      </c>
      <c r="Q44" t="s">
        <v>2317</v>
      </c>
      <c r="R44" t="s">
        <v>2318</v>
      </c>
      <c r="S44" t="s">
        <v>2173</v>
      </c>
      <c r="T44">
        <v>202205</v>
      </c>
      <c r="U44" t="s">
        <v>217</v>
      </c>
      <c r="V44">
        <v>1251</v>
      </c>
    </row>
    <row r="45" spans="1:22">
      <c r="A45" t="s">
        <v>2315</v>
      </c>
      <c r="B45" t="s">
        <v>2316</v>
      </c>
      <c r="C45" t="s">
        <v>2317</v>
      </c>
      <c r="D45" t="s">
        <v>2318</v>
      </c>
      <c r="E45" t="s">
        <v>2173</v>
      </c>
      <c r="F45">
        <v>202104</v>
      </c>
      <c r="G45" t="s">
        <v>228</v>
      </c>
      <c r="H45">
        <v>8303.7199999999993</v>
      </c>
      <c r="O45" t="s">
        <v>2315</v>
      </c>
      <c r="P45" t="s">
        <v>2316</v>
      </c>
      <c r="Q45" t="s">
        <v>2317</v>
      </c>
      <c r="R45" t="s">
        <v>2318</v>
      </c>
      <c r="S45" t="s">
        <v>2173</v>
      </c>
      <c r="T45">
        <v>202205</v>
      </c>
      <c r="U45" t="s">
        <v>219</v>
      </c>
      <c r="V45">
        <v>1251</v>
      </c>
    </row>
    <row r="46" spans="1:22">
      <c r="A46" t="s">
        <v>2315</v>
      </c>
      <c r="B46" t="s">
        <v>2316</v>
      </c>
      <c r="C46" t="s">
        <v>2317</v>
      </c>
      <c r="D46" t="s">
        <v>2318</v>
      </c>
      <c r="E46" t="s">
        <v>2173</v>
      </c>
      <c r="F46">
        <v>202105</v>
      </c>
      <c r="G46" t="s">
        <v>228</v>
      </c>
      <c r="H46">
        <v>7644.92</v>
      </c>
      <c r="O46" t="s">
        <v>2315</v>
      </c>
      <c r="P46" t="s">
        <v>2316</v>
      </c>
      <c r="Q46" t="s">
        <v>2317</v>
      </c>
      <c r="R46" t="s">
        <v>2318</v>
      </c>
      <c r="S46" t="s">
        <v>2173</v>
      </c>
      <c r="T46">
        <v>202206</v>
      </c>
      <c r="U46" t="s">
        <v>217</v>
      </c>
      <c r="V46">
        <v>1345</v>
      </c>
    </row>
    <row r="47" spans="1:22">
      <c r="A47" t="s">
        <v>2315</v>
      </c>
      <c r="B47" t="s">
        <v>2316</v>
      </c>
      <c r="C47" t="s">
        <v>2317</v>
      </c>
      <c r="D47" t="s">
        <v>2318</v>
      </c>
      <c r="E47" t="s">
        <v>2173</v>
      </c>
      <c r="F47">
        <v>202106</v>
      </c>
      <c r="G47" t="s">
        <v>228</v>
      </c>
      <c r="H47">
        <v>11880.06</v>
      </c>
      <c r="O47" t="s">
        <v>2315</v>
      </c>
      <c r="P47" t="s">
        <v>2316</v>
      </c>
      <c r="Q47" t="s">
        <v>2317</v>
      </c>
      <c r="R47" t="s">
        <v>2318</v>
      </c>
      <c r="S47" t="s">
        <v>2173</v>
      </c>
      <c r="T47">
        <v>202206</v>
      </c>
      <c r="U47" t="s">
        <v>219</v>
      </c>
      <c r="V47">
        <v>1161</v>
      </c>
    </row>
    <row r="48" spans="1:22">
      <c r="A48" t="s">
        <v>2315</v>
      </c>
      <c r="B48" t="s">
        <v>2316</v>
      </c>
      <c r="C48" t="s">
        <v>2317</v>
      </c>
      <c r="D48" t="s">
        <v>2318</v>
      </c>
      <c r="E48" t="s">
        <v>2173</v>
      </c>
      <c r="F48">
        <v>202107</v>
      </c>
      <c r="G48" t="s">
        <v>228</v>
      </c>
      <c r="H48">
        <v>5045.88</v>
      </c>
      <c r="O48" t="s">
        <v>2315</v>
      </c>
      <c r="P48" t="s">
        <v>2316</v>
      </c>
      <c r="Q48" t="s">
        <v>2310</v>
      </c>
      <c r="R48" t="s">
        <v>2311</v>
      </c>
      <c r="S48" t="s">
        <v>2173</v>
      </c>
      <c r="T48">
        <v>202107</v>
      </c>
      <c r="U48" t="s">
        <v>230</v>
      </c>
      <c r="V48">
        <v>4851863.97</v>
      </c>
    </row>
    <row r="49" spans="1:22">
      <c r="A49" t="s">
        <v>2315</v>
      </c>
      <c r="B49" t="s">
        <v>2316</v>
      </c>
      <c r="C49" t="s">
        <v>2317</v>
      </c>
      <c r="D49" t="s">
        <v>2318</v>
      </c>
      <c r="E49" t="s">
        <v>2173</v>
      </c>
      <c r="F49">
        <v>202108</v>
      </c>
      <c r="G49" t="s">
        <v>228</v>
      </c>
      <c r="H49">
        <v>7587.74</v>
      </c>
      <c r="O49" t="s">
        <v>2315</v>
      </c>
      <c r="P49" t="s">
        <v>2316</v>
      </c>
      <c r="Q49" t="s">
        <v>2310</v>
      </c>
      <c r="R49" t="s">
        <v>2311</v>
      </c>
      <c r="S49" t="s">
        <v>2173</v>
      </c>
      <c r="T49">
        <v>202107</v>
      </c>
      <c r="U49" t="s">
        <v>231</v>
      </c>
      <c r="V49">
        <v>790602.64</v>
      </c>
    </row>
    <row r="50" spans="1:22">
      <c r="A50" t="s">
        <v>2315</v>
      </c>
      <c r="B50" t="s">
        <v>2316</v>
      </c>
      <c r="C50" t="s">
        <v>2317</v>
      </c>
      <c r="D50" t="s">
        <v>2318</v>
      </c>
      <c r="E50" t="s">
        <v>2173</v>
      </c>
      <c r="F50">
        <v>202109</v>
      </c>
      <c r="G50" t="s">
        <v>228</v>
      </c>
      <c r="H50">
        <v>10203.33</v>
      </c>
      <c r="O50" t="s">
        <v>2315</v>
      </c>
      <c r="P50" t="s">
        <v>2316</v>
      </c>
      <c r="Q50" t="s">
        <v>2310</v>
      </c>
      <c r="R50" t="s">
        <v>2311</v>
      </c>
      <c r="S50" t="s">
        <v>2173</v>
      </c>
      <c r="T50">
        <v>202107</v>
      </c>
      <c r="U50" t="s">
        <v>221</v>
      </c>
      <c r="V50">
        <v>4993645.87</v>
      </c>
    </row>
    <row r="51" spans="1:22">
      <c r="A51" t="s">
        <v>2315</v>
      </c>
      <c r="B51" t="s">
        <v>2316</v>
      </c>
      <c r="C51" t="s">
        <v>2317</v>
      </c>
      <c r="D51" t="s">
        <v>2318</v>
      </c>
      <c r="E51" t="s">
        <v>2173</v>
      </c>
      <c r="F51">
        <v>202110</v>
      </c>
      <c r="G51" t="s">
        <v>228</v>
      </c>
      <c r="H51">
        <v>11202.07</v>
      </c>
      <c r="O51" t="s">
        <v>2315</v>
      </c>
      <c r="P51" t="s">
        <v>2316</v>
      </c>
      <c r="Q51" t="s">
        <v>2310</v>
      </c>
      <c r="R51" t="s">
        <v>2311</v>
      </c>
      <c r="S51" t="s">
        <v>2173</v>
      </c>
      <c r="T51">
        <v>202107</v>
      </c>
      <c r="U51" t="s">
        <v>223</v>
      </c>
      <c r="V51">
        <v>813705.74</v>
      </c>
    </row>
    <row r="52" spans="1:22">
      <c r="A52" t="s">
        <v>2315</v>
      </c>
      <c r="B52" t="s">
        <v>2316</v>
      </c>
      <c r="C52" t="s">
        <v>2317</v>
      </c>
      <c r="D52" t="s">
        <v>2318</v>
      </c>
      <c r="E52" t="s">
        <v>2173</v>
      </c>
      <c r="F52">
        <v>202111</v>
      </c>
      <c r="G52" t="s">
        <v>228</v>
      </c>
      <c r="H52">
        <v>14592.2</v>
      </c>
      <c r="O52" t="s">
        <v>2315</v>
      </c>
      <c r="P52" t="s">
        <v>2316</v>
      </c>
      <c r="Q52" t="s">
        <v>2310</v>
      </c>
      <c r="R52" t="s">
        <v>2311</v>
      </c>
      <c r="S52" t="s">
        <v>2173</v>
      </c>
      <c r="T52">
        <v>202107</v>
      </c>
      <c r="U52" t="s">
        <v>225</v>
      </c>
      <c r="V52">
        <v>164885</v>
      </c>
    </row>
    <row r="53" spans="1:22">
      <c r="A53" t="s">
        <v>2315</v>
      </c>
      <c r="B53" t="s">
        <v>2316</v>
      </c>
      <c r="C53" t="s">
        <v>2317</v>
      </c>
      <c r="D53" t="s">
        <v>2318</v>
      </c>
      <c r="E53" t="s">
        <v>2173</v>
      </c>
      <c r="F53">
        <v>202112</v>
      </c>
      <c r="G53" t="s">
        <v>228</v>
      </c>
      <c r="H53">
        <v>14951.74</v>
      </c>
      <c r="O53" t="s">
        <v>2315</v>
      </c>
      <c r="P53" t="s">
        <v>2316</v>
      </c>
      <c r="Q53" t="s">
        <v>2310</v>
      </c>
      <c r="R53" t="s">
        <v>2311</v>
      </c>
      <c r="S53" t="s">
        <v>2173</v>
      </c>
      <c r="T53">
        <v>202108</v>
      </c>
      <c r="U53" t="s">
        <v>230</v>
      </c>
      <c r="V53">
        <v>4656182.01</v>
      </c>
    </row>
    <row r="54" spans="1:22">
      <c r="A54" t="s">
        <v>2315</v>
      </c>
      <c r="B54" t="s">
        <v>2316</v>
      </c>
      <c r="C54" t="s">
        <v>2317</v>
      </c>
      <c r="D54" t="s">
        <v>2318</v>
      </c>
      <c r="E54" t="s">
        <v>2173</v>
      </c>
      <c r="F54">
        <v>202201</v>
      </c>
      <c r="G54" t="s">
        <v>228</v>
      </c>
      <c r="H54">
        <v>18514.439999999999</v>
      </c>
      <c r="O54" t="s">
        <v>2315</v>
      </c>
      <c r="P54" t="s">
        <v>2316</v>
      </c>
      <c r="Q54" t="s">
        <v>2310</v>
      </c>
      <c r="R54" t="s">
        <v>2311</v>
      </c>
      <c r="S54" t="s">
        <v>2173</v>
      </c>
      <c r="T54">
        <v>202108</v>
      </c>
      <c r="U54" t="s">
        <v>231</v>
      </c>
      <c r="V54">
        <v>762607.89</v>
      </c>
    </row>
    <row r="55" spans="1:22">
      <c r="A55" t="s">
        <v>2315</v>
      </c>
      <c r="B55" t="s">
        <v>2316</v>
      </c>
      <c r="C55" t="s">
        <v>2317</v>
      </c>
      <c r="D55" t="s">
        <v>2318</v>
      </c>
      <c r="E55" t="s">
        <v>2173</v>
      </c>
      <c r="F55">
        <v>202202</v>
      </c>
      <c r="G55" t="s">
        <v>228</v>
      </c>
      <c r="H55">
        <v>12107.71</v>
      </c>
      <c r="O55" t="s">
        <v>2315</v>
      </c>
      <c r="P55" t="s">
        <v>2316</v>
      </c>
      <c r="Q55" t="s">
        <v>2310</v>
      </c>
      <c r="R55" t="s">
        <v>2311</v>
      </c>
      <c r="S55" t="s">
        <v>2173</v>
      </c>
      <c r="T55">
        <v>202108</v>
      </c>
      <c r="U55" t="s">
        <v>221</v>
      </c>
      <c r="V55">
        <v>4804624.24</v>
      </c>
    </row>
    <row r="56" spans="1:22">
      <c r="A56" t="s">
        <v>2315</v>
      </c>
      <c r="B56" t="s">
        <v>2316</v>
      </c>
      <c r="C56" t="s">
        <v>2317</v>
      </c>
      <c r="D56" t="s">
        <v>2318</v>
      </c>
      <c r="E56" t="s">
        <v>2173</v>
      </c>
      <c r="F56">
        <v>202203</v>
      </c>
      <c r="G56" t="s">
        <v>228</v>
      </c>
      <c r="H56">
        <v>11763.86</v>
      </c>
      <c r="O56" t="s">
        <v>2315</v>
      </c>
      <c r="P56" t="s">
        <v>2316</v>
      </c>
      <c r="Q56" t="s">
        <v>2310</v>
      </c>
      <c r="R56" t="s">
        <v>2311</v>
      </c>
      <c r="S56" t="s">
        <v>2173</v>
      </c>
      <c r="T56">
        <v>202108</v>
      </c>
      <c r="U56" t="s">
        <v>223</v>
      </c>
      <c r="V56">
        <v>806347.66</v>
      </c>
    </row>
    <row r="57" spans="1:22">
      <c r="A57" t="s">
        <v>2315</v>
      </c>
      <c r="B57" t="s">
        <v>2316</v>
      </c>
      <c r="C57" t="s">
        <v>2317</v>
      </c>
      <c r="D57" t="s">
        <v>2318</v>
      </c>
      <c r="E57" t="s">
        <v>2173</v>
      </c>
      <c r="F57">
        <v>202204</v>
      </c>
      <c r="G57" t="s">
        <v>228</v>
      </c>
      <c r="H57">
        <v>11045.63</v>
      </c>
      <c r="O57" t="s">
        <v>2315</v>
      </c>
      <c r="P57" t="s">
        <v>2316</v>
      </c>
      <c r="Q57" t="s">
        <v>2310</v>
      </c>
      <c r="R57" t="s">
        <v>2311</v>
      </c>
      <c r="S57" t="s">
        <v>2173</v>
      </c>
      <c r="T57">
        <v>202108</v>
      </c>
      <c r="U57" t="s">
        <v>225</v>
      </c>
      <c r="V57">
        <v>171602</v>
      </c>
    </row>
    <row r="58" spans="1:22">
      <c r="A58" t="s">
        <v>2315</v>
      </c>
      <c r="B58" t="s">
        <v>2316</v>
      </c>
      <c r="C58" t="s">
        <v>2317</v>
      </c>
      <c r="D58" t="s">
        <v>2318</v>
      </c>
      <c r="E58" t="s">
        <v>2173</v>
      </c>
      <c r="F58">
        <v>202205</v>
      </c>
      <c r="G58" t="s">
        <v>228</v>
      </c>
      <c r="H58">
        <v>8000.23</v>
      </c>
      <c r="O58" t="s">
        <v>2315</v>
      </c>
      <c r="P58" t="s">
        <v>2316</v>
      </c>
      <c r="Q58" t="s">
        <v>2310</v>
      </c>
      <c r="R58" t="s">
        <v>2311</v>
      </c>
      <c r="S58" t="s">
        <v>2173</v>
      </c>
      <c r="T58">
        <v>202109</v>
      </c>
      <c r="U58" t="s">
        <v>230</v>
      </c>
      <c r="V58">
        <v>4350715.96</v>
      </c>
    </row>
    <row r="59" spans="1:22">
      <c r="A59" t="s">
        <v>2315</v>
      </c>
      <c r="B59" t="s">
        <v>2316</v>
      </c>
      <c r="C59" t="s">
        <v>2317</v>
      </c>
      <c r="D59" t="s">
        <v>2318</v>
      </c>
      <c r="E59" t="s">
        <v>2173</v>
      </c>
      <c r="F59">
        <v>202206</v>
      </c>
      <c r="G59" t="s">
        <v>228</v>
      </c>
      <c r="H59">
        <v>6347.33</v>
      </c>
      <c r="O59" t="s">
        <v>2315</v>
      </c>
      <c r="P59" t="s">
        <v>2316</v>
      </c>
      <c r="Q59" t="s">
        <v>2310</v>
      </c>
      <c r="R59" t="s">
        <v>2311</v>
      </c>
      <c r="S59" t="s">
        <v>2173</v>
      </c>
      <c r="T59">
        <v>202109</v>
      </c>
      <c r="U59" t="s">
        <v>231</v>
      </c>
      <c r="V59">
        <v>702746.54</v>
      </c>
    </row>
    <row r="60" spans="1:22">
      <c r="A60" t="s">
        <v>2315</v>
      </c>
      <c r="B60" t="s">
        <v>2316</v>
      </c>
      <c r="C60" t="s">
        <v>2310</v>
      </c>
      <c r="D60" t="s">
        <v>2311</v>
      </c>
      <c r="E60" t="s">
        <v>2173</v>
      </c>
      <c r="F60">
        <v>202104</v>
      </c>
      <c r="G60" t="s">
        <v>232</v>
      </c>
      <c r="H60">
        <v>0</v>
      </c>
      <c r="O60" t="s">
        <v>2315</v>
      </c>
      <c r="P60" t="s">
        <v>2316</v>
      </c>
      <c r="Q60" t="s">
        <v>2310</v>
      </c>
      <c r="R60" t="s">
        <v>2311</v>
      </c>
      <c r="S60" t="s">
        <v>2173</v>
      </c>
      <c r="T60">
        <v>202109</v>
      </c>
      <c r="U60" t="s">
        <v>221</v>
      </c>
      <c r="V60">
        <v>4503297.3099999996</v>
      </c>
    </row>
    <row r="61" spans="1:22">
      <c r="A61" t="s">
        <v>2315</v>
      </c>
      <c r="B61" t="s">
        <v>2316</v>
      </c>
      <c r="C61" t="s">
        <v>2310</v>
      </c>
      <c r="D61" t="s">
        <v>2311</v>
      </c>
      <c r="E61" t="s">
        <v>2173</v>
      </c>
      <c r="F61">
        <v>202105</v>
      </c>
      <c r="G61" t="s">
        <v>232</v>
      </c>
      <c r="H61">
        <v>0</v>
      </c>
      <c r="O61" t="s">
        <v>2315</v>
      </c>
      <c r="P61" t="s">
        <v>2316</v>
      </c>
      <c r="Q61" t="s">
        <v>2310</v>
      </c>
      <c r="R61" t="s">
        <v>2311</v>
      </c>
      <c r="S61" t="s">
        <v>2173</v>
      </c>
      <c r="T61">
        <v>202109</v>
      </c>
      <c r="U61" t="s">
        <v>223</v>
      </c>
      <c r="V61">
        <v>727199.19</v>
      </c>
    </row>
    <row r="62" spans="1:22">
      <c r="A62" t="s">
        <v>2315</v>
      </c>
      <c r="B62" t="s">
        <v>2316</v>
      </c>
      <c r="C62" t="s">
        <v>2310</v>
      </c>
      <c r="D62" t="s">
        <v>2311</v>
      </c>
      <c r="E62" t="s">
        <v>2173</v>
      </c>
      <c r="F62">
        <v>202106</v>
      </c>
      <c r="G62" t="s">
        <v>232</v>
      </c>
      <c r="H62">
        <v>0</v>
      </c>
      <c r="O62" t="s">
        <v>2315</v>
      </c>
      <c r="P62" t="s">
        <v>2316</v>
      </c>
      <c r="Q62" t="s">
        <v>2310</v>
      </c>
      <c r="R62" t="s">
        <v>2311</v>
      </c>
      <c r="S62" t="s">
        <v>2173</v>
      </c>
      <c r="T62">
        <v>202109</v>
      </c>
      <c r="U62" t="s">
        <v>225</v>
      </c>
      <c r="V62">
        <v>171564</v>
      </c>
    </row>
    <row r="63" spans="1:22">
      <c r="A63" t="s">
        <v>2315</v>
      </c>
      <c r="B63" t="s">
        <v>2316</v>
      </c>
      <c r="C63" t="s">
        <v>2310</v>
      </c>
      <c r="D63" t="s">
        <v>2311</v>
      </c>
      <c r="E63" t="s">
        <v>2173</v>
      </c>
      <c r="F63">
        <v>202107</v>
      </c>
      <c r="G63" t="s">
        <v>232</v>
      </c>
      <c r="H63">
        <v>0</v>
      </c>
      <c r="O63" t="s">
        <v>2315</v>
      </c>
      <c r="P63" t="s">
        <v>2316</v>
      </c>
      <c r="Q63" t="s">
        <v>2310</v>
      </c>
      <c r="R63" t="s">
        <v>2311</v>
      </c>
      <c r="S63" t="s">
        <v>2173</v>
      </c>
      <c r="T63">
        <v>202110</v>
      </c>
      <c r="U63" t="s">
        <v>230</v>
      </c>
      <c r="V63">
        <v>5533141.9199999999</v>
      </c>
    </row>
    <row r="64" spans="1:22">
      <c r="A64" t="s">
        <v>2315</v>
      </c>
      <c r="B64" t="s">
        <v>2316</v>
      </c>
      <c r="C64" t="s">
        <v>2310</v>
      </c>
      <c r="D64" t="s">
        <v>2311</v>
      </c>
      <c r="E64" t="s">
        <v>2173</v>
      </c>
      <c r="F64">
        <v>202108</v>
      </c>
      <c r="G64" t="s">
        <v>232</v>
      </c>
      <c r="H64">
        <v>0</v>
      </c>
      <c r="O64" t="s">
        <v>2315</v>
      </c>
      <c r="P64" t="s">
        <v>2316</v>
      </c>
      <c r="Q64" t="s">
        <v>2310</v>
      </c>
      <c r="R64" t="s">
        <v>2311</v>
      </c>
      <c r="S64" t="s">
        <v>2173</v>
      </c>
      <c r="T64">
        <v>202110</v>
      </c>
      <c r="U64" t="s">
        <v>231</v>
      </c>
      <c r="V64">
        <v>799796.67</v>
      </c>
    </row>
    <row r="65" spans="1:22">
      <c r="A65" t="s">
        <v>2315</v>
      </c>
      <c r="B65" t="s">
        <v>2316</v>
      </c>
      <c r="C65" t="s">
        <v>2310</v>
      </c>
      <c r="D65" t="s">
        <v>2311</v>
      </c>
      <c r="E65" t="s">
        <v>2173</v>
      </c>
      <c r="F65">
        <v>202109</v>
      </c>
      <c r="G65" t="s">
        <v>232</v>
      </c>
      <c r="H65">
        <v>0</v>
      </c>
      <c r="O65" t="s">
        <v>2315</v>
      </c>
      <c r="P65" t="s">
        <v>2316</v>
      </c>
      <c r="Q65" t="s">
        <v>2310</v>
      </c>
      <c r="R65" t="s">
        <v>2311</v>
      </c>
      <c r="S65" t="s">
        <v>2173</v>
      </c>
      <c r="T65">
        <v>202110</v>
      </c>
      <c r="U65" t="s">
        <v>221</v>
      </c>
      <c r="V65">
        <v>5700391.71</v>
      </c>
    </row>
    <row r="66" spans="1:22">
      <c r="A66" t="s">
        <v>2315</v>
      </c>
      <c r="B66" t="s">
        <v>2316</v>
      </c>
      <c r="C66" t="s">
        <v>2310</v>
      </c>
      <c r="D66" t="s">
        <v>2311</v>
      </c>
      <c r="E66" t="s">
        <v>2173</v>
      </c>
      <c r="F66">
        <v>202110</v>
      </c>
      <c r="G66" t="s">
        <v>232</v>
      </c>
      <c r="H66">
        <v>0</v>
      </c>
      <c r="O66" t="s">
        <v>2315</v>
      </c>
      <c r="P66" t="s">
        <v>2316</v>
      </c>
      <c r="Q66" t="s">
        <v>2310</v>
      </c>
      <c r="R66" t="s">
        <v>2311</v>
      </c>
      <c r="S66" t="s">
        <v>2173</v>
      </c>
      <c r="T66">
        <v>202110</v>
      </c>
      <c r="U66" t="s">
        <v>223</v>
      </c>
      <c r="V66">
        <v>823395.88</v>
      </c>
    </row>
    <row r="67" spans="1:22">
      <c r="A67" t="s">
        <v>2315</v>
      </c>
      <c r="B67" t="s">
        <v>2316</v>
      </c>
      <c r="C67" t="s">
        <v>2310</v>
      </c>
      <c r="D67" t="s">
        <v>2311</v>
      </c>
      <c r="E67" t="s">
        <v>2173</v>
      </c>
      <c r="F67">
        <v>202111</v>
      </c>
      <c r="G67" t="s">
        <v>232</v>
      </c>
      <c r="H67">
        <v>0</v>
      </c>
      <c r="O67" t="s">
        <v>2315</v>
      </c>
      <c r="P67" t="s">
        <v>2316</v>
      </c>
      <c r="Q67" t="s">
        <v>2310</v>
      </c>
      <c r="R67" t="s">
        <v>2311</v>
      </c>
      <c r="S67" t="s">
        <v>2173</v>
      </c>
      <c r="T67">
        <v>202110</v>
      </c>
      <c r="U67" t="s">
        <v>225</v>
      </c>
      <c r="V67">
        <v>0</v>
      </c>
    </row>
    <row r="68" spans="1:22">
      <c r="A68" t="s">
        <v>2315</v>
      </c>
      <c r="B68" t="s">
        <v>2316</v>
      </c>
      <c r="C68" t="s">
        <v>2310</v>
      </c>
      <c r="D68" t="s">
        <v>2311</v>
      </c>
      <c r="E68" t="s">
        <v>2173</v>
      </c>
      <c r="F68">
        <v>202112</v>
      </c>
      <c r="G68" t="s">
        <v>232</v>
      </c>
      <c r="H68">
        <v>0</v>
      </c>
      <c r="O68" t="s">
        <v>2315</v>
      </c>
      <c r="P68" t="s">
        <v>2316</v>
      </c>
      <c r="Q68" t="s">
        <v>2310</v>
      </c>
      <c r="R68" t="s">
        <v>2311</v>
      </c>
      <c r="S68" t="s">
        <v>2173</v>
      </c>
      <c r="T68">
        <v>202111</v>
      </c>
      <c r="U68" t="s">
        <v>230</v>
      </c>
      <c r="V68">
        <v>7518289.7699999996</v>
      </c>
    </row>
    <row r="69" spans="1:22">
      <c r="A69" t="s">
        <v>2315</v>
      </c>
      <c r="B69" t="s">
        <v>2316</v>
      </c>
      <c r="C69" t="s">
        <v>2310</v>
      </c>
      <c r="D69" t="s">
        <v>2311</v>
      </c>
      <c r="E69" t="s">
        <v>2173</v>
      </c>
      <c r="F69">
        <v>202201</v>
      </c>
      <c r="G69" t="s">
        <v>232</v>
      </c>
      <c r="H69">
        <v>0</v>
      </c>
      <c r="O69" t="s">
        <v>2315</v>
      </c>
      <c r="P69" t="s">
        <v>2316</v>
      </c>
      <c r="Q69" t="s">
        <v>2310</v>
      </c>
      <c r="R69" t="s">
        <v>2311</v>
      </c>
      <c r="S69" t="s">
        <v>2173</v>
      </c>
      <c r="T69">
        <v>202111</v>
      </c>
      <c r="U69" t="s">
        <v>231</v>
      </c>
      <c r="V69">
        <v>942392.72</v>
      </c>
    </row>
    <row r="70" spans="1:22">
      <c r="A70" t="s">
        <v>2315</v>
      </c>
      <c r="B70" t="s">
        <v>2316</v>
      </c>
      <c r="C70" t="s">
        <v>2310</v>
      </c>
      <c r="D70" t="s">
        <v>2311</v>
      </c>
      <c r="E70" t="s">
        <v>2173</v>
      </c>
      <c r="F70">
        <v>202202</v>
      </c>
      <c r="G70" t="s">
        <v>232</v>
      </c>
      <c r="H70">
        <v>0</v>
      </c>
      <c r="O70" t="s">
        <v>2315</v>
      </c>
      <c r="P70" t="s">
        <v>2316</v>
      </c>
      <c r="Q70" t="s">
        <v>2310</v>
      </c>
      <c r="R70" t="s">
        <v>2311</v>
      </c>
      <c r="S70" t="s">
        <v>2173</v>
      </c>
      <c r="T70">
        <v>202111</v>
      </c>
      <c r="U70" t="s">
        <v>221</v>
      </c>
      <c r="V70">
        <v>7690667.9900000002</v>
      </c>
    </row>
    <row r="71" spans="1:22">
      <c r="A71" t="s">
        <v>2315</v>
      </c>
      <c r="B71" t="s">
        <v>2316</v>
      </c>
      <c r="C71" t="s">
        <v>2310</v>
      </c>
      <c r="D71" t="s">
        <v>2311</v>
      </c>
      <c r="E71" t="s">
        <v>2173</v>
      </c>
      <c r="F71">
        <v>202203</v>
      </c>
      <c r="G71" t="s">
        <v>232</v>
      </c>
      <c r="H71">
        <v>0</v>
      </c>
      <c r="O71" t="s">
        <v>2315</v>
      </c>
      <c r="P71" t="s">
        <v>2316</v>
      </c>
      <c r="Q71" t="s">
        <v>2310</v>
      </c>
      <c r="R71" t="s">
        <v>2311</v>
      </c>
      <c r="S71" t="s">
        <v>2173</v>
      </c>
      <c r="T71">
        <v>202111</v>
      </c>
      <c r="U71" t="s">
        <v>223</v>
      </c>
      <c r="V71">
        <v>963332.5</v>
      </c>
    </row>
    <row r="72" spans="1:22">
      <c r="A72" t="s">
        <v>2315</v>
      </c>
      <c r="B72" t="s">
        <v>2316</v>
      </c>
      <c r="C72" t="s">
        <v>2310</v>
      </c>
      <c r="D72" t="s">
        <v>2311</v>
      </c>
      <c r="E72" t="s">
        <v>2173</v>
      </c>
      <c r="F72">
        <v>202204</v>
      </c>
      <c r="G72" t="s">
        <v>232</v>
      </c>
      <c r="H72">
        <v>0</v>
      </c>
      <c r="O72" t="s">
        <v>2315</v>
      </c>
      <c r="P72" t="s">
        <v>2316</v>
      </c>
      <c r="Q72" t="s">
        <v>2310</v>
      </c>
      <c r="R72" t="s">
        <v>2311</v>
      </c>
      <c r="S72" t="s">
        <v>2173</v>
      </c>
      <c r="T72">
        <v>202111</v>
      </c>
      <c r="U72" t="s">
        <v>225</v>
      </c>
      <c r="V72">
        <v>0</v>
      </c>
    </row>
    <row r="73" spans="1:22">
      <c r="A73" t="s">
        <v>2315</v>
      </c>
      <c r="B73" t="s">
        <v>2316</v>
      </c>
      <c r="C73" t="s">
        <v>2310</v>
      </c>
      <c r="D73" t="s">
        <v>2311</v>
      </c>
      <c r="E73" t="s">
        <v>2173</v>
      </c>
      <c r="F73">
        <v>202205</v>
      </c>
      <c r="G73" t="s">
        <v>232</v>
      </c>
      <c r="H73">
        <v>0</v>
      </c>
      <c r="O73" t="s">
        <v>2315</v>
      </c>
      <c r="P73" t="s">
        <v>2316</v>
      </c>
      <c r="Q73" t="s">
        <v>2310</v>
      </c>
      <c r="R73" t="s">
        <v>2311</v>
      </c>
      <c r="S73" t="s">
        <v>2173</v>
      </c>
      <c r="T73">
        <v>202112</v>
      </c>
      <c r="U73" t="s">
        <v>230</v>
      </c>
      <c r="V73">
        <v>10029714.560000001</v>
      </c>
    </row>
    <row r="74" spans="1:22">
      <c r="A74" t="s">
        <v>2315</v>
      </c>
      <c r="B74" t="s">
        <v>2316</v>
      </c>
      <c r="C74" t="s">
        <v>2317</v>
      </c>
      <c r="D74" t="s">
        <v>2318</v>
      </c>
      <c r="E74" t="s">
        <v>2173</v>
      </c>
      <c r="F74">
        <v>202104</v>
      </c>
      <c r="G74" t="s">
        <v>232</v>
      </c>
      <c r="H74">
        <v>0</v>
      </c>
      <c r="O74" t="s">
        <v>2315</v>
      </c>
      <c r="P74" t="s">
        <v>2316</v>
      </c>
      <c r="Q74" t="s">
        <v>2310</v>
      </c>
      <c r="R74" t="s">
        <v>2311</v>
      </c>
      <c r="S74" t="s">
        <v>2173</v>
      </c>
      <c r="T74">
        <v>202112</v>
      </c>
      <c r="U74" t="s">
        <v>231</v>
      </c>
      <c r="V74">
        <v>1327401.6399999999</v>
      </c>
    </row>
    <row r="75" spans="1:22">
      <c r="A75" t="s">
        <v>2315</v>
      </c>
      <c r="B75" t="s">
        <v>2316</v>
      </c>
      <c r="C75" t="s">
        <v>2317</v>
      </c>
      <c r="D75" t="s">
        <v>2318</v>
      </c>
      <c r="E75" t="s">
        <v>2173</v>
      </c>
      <c r="F75">
        <v>202105</v>
      </c>
      <c r="G75" t="s">
        <v>232</v>
      </c>
      <c r="H75">
        <v>0</v>
      </c>
      <c r="O75" t="s">
        <v>2315</v>
      </c>
      <c r="P75" t="s">
        <v>2316</v>
      </c>
      <c r="Q75" t="s">
        <v>2310</v>
      </c>
      <c r="R75" t="s">
        <v>2311</v>
      </c>
      <c r="S75" t="s">
        <v>2173</v>
      </c>
      <c r="T75">
        <v>202112</v>
      </c>
      <c r="U75" t="s">
        <v>221</v>
      </c>
      <c r="V75">
        <v>10195953.93</v>
      </c>
    </row>
    <row r="76" spans="1:22">
      <c r="A76" t="s">
        <v>2315</v>
      </c>
      <c r="B76" t="s">
        <v>2316</v>
      </c>
      <c r="C76" t="s">
        <v>2317</v>
      </c>
      <c r="D76" t="s">
        <v>2318</v>
      </c>
      <c r="E76" t="s">
        <v>2173</v>
      </c>
      <c r="F76">
        <v>202106</v>
      </c>
      <c r="G76" t="s">
        <v>232</v>
      </c>
      <c r="H76">
        <v>0</v>
      </c>
      <c r="O76" t="s">
        <v>2315</v>
      </c>
      <c r="P76" t="s">
        <v>2316</v>
      </c>
      <c r="Q76" t="s">
        <v>2310</v>
      </c>
      <c r="R76" t="s">
        <v>2311</v>
      </c>
      <c r="S76" t="s">
        <v>2173</v>
      </c>
      <c r="T76">
        <v>202112</v>
      </c>
      <c r="U76" t="s">
        <v>223</v>
      </c>
      <c r="V76">
        <v>1347626.6</v>
      </c>
    </row>
    <row r="77" spans="1:22">
      <c r="A77" t="s">
        <v>2315</v>
      </c>
      <c r="B77" t="s">
        <v>2316</v>
      </c>
      <c r="C77" t="s">
        <v>2317</v>
      </c>
      <c r="D77" t="s">
        <v>2318</v>
      </c>
      <c r="E77" t="s">
        <v>2173</v>
      </c>
      <c r="F77">
        <v>202107</v>
      </c>
      <c r="G77" t="s">
        <v>232</v>
      </c>
      <c r="H77">
        <v>0</v>
      </c>
      <c r="O77" t="s">
        <v>2315</v>
      </c>
      <c r="P77" t="s">
        <v>2316</v>
      </c>
      <c r="Q77" t="s">
        <v>2310</v>
      </c>
      <c r="R77" t="s">
        <v>2311</v>
      </c>
      <c r="S77" t="s">
        <v>2173</v>
      </c>
      <c r="T77">
        <v>202201</v>
      </c>
      <c r="U77" t="s">
        <v>230</v>
      </c>
      <c r="V77">
        <v>11178125.43</v>
      </c>
    </row>
    <row r="78" spans="1:22">
      <c r="A78" t="s">
        <v>2315</v>
      </c>
      <c r="B78" t="s">
        <v>2316</v>
      </c>
      <c r="C78" t="s">
        <v>2317</v>
      </c>
      <c r="D78" t="s">
        <v>2318</v>
      </c>
      <c r="E78" t="s">
        <v>2173</v>
      </c>
      <c r="F78">
        <v>202108</v>
      </c>
      <c r="G78" t="s">
        <v>232</v>
      </c>
      <c r="H78">
        <v>0</v>
      </c>
      <c r="O78" t="s">
        <v>2315</v>
      </c>
      <c r="P78" t="s">
        <v>2316</v>
      </c>
      <c r="Q78" t="s">
        <v>2310</v>
      </c>
      <c r="R78" t="s">
        <v>2311</v>
      </c>
      <c r="S78" t="s">
        <v>2173</v>
      </c>
      <c r="T78">
        <v>202201</v>
      </c>
      <c r="U78" t="s">
        <v>231</v>
      </c>
      <c r="V78">
        <v>1248515.45</v>
      </c>
    </row>
    <row r="79" spans="1:22">
      <c r="A79" t="s">
        <v>2315</v>
      </c>
      <c r="B79" t="s">
        <v>2316</v>
      </c>
      <c r="C79" t="s">
        <v>2317</v>
      </c>
      <c r="D79" t="s">
        <v>2318</v>
      </c>
      <c r="E79" t="s">
        <v>2173</v>
      </c>
      <c r="F79">
        <v>202109</v>
      </c>
      <c r="G79" t="s">
        <v>232</v>
      </c>
      <c r="H79">
        <v>0</v>
      </c>
      <c r="O79" t="s">
        <v>2315</v>
      </c>
      <c r="P79" t="s">
        <v>2316</v>
      </c>
      <c r="Q79" t="s">
        <v>2310</v>
      </c>
      <c r="R79" t="s">
        <v>2311</v>
      </c>
      <c r="S79" t="s">
        <v>2173</v>
      </c>
      <c r="T79">
        <v>202201</v>
      </c>
      <c r="U79" t="s">
        <v>221</v>
      </c>
      <c r="V79">
        <v>11292596.73</v>
      </c>
    </row>
    <row r="80" spans="1:22">
      <c r="A80" t="s">
        <v>2315</v>
      </c>
      <c r="B80" t="s">
        <v>2316</v>
      </c>
      <c r="C80" t="s">
        <v>2317</v>
      </c>
      <c r="D80" t="s">
        <v>2318</v>
      </c>
      <c r="E80" t="s">
        <v>2173</v>
      </c>
      <c r="F80">
        <v>202110</v>
      </c>
      <c r="G80" t="s">
        <v>232</v>
      </c>
      <c r="H80">
        <v>0</v>
      </c>
      <c r="O80" t="s">
        <v>2315</v>
      </c>
      <c r="P80" t="s">
        <v>2316</v>
      </c>
      <c r="Q80" t="s">
        <v>2310</v>
      </c>
      <c r="R80" t="s">
        <v>2311</v>
      </c>
      <c r="S80" t="s">
        <v>2173</v>
      </c>
      <c r="T80">
        <v>202201</v>
      </c>
      <c r="U80" t="s">
        <v>223</v>
      </c>
      <c r="V80">
        <v>1261031.1499999999</v>
      </c>
    </row>
    <row r="81" spans="1:22">
      <c r="A81" t="s">
        <v>2315</v>
      </c>
      <c r="B81" t="s">
        <v>2316</v>
      </c>
      <c r="C81" t="s">
        <v>2317</v>
      </c>
      <c r="D81" t="s">
        <v>2318</v>
      </c>
      <c r="E81" t="s">
        <v>2173</v>
      </c>
      <c r="F81">
        <v>202111</v>
      </c>
      <c r="G81" t="s">
        <v>232</v>
      </c>
      <c r="H81">
        <v>0</v>
      </c>
      <c r="O81" t="s">
        <v>2315</v>
      </c>
      <c r="P81" t="s">
        <v>2316</v>
      </c>
      <c r="Q81" t="s">
        <v>2310</v>
      </c>
      <c r="R81" t="s">
        <v>2311</v>
      </c>
      <c r="S81" t="s">
        <v>2173</v>
      </c>
      <c r="T81">
        <v>202201</v>
      </c>
      <c r="U81" t="s">
        <v>225</v>
      </c>
      <c r="V81">
        <v>0</v>
      </c>
    </row>
    <row r="82" spans="1:22">
      <c r="A82" t="s">
        <v>2315</v>
      </c>
      <c r="B82" t="s">
        <v>2316</v>
      </c>
      <c r="C82" t="s">
        <v>2317</v>
      </c>
      <c r="D82" t="s">
        <v>2318</v>
      </c>
      <c r="E82" t="s">
        <v>2173</v>
      </c>
      <c r="F82">
        <v>202112</v>
      </c>
      <c r="G82" t="s">
        <v>232</v>
      </c>
      <c r="H82">
        <v>0</v>
      </c>
      <c r="O82" t="s">
        <v>2315</v>
      </c>
      <c r="P82" t="s">
        <v>2316</v>
      </c>
      <c r="Q82" t="s">
        <v>2310</v>
      </c>
      <c r="R82" t="s">
        <v>2311</v>
      </c>
      <c r="S82" t="s">
        <v>2173</v>
      </c>
      <c r="T82">
        <v>202202</v>
      </c>
      <c r="U82" t="s">
        <v>230</v>
      </c>
      <c r="V82">
        <v>8562108.8100000005</v>
      </c>
    </row>
    <row r="83" spans="1:22">
      <c r="A83" t="s">
        <v>2315</v>
      </c>
      <c r="B83" t="s">
        <v>2316</v>
      </c>
      <c r="C83" t="s">
        <v>2317</v>
      </c>
      <c r="D83" t="s">
        <v>2318</v>
      </c>
      <c r="E83" t="s">
        <v>2173</v>
      </c>
      <c r="F83">
        <v>202201</v>
      </c>
      <c r="G83" t="s">
        <v>232</v>
      </c>
      <c r="H83">
        <v>0</v>
      </c>
      <c r="O83" t="s">
        <v>2315</v>
      </c>
      <c r="P83" t="s">
        <v>2316</v>
      </c>
      <c r="Q83" t="s">
        <v>2310</v>
      </c>
      <c r="R83" t="s">
        <v>2311</v>
      </c>
      <c r="S83" t="s">
        <v>2173</v>
      </c>
      <c r="T83">
        <v>202202</v>
      </c>
      <c r="U83" t="s">
        <v>231</v>
      </c>
      <c r="V83">
        <v>1093162.54</v>
      </c>
    </row>
    <row r="84" spans="1:22">
      <c r="A84" t="s">
        <v>2315</v>
      </c>
      <c r="B84" t="s">
        <v>2316</v>
      </c>
      <c r="C84" t="s">
        <v>2317</v>
      </c>
      <c r="D84" t="s">
        <v>2318</v>
      </c>
      <c r="E84" t="s">
        <v>2173</v>
      </c>
      <c r="F84">
        <v>202202</v>
      </c>
      <c r="G84" t="s">
        <v>232</v>
      </c>
      <c r="H84">
        <v>0</v>
      </c>
      <c r="O84" t="s">
        <v>2315</v>
      </c>
      <c r="P84" t="s">
        <v>2316</v>
      </c>
      <c r="Q84" t="s">
        <v>2310</v>
      </c>
      <c r="R84" t="s">
        <v>2311</v>
      </c>
      <c r="S84" t="s">
        <v>2173</v>
      </c>
      <c r="T84">
        <v>202202</v>
      </c>
      <c r="U84" t="s">
        <v>221</v>
      </c>
      <c r="V84">
        <v>8661930.2200000007</v>
      </c>
    </row>
    <row r="85" spans="1:22">
      <c r="A85" t="s">
        <v>2315</v>
      </c>
      <c r="B85" t="s">
        <v>2316</v>
      </c>
      <c r="C85" t="s">
        <v>2317</v>
      </c>
      <c r="D85" t="s">
        <v>2318</v>
      </c>
      <c r="E85" t="s">
        <v>2173</v>
      </c>
      <c r="F85">
        <v>202203</v>
      </c>
      <c r="G85" t="s">
        <v>232</v>
      </c>
      <c r="H85">
        <v>0</v>
      </c>
      <c r="O85" t="s">
        <v>2315</v>
      </c>
      <c r="P85" t="s">
        <v>2316</v>
      </c>
      <c r="Q85" t="s">
        <v>2310</v>
      </c>
      <c r="R85" t="s">
        <v>2311</v>
      </c>
      <c r="S85" t="s">
        <v>2173</v>
      </c>
      <c r="T85">
        <v>202202</v>
      </c>
      <c r="U85" t="s">
        <v>223</v>
      </c>
      <c r="V85">
        <v>1105795.1399999999</v>
      </c>
    </row>
    <row r="86" spans="1:22">
      <c r="A86" t="s">
        <v>2315</v>
      </c>
      <c r="B86" t="s">
        <v>2316</v>
      </c>
      <c r="C86" t="s">
        <v>2317</v>
      </c>
      <c r="D86" t="s">
        <v>2318</v>
      </c>
      <c r="E86" t="s">
        <v>2173</v>
      </c>
      <c r="F86">
        <v>202204</v>
      </c>
      <c r="G86" t="s">
        <v>232</v>
      </c>
      <c r="H86">
        <v>0</v>
      </c>
      <c r="O86" t="s">
        <v>2315</v>
      </c>
      <c r="P86" t="s">
        <v>2316</v>
      </c>
      <c r="Q86" t="s">
        <v>2310</v>
      </c>
      <c r="R86" t="s">
        <v>2311</v>
      </c>
      <c r="S86" t="s">
        <v>2173</v>
      </c>
      <c r="T86">
        <v>202202</v>
      </c>
      <c r="U86" t="s">
        <v>225</v>
      </c>
      <c r="V86">
        <v>0</v>
      </c>
    </row>
    <row r="87" spans="1:22">
      <c r="A87" t="s">
        <v>2315</v>
      </c>
      <c r="B87" t="s">
        <v>2316</v>
      </c>
      <c r="C87" t="s">
        <v>2317</v>
      </c>
      <c r="D87" t="s">
        <v>2318</v>
      </c>
      <c r="E87" t="s">
        <v>2173</v>
      </c>
      <c r="F87">
        <v>202205</v>
      </c>
      <c r="G87" t="s">
        <v>232</v>
      </c>
      <c r="H87">
        <v>0</v>
      </c>
      <c r="O87" t="s">
        <v>2315</v>
      </c>
      <c r="P87" t="s">
        <v>2316</v>
      </c>
      <c r="Q87" t="s">
        <v>2310</v>
      </c>
      <c r="R87" t="s">
        <v>2311</v>
      </c>
      <c r="S87" t="s">
        <v>2173</v>
      </c>
      <c r="T87">
        <v>202203</v>
      </c>
      <c r="U87" t="s">
        <v>230</v>
      </c>
      <c r="V87">
        <v>7692691.5199999996</v>
      </c>
    </row>
    <row r="88" spans="1:22">
      <c r="A88" t="s">
        <v>2315</v>
      </c>
      <c r="B88" t="s">
        <v>2316</v>
      </c>
      <c r="C88" t="s">
        <v>2317</v>
      </c>
      <c r="D88" t="s">
        <v>2318</v>
      </c>
      <c r="E88" t="s">
        <v>2173</v>
      </c>
      <c r="F88">
        <v>202206</v>
      </c>
      <c r="G88" t="s">
        <v>232</v>
      </c>
      <c r="H88">
        <v>0</v>
      </c>
      <c r="O88" t="s">
        <v>2315</v>
      </c>
      <c r="P88" t="s">
        <v>2316</v>
      </c>
      <c r="Q88" t="s">
        <v>2310</v>
      </c>
      <c r="R88" t="s">
        <v>2311</v>
      </c>
      <c r="S88" t="s">
        <v>2173</v>
      </c>
      <c r="T88">
        <v>202203</v>
      </c>
      <c r="U88" t="s">
        <v>231</v>
      </c>
      <c r="V88">
        <v>1090323.96</v>
      </c>
    </row>
    <row r="89" spans="1:22">
      <c r="A89" t="s">
        <v>2315</v>
      </c>
      <c r="B89" t="s">
        <v>2316</v>
      </c>
      <c r="C89" t="s">
        <v>2310</v>
      </c>
      <c r="D89" t="s">
        <v>2311</v>
      </c>
      <c r="E89" t="s">
        <v>2173</v>
      </c>
      <c r="F89">
        <v>202104</v>
      </c>
      <c r="G89" t="s">
        <v>217</v>
      </c>
      <c r="H89">
        <v>25582.66</v>
      </c>
      <c r="O89" t="s">
        <v>2315</v>
      </c>
      <c r="P89" t="s">
        <v>2316</v>
      </c>
      <c r="Q89" t="s">
        <v>2310</v>
      </c>
      <c r="R89" t="s">
        <v>2311</v>
      </c>
      <c r="S89" t="s">
        <v>2173</v>
      </c>
      <c r="T89">
        <v>202203</v>
      </c>
      <c r="U89" t="s">
        <v>221</v>
      </c>
      <c r="V89">
        <v>7801879.5599999996</v>
      </c>
    </row>
    <row r="90" spans="1:22">
      <c r="A90" t="s">
        <v>2315</v>
      </c>
      <c r="B90" t="s">
        <v>2316</v>
      </c>
      <c r="C90" t="s">
        <v>2310</v>
      </c>
      <c r="D90" t="s">
        <v>2311</v>
      </c>
      <c r="E90" t="s">
        <v>2173</v>
      </c>
      <c r="F90">
        <v>202104</v>
      </c>
      <c r="G90" t="s">
        <v>219</v>
      </c>
      <c r="H90">
        <v>24478.86</v>
      </c>
      <c r="O90" t="s">
        <v>2315</v>
      </c>
      <c r="P90" t="s">
        <v>2316</v>
      </c>
      <c r="Q90" t="s">
        <v>2310</v>
      </c>
      <c r="R90" t="s">
        <v>2311</v>
      </c>
      <c r="S90" t="s">
        <v>2173</v>
      </c>
      <c r="T90">
        <v>202203</v>
      </c>
      <c r="U90" t="s">
        <v>223</v>
      </c>
      <c r="V90">
        <v>1105904.92</v>
      </c>
    </row>
    <row r="91" spans="1:22">
      <c r="A91" t="s">
        <v>2315</v>
      </c>
      <c r="B91" t="s">
        <v>2316</v>
      </c>
      <c r="C91" t="s">
        <v>2310</v>
      </c>
      <c r="D91" t="s">
        <v>2311</v>
      </c>
      <c r="E91" t="s">
        <v>2173</v>
      </c>
      <c r="F91">
        <v>202105</v>
      </c>
      <c r="G91" t="s">
        <v>217</v>
      </c>
      <c r="H91">
        <v>25577.22</v>
      </c>
      <c r="O91" t="s">
        <v>2315</v>
      </c>
      <c r="P91" t="s">
        <v>2316</v>
      </c>
      <c r="Q91" t="s">
        <v>2310</v>
      </c>
      <c r="R91" t="s">
        <v>2311</v>
      </c>
      <c r="S91" t="s">
        <v>2173</v>
      </c>
      <c r="T91">
        <v>202203</v>
      </c>
      <c r="U91" t="s">
        <v>225</v>
      </c>
      <c r="V91">
        <v>0</v>
      </c>
    </row>
    <row r="92" spans="1:22">
      <c r="A92" t="s">
        <v>2315</v>
      </c>
      <c r="B92" t="s">
        <v>2316</v>
      </c>
      <c r="C92" t="s">
        <v>2310</v>
      </c>
      <c r="D92" t="s">
        <v>2311</v>
      </c>
      <c r="E92" t="s">
        <v>2173</v>
      </c>
      <c r="F92">
        <v>202105</v>
      </c>
      <c r="G92" t="s">
        <v>219</v>
      </c>
      <c r="H92">
        <v>24254.33</v>
      </c>
      <c r="O92" t="s">
        <v>2315</v>
      </c>
      <c r="P92" t="s">
        <v>2316</v>
      </c>
      <c r="Q92" t="s">
        <v>2310</v>
      </c>
      <c r="R92" t="s">
        <v>2311</v>
      </c>
      <c r="S92" t="s">
        <v>2173</v>
      </c>
      <c r="T92">
        <v>202204</v>
      </c>
      <c r="U92" t="s">
        <v>230</v>
      </c>
      <c r="V92">
        <v>6479344.3300000001</v>
      </c>
    </row>
    <row r="93" spans="1:22">
      <c r="A93" t="s">
        <v>2315</v>
      </c>
      <c r="B93" t="s">
        <v>2316</v>
      </c>
      <c r="C93" t="s">
        <v>2310</v>
      </c>
      <c r="D93" t="s">
        <v>2311</v>
      </c>
      <c r="E93" t="s">
        <v>2173</v>
      </c>
      <c r="F93">
        <v>202106</v>
      </c>
      <c r="G93" t="s">
        <v>217</v>
      </c>
      <c r="H93">
        <v>22204.55</v>
      </c>
      <c r="O93" t="s">
        <v>2315</v>
      </c>
      <c r="P93" t="s">
        <v>2316</v>
      </c>
      <c r="Q93" t="s">
        <v>2310</v>
      </c>
      <c r="R93" t="s">
        <v>2311</v>
      </c>
      <c r="S93" t="s">
        <v>2173</v>
      </c>
      <c r="T93">
        <v>202204</v>
      </c>
      <c r="U93" t="s">
        <v>231</v>
      </c>
      <c r="V93">
        <v>829620.04</v>
      </c>
    </row>
    <row r="94" spans="1:22">
      <c r="A94" t="s">
        <v>2315</v>
      </c>
      <c r="B94" t="s">
        <v>2316</v>
      </c>
      <c r="C94" t="s">
        <v>2310</v>
      </c>
      <c r="D94" t="s">
        <v>2311</v>
      </c>
      <c r="E94" t="s">
        <v>2173</v>
      </c>
      <c r="F94">
        <v>202106</v>
      </c>
      <c r="G94" t="s">
        <v>219</v>
      </c>
      <c r="H94">
        <v>21465.85</v>
      </c>
      <c r="O94" t="s">
        <v>2315</v>
      </c>
      <c r="P94" t="s">
        <v>2316</v>
      </c>
      <c r="Q94" t="s">
        <v>2310</v>
      </c>
      <c r="R94" t="s">
        <v>2311</v>
      </c>
      <c r="S94" t="s">
        <v>2173</v>
      </c>
      <c r="T94">
        <v>202204</v>
      </c>
      <c r="U94" t="s">
        <v>221</v>
      </c>
      <c r="V94">
        <v>6614184.96</v>
      </c>
    </row>
    <row r="95" spans="1:22">
      <c r="A95" t="s">
        <v>2315</v>
      </c>
      <c r="B95" t="s">
        <v>2316</v>
      </c>
      <c r="C95" t="s">
        <v>2310</v>
      </c>
      <c r="D95" t="s">
        <v>2311</v>
      </c>
      <c r="E95" t="s">
        <v>2173</v>
      </c>
      <c r="F95">
        <v>202107</v>
      </c>
      <c r="G95" t="s">
        <v>217</v>
      </c>
      <c r="H95">
        <v>17296.34</v>
      </c>
      <c r="O95" t="s">
        <v>2315</v>
      </c>
      <c r="P95" t="s">
        <v>2316</v>
      </c>
      <c r="Q95" t="s">
        <v>2310</v>
      </c>
      <c r="R95" t="s">
        <v>2311</v>
      </c>
      <c r="S95" t="s">
        <v>2173</v>
      </c>
      <c r="T95">
        <v>202204</v>
      </c>
      <c r="U95" t="s">
        <v>223</v>
      </c>
      <c r="V95">
        <v>846970.41</v>
      </c>
    </row>
    <row r="96" spans="1:22">
      <c r="A96" t="s">
        <v>2315</v>
      </c>
      <c r="B96" t="s">
        <v>2316</v>
      </c>
      <c r="C96" t="s">
        <v>2310</v>
      </c>
      <c r="D96" t="s">
        <v>2311</v>
      </c>
      <c r="E96" t="s">
        <v>2173</v>
      </c>
      <c r="F96">
        <v>202107</v>
      </c>
      <c r="G96" t="s">
        <v>219</v>
      </c>
      <c r="H96">
        <v>17090.78</v>
      </c>
      <c r="O96" t="s">
        <v>2315</v>
      </c>
      <c r="P96" t="s">
        <v>2316</v>
      </c>
      <c r="Q96" t="s">
        <v>2310</v>
      </c>
      <c r="R96" t="s">
        <v>2311</v>
      </c>
      <c r="S96" t="s">
        <v>2173</v>
      </c>
      <c r="T96">
        <v>202204</v>
      </c>
      <c r="U96" t="s">
        <v>225</v>
      </c>
      <c r="V96">
        <v>0</v>
      </c>
    </row>
    <row r="97" spans="1:22">
      <c r="A97" t="s">
        <v>2315</v>
      </c>
      <c r="B97" t="s">
        <v>2316</v>
      </c>
      <c r="C97" t="s">
        <v>2310</v>
      </c>
      <c r="D97" t="s">
        <v>2311</v>
      </c>
      <c r="E97" t="s">
        <v>2173</v>
      </c>
      <c r="F97">
        <v>202108</v>
      </c>
      <c r="G97" t="s">
        <v>217</v>
      </c>
      <c r="H97">
        <v>15999.3</v>
      </c>
      <c r="O97" t="s">
        <v>2315</v>
      </c>
      <c r="P97" t="s">
        <v>2316</v>
      </c>
      <c r="Q97" t="s">
        <v>2310</v>
      </c>
      <c r="R97" t="s">
        <v>2311</v>
      </c>
      <c r="S97" t="s">
        <v>2173</v>
      </c>
      <c r="T97">
        <v>202205</v>
      </c>
      <c r="U97" t="s">
        <v>230</v>
      </c>
      <c r="V97">
        <v>6290898.4199999999</v>
      </c>
    </row>
    <row r="98" spans="1:22">
      <c r="A98" t="s">
        <v>2315</v>
      </c>
      <c r="B98" t="s">
        <v>2316</v>
      </c>
      <c r="C98" t="s">
        <v>2310</v>
      </c>
      <c r="D98" t="s">
        <v>2311</v>
      </c>
      <c r="E98" t="s">
        <v>2173</v>
      </c>
      <c r="F98">
        <v>202108</v>
      </c>
      <c r="G98" t="s">
        <v>219</v>
      </c>
      <c r="H98">
        <v>17289.97</v>
      </c>
      <c r="O98" t="s">
        <v>2315</v>
      </c>
      <c r="P98" t="s">
        <v>2316</v>
      </c>
      <c r="Q98" t="s">
        <v>2310</v>
      </c>
      <c r="R98" t="s">
        <v>2311</v>
      </c>
      <c r="S98" t="s">
        <v>2173</v>
      </c>
      <c r="T98">
        <v>202205</v>
      </c>
      <c r="U98" t="s">
        <v>231</v>
      </c>
      <c r="V98">
        <v>913367.01</v>
      </c>
    </row>
    <row r="99" spans="1:22">
      <c r="A99" t="s">
        <v>2315</v>
      </c>
      <c r="B99" t="s">
        <v>2316</v>
      </c>
      <c r="C99" t="s">
        <v>2310</v>
      </c>
      <c r="D99" t="s">
        <v>2311</v>
      </c>
      <c r="E99" t="s">
        <v>2173</v>
      </c>
      <c r="F99">
        <v>202109</v>
      </c>
      <c r="G99" t="s">
        <v>217</v>
      </c>
      <c r="H99">
        <v>15883.26</v>
      </c>
      <c r="O99" t="s">
        <v>2315</v>
      </c>
      <c r="P99" t="s">
        <v>2316</v>
      </c>
      <c r="Q99" t="s">
        <v>2310</v>
      </c>
      <c r="R99" t="s">
        <v>2311</v>
      </c>
      <c r="S99" t="s">
        <v>2173</v>
      </c>
      <c r="T99">
        <v>202205</v>
      </c>
      <c r="U99" t="s">
        <v>221</v>
      </c>
      <c r="V99">
        <v>6514134.6299999999</v>
      </c>
    </row>
    <row r="100" spans="1:22">
      <c r="A100" t="s">
        <v>2315</v>
      </c>
      <c r="B100" t="s">
        <v>2316</v>
      </c>
      <c r="C100" t="s">
        <v>2310</v>
      </c>
      <c r="D100" t="s">
        <v>2311</v>
      </c>
      <c r="E100" t="s">
        <v>2173</v>
      </c>
      <c r="F100">
        <v>202109</v>
      </c>
      <c r="G100" t="s">
        <v>219</v>
      </c>
      <c r="H100">
        <v>16333.25</v>
      </c>
      <c r="O100" t="s">
        <v>2315</v>
      </c>
      <c r="P100" t="s">
        <v>2316</v>
      </c>
      <c r="Q100" t="s">
        <v>2310</v>
      </c>
      <c r="R100" t="s">
        <v>2311</v>
      </c>
      <c r="S100" t="s">
        <v>2173</v>
      </c>
      <c r="T100">
        <v>202205</v>
      </c>
      <c r="U100" t="s">
        <v>223</v>
      </c>
      <c r="V100">
        <v>946744.8</v>
      </c>
    </row>
    <row r="101" spans="1:22">
      <c r="A101" t="s">
        <v>2315</v>
      </c>
      <c r="B101" t="s">
        <v>2316</v>
      </c>
      <c r="C101" t="s">
        <v>2310</v>
      </c>
      <c r="D101" t="s">
        <v>2311</v>
      </c>
      <c r="E101" t="s">
        <v>2173</v>
      </c>
      <c r="F101">
        <v>202110</v>
      </c>
      <c r="G101" t="s">
        <v>217</v>
      </c>
      <c r="H101">
        <v>21312.65</v>
      </c>
      <c r="O101" t="s">
        <v>2315</v>
      </c>
      <c r="P101" t="s">
        <v>2316</v>
      </c>
      <c r="Q101" t="s">
        <v>2310</v>
      </c>
      <c r="R101" t="s">
        <v>2311</v>
      </c>
      <c r="S101" t="s">
        <v>2173</v>
      </c>
      <c r="T101">
        <v>202205</v>
      </c>
      <c r="U101" t="s">
        <v>225</v>
      </c>
      <c r="V101">
        <v>123534</v>
      </c>
    </row>
    <row r="102" spans="1:22">
      <c r="A102" t="s">
        <v>2315</v>
      </c>
      <c r="B102" t="s">
        <v>2316</v>
      </c>
      <c r="C102" t="s">
        <v>2310</v>
      </c>
      <c r="D102" t="s">
        <v>2311</v>
      </c>
      <c r="E102" t="s">
        <v>2173</v>
      </c>
      <c r="F102">
        <v>202110</v>
      </c>
      <c r="G102" t="s">
        <v>219</v>
      </c>
      <c r="H102">
        <v>20035.8</v>
      </c>
      <c r="O102" t="s">
        <v>2315</v>
      </c>
      <c r="P102" t="s">
        <v>2316</v>
      </c>
      <c r="Q102" t="s">
        <v>2317</v>
      </c>
      <c r="R102" t="s">
        <v>2318</v>
      </c>
      <c r="S102" t="s">
        <v>2173</v>
      </c>
      <c r="T102">
        <v>202107</v>
      </c>
      <c r="U102" t="s">
        <v>230</v>
      </c>
      <c r="V102">
        <v>292069</v>
      </c>
    </row>
    <row r="103" spans="1:22">
      <c r="A103" t="s">
        <v>2315</v>
      </c>
      <c r="B103" t="s">
        <v>2316</v>
      </c>
      <c r="C103" t="s">
        <v>2310</v>
      </c>
      <c r="D103" t="s">
        <v>2311</v>
      </c>
      <c r="E103" t="s">
        <v>2173</v>
      </c>
      <c r="F103">
        <v>202111</v>
      </c>
      <c r="G103" t="s">
        <v>217</v>
      </c>
      <c r="H103">
        <v>24193.81</v>
      </c>
      <c r="O103" t="s">
        <v>2315</v>
      </c>
      <c r="P103" t="s">
        <v>2316</v>
      </c>
      <c r="Q103" t="s">
        <v>2317</v>
      </c>
      <c r="R103" t="s">
        <v>2318</v>
      </c>
      <c r="S103" t="s">
        <v>2173</v>
      </c>
      <c r="T103">
        <v>202107</v>
      </c>
      <c r="U103" t="s">
        <v>231</v>
      </c>
      <c r="V103">
        <v>50149</v>
      </c>
    </row>
    <row r="104" spans="1:22">
      <c r="A104" t="s">
        <v>2315</v>
      </c>
      <c r="B104" t="s">
        <v>2316</v>
      </c>
      <c r="C104" t="s">
        <v>2310</v>
      </c>
      <c r="D104" t="s">
        <v>2311</v>
      </c>
      <c r="E104" t="s">
        <v>2173</v>
      </c>
      <c r="F104">
        <v>202111</v>
      </c>
      <c r="G104" t="s">
        <v>219</v>
      </c>
      <c r="H104">
        <v>22686.959999999999</v>
      </c>
      <c r="O104" t="s">
        <v>2315</v>
      </c>
      <c r="P104" t="s">
        <v>2316</v>
      </c>
      <c r="Q104" t="s">
        <v>2317</v>
      </c>
      <c r="R104" t="s">
        <v>2318</v>
      </c>
      <c r="S104" t="s">
        <v>2173</v>
      </c>
      <c r="T104">
        <v>202107</v>
      </c>
      <c r="U104" t="s">
        <v>221</v>
      </c>
      <c r="V104">
        <v>292069</v>
      </c>
    </row>
    <row r="105" spans="1:22">
      <c r="A105" t="s">
        <v>2315</v>
      </c>
      <c r="B105" t="s">
        <v>2316</v>
      </c>
      <c r="C105" t="s">
        <v>2310</v>
      </c>
      <c r="D105" t="s">
        <v>2311</v>
      </c>
      <c r="E105" t="s">
        <v>2173</v>
      </c>
      <c r="F105">
        <v>202112</v>
      </c>
      <c r="G105" t="s">
        <v>217</v>
      </c>
      <c r="H105">
        <v>28109.87</v>
      </c>
      <c r="O105" t="s">
        <v>2315</v>
      </c>
      <c r="P105" t="s">
        <v>2316</v>
      </c>
      <c r="Q105" t="s">
        <v>2317</v>
      </c>
      <c r="R105" t="s">
        <v>2318</v>
      </c>
      <c r="S105" t="s">
        <v>2173</v>
      </c>
      <c r="T105">
        <v>202107</v>
      </c>
      <c r="U105" t="s">
        <v>223</v>
      </c>
      <c r="V105">
        <v>50149</v>
      </c>
    </row>
    <row r="106" spans="1:22">
      <c r="A106" t="s">
        <v>2315</v>
      </c>
      <c r="B106" t="s">
        <v>2316</v>
      </c>
      <c r="C106" t="s">
        <v>2310</v>
      </c>
      <c r="D106" t="s">
        <v>2311</v>
      </c>
      <c r="E106" t="s">
        <v>2173</v>
      </c>
      <c r="F106">
        <v>202112</v>
      </c>
      <c r="G106" t="s">
        <v>219</v>
      </c>
      <c r="H106">
        <v>27093.06</v>
      </c>
      <c r="O106" t="s">
        <v>2315</v>
      </c>
      <c r="P106" t="s">
        <v>2316</v>
      </c>
      <c r="Q106" t="s">
        <v>2317</v>
      </c>
      <c r="R106" t="s">
        <v>2318</v>
      </c>
      <c r="S106" t="s">
        <v>2173</v>
      </c>
      <c r="T106">
        <v>202107</v>
      </c>
      <c r="U106" t="s">
        <v>225</v>
      </c>
      <c r="V106">
        <v>0</v>
      </c>
    </row>
    <row r="107" spans="1:22">
      <c r="A107" t="s">
        <v>2315</v>
      </c>
      <c r="B107" t="s">
        <v>2316</v>
      </c>
      <c r="C107" t="s">
        <v>2310</v>
      </c>
      <c r="D107" t="s">
        <v>2311</v>
      </c>
      <c r="E107" t="s">
        <v>2173</v>
      </c>
      <c r="F107">
        <v>202201</v>
      </c>
      <c r="G107" t="s">
        <v>217</v>
      </c>
      <c r="H107">
        <v>30939.38</v>
      </c>
      <c r="O107" t="s">
        <v>2315</v>
      </c>
      <c r="P107" t="s">
        <v>2316</v>
      </c>
      <c r="Q107" t="s">
        <v>2317</v>
      </c>
      <c r="R107" t="s">
        <v>2318</v>
      </c>
      <c r="S107" t="s">
        <v>2173</v>
      </c>
      <c r="T107">
        <v>202108</v>
      </c>
      <c r="U107" t="s">
        <v>230</v>
      </c>
      <c r="V107">
        <v>315666</v>
      </c>
    </row>
    <row r="108" spans="1:22">
      <c r="A108" t="s">
        <v>2315</v>
      </c>
      <c r="B108" t="s">
        <v>2316</v>
      </c>
      <c r="C108" t="s">
        <v>2310</v>
      </c>
      <c r="D108" t="s">
        <v>2311</v>
      </c>
      <c r="E108" t="s">
        <v>2173</v>
      </c>
      <c r="F108">
        <v>202201</v>
      </c>
      <c r="G108" t="s">
        <v>219</v>
      </c>
      <c r="H108">
        <v>28605.51</v>
      </c>
      <c r="O108" t="s">
        <v>2315</v>
      </c>
      <c r="P108" t="s">
        <v>2316</v>
      </c>
      <c r="Q108" t="s">
        <v>2317</v>
      </c>
      <c r="R108" t="s">
        <v>2318</v>
      </c>
      <c r="S108" t="s">
        <v>2173</v>
      </c>
      <c r="T108">
        <v>202108</v>
      </c>
      <c r="U108" t="s">
        <v>231</v>
      </c>
      <c r="V108">
        <v>53573</v>
      </c>
    </row>
    <row r="109" spans="1:22">
      <c r="A109" t="s">
        <v>2315</v>
      </c>
      <c r="B109" t="s">
        <v>2316</v>
      </c>
      <c r="C109" t="s">
        <v>2310</v>
      </c>
      <c r="D109" t="s">
        <v>2311</v>
      </c>
      <c r="E109" t="s">
        <v>2173</v>
      </c>
      <c r="F109">
        <v>202202</v>
      </c>
      <c r="G109" t="s">
        <v>217</v>
      </c>
      <c r="H109">
        <v>27181.040000000001</v>
      </c>
      <c r="O109" t="s">
        <v>2315</v>
      </c>
      <c r="P109" t="s">
        <v>2316</v>
      </c>
      <c r="Q109" t="s">
        <v>2317</v>
      </c>
      <c r="R109" t="s">
        <v>2318</v>
      </c>
      <c r="S109" t="s">
        <v>2173</v>
      </c>
      <c r="T109">
        <v>202108</v>
      </c>
      <c r="U109" t="s">
        <v>221</v>
      </c>
      <c r="V109">
        <v>315666</v>
      </c>
    </row>
    <row r="110" spans="1:22">
      <c r="A110" t="s">
        <v>2315</v>
      </c>
      <c r="B110" t="s">
        <v>2316</v>
      </c>
      <c r="C110" t="s">
        <v>2310</v>
      </c>
      <c r="D110" t="s">
        <v>2311</v>
      </c>
      <c r="E110" t="s">
        <v>2173</v>
      </c>
      <c r="F110">
        <v>202202</v>
      </c>
      <c r="G110" t="s">
        <v>219</v>
      </c>
      <c r="H110">
        <v>25670.36</v>
      </c>
      <c r="O110" t="s">
        <v>2315</v>
      </c>
      <c r="P110" t="s">
        <v>2316</v>
      </c>
      <c r="Q110" t="s">
        <v>2317</v>
      </c>
      <c r="R110" t="s">
        <v>2318</v>
      </c>
      <c r="S110" t="s">
        <v>2173</v>
      </c>
      <c r="T110">
        <v>202108</v>
      </c>
      <c r="U110" t="s">
        <v>223</v>
      </c>
      <c r="V110">
        <v>53573</v>
      </c>
    </row>
    <row r="111" spans="1:22">
      <c r="A111" t="s">
        <v>2315</v>
      </c>
      <c r="B111" t="s">
        <v>2316</v>
      </c>
      <c r="C111" t="s">
        <v>2310</v>
      </c>
      <c r="D111" t="s">
        <v>2311</v>
      </c>
      <c r="E111" t="s">
        <v>2173</v>
      </c>
      <c r="F111">
        <v>202203</v>
      </c>
      <c r="G111" t="s">
        <v>217</v>
      </c>
      <c r="H111">
        <v>23289.06</v>
      </c>
      <c r="O111" t="s">
        <v>2315</v>
      </c>
      <c r="P111" t="s">
        <v>2316</v>
      </c>
      <c r="Q111" t="s">
        <v>2317</v>
      </c>
      <c r="R111" t="s">
        <v>2318</v>
      </c>
      <c r="S111" t="s">
        <v>2173</v>
      </c>
      <c r="T111">
        <v>202108</v>
      </c>
      <c r="U111" t="s">
        <v>225</v>
      </c>
      <c r="V111">
        <v>0</v>
      </c>
    </row>
    <row r="112" spans="1:22">
      <c r="A112" t="s">
        <v>2315</v>
      </c>
      <c r="B112" t="s">
        <v>2316</v>
      </c>
      <c r="C112" t="s">
        <v>2310</v>
      </c>
      <c r="D112" t="s">
        <v>2311</v>
      </c>
      <c r="E112" t="s">
        <v>2173</v>
      </c>
      <c r="F112">
        <v>202203</v>
      </c>
      <c r="G112" t="s">
        <v>219</v>
      </c>
      <c r="H112">
        <v>23892.52</v>
      </c>
      <c r="O112" t="s">
        <v>2315</v>
      </c>
      <c r="P112" t="s">
        <v>2316</v>
      </c>
      <c r="Q112" t="s">
        <v>2317</v>
      </c>
      <c r="R112" t="s">
        <v>2318</v>
      </c>
      <c r="S112" t="s">
        <v>2173</v>
      </c>
      <c r="T112">
        <v>202109</v>
      </c>
      <c r="U112" t="s">
        <v>230</v>
      </c>
      <c r="V112">
        <v>290146</v>
      </c>
    </row>
    <row r="113" spans="1:22">
      <c r="A113" t="s">
        <v>2315</v>
      </c>
      <c r="B113" t="s">
        <v>2316</v>
      </c>
      <c r="C113" t="s">
        <v>2310</v>
      </c>
      <c r="D113" t="s">
        <v>2311</v>
      </c>
      <c r="E113" t="s">
        <v>2173</v>
      </c>
      <c r="F113">
        <v>202204</v>
      </c>
      <c r="G113" t="s">
        <v>217</v>
      </c>
      <c r="H113">
        <v>21401.06</v>
      </c>
      <c r="O113" t="s">
        <v>2315</v>
      </c>
      <c r="P113" t="s">
        <v>2316</v>
      </c>
      <c r="Q113" t="s">
        <v>2317</v>
      </c>
      <c r="R113" t="s">
        <v>2318</v>
      </c>
      <c r="S113" t="s">
        <v>2173</v>
      </c>
      <c r="T113">
        <v>202109</v>
      </c>
      <c r="U113" t="s">
        <v>231</v>
      </c>
      <c r="V113">
        <v>46192</v>
      </c>
    </row>
    <row r="114" spans="1:22">
      <c r="A114" t="s">
        <v>2315</v>
      </c>
      <c r="B114" t="s">
        <v>2316</v>
      </c>
      <c r="C114" t="s">
        <v>2310</v>
      </c>
      <c r="D114" t="s">
        <v>2311</v>
      </c>
      <c r="E114" t="s">
        <v>2173</v>
      </c>
      <c r="F114">
        <v>202204</v>
      </c>
      <c r="G114" t="s">
        <v>219</v>
      </c>
      <c r="H114">
        <v>21201.27</v>
      </c>
      <c r="O114" t="s">
        <v>2315</v>
      </c>
      <c r="P114" t="s">
        <v>2316</v>
      </c>
      <c r="Q114" t="s">
        <v>2317</v>
      </c>
      <c r="R114" t="s">
        <v>2318</v>
      </c>
      <c r="S114" t="s">
        <v>2173</v>
      </c>
      <c r="T114">
        <v>202109</v>
      </c>
      <c r="U114" t="s">
        <v>221</v>
      </c>
      <c r="V114">
        <v>290146</v>
      </c>
    </row>
    <row r="115" spans="1:22">
      <c r="A115" t="s">
        <v>2315</v>
      </c>
      <c r="B115" t="s">
        <v>2316</v>
      </c>
      <c r="C115" t="s">
        <v>2310</v>
      </c>
      <c r="D115" t="s">
        <v>2311</v>
      </c>
      <c r="E115" t="s">
        <v>2173</v>
      </c>
      <c r="F115">
        <v>202205</v>
      </c>
      <c r="G115" t="s">
        <v>217</v>
      </c>
      <c r="H115">
        <v>21659.67</v>
      </c>
      <c r="O115" t="s">
        <v>2315</v>
      </c>
      <c r="P115" t="s">
        <v>2316</v>
      </c>
      <c r="Q115" t="s">
        <v>2317</v>
      </c>
      <c r="R115" t="s">
        <v>2318</v>
      </c>
      <c r="S115" t="s">
        <v>2173</v>
      </c>
      <c r="T115">
        <v>202109</v>
      </c>
      <c r="U115" t="s">
        <v>223</v>
      </c>
      <c r="V115">
        <v>46192</v>
      </c>
    </row>
    <row r="116" spans="1:22">
      <c r="A116" t="s">
        <v>2315</v>
      </c>
      <c r="B116" t="s">
        <v>2316</v>
      </c>
      <c r="C116" t="s">
        <v>2310</v>
      </c>
      <c r="D116" t="s">
        <v>2311</v>
      </c>
      <c r="E116" t="s">
        <v>2173</v>
      </c>
      <c r="F116">
        <v>202205</v>
      </c>
      <c r="G116" t="s">
        <v>219</v>
      </c>
      <c r="H116">
        <v>21209.09</v>
      </c>
      <c r="O116" t="s">
        <v>2315</v>
      </c>
      <c r="P116" t="s">
        <v>2316</v>
      </c>
      <c r="Q116" t="s">
        <v>2317</v>
      </c>
      <c r="R116" t="s">
        <v>2318</v>
      </c>
      <c r="S116" t="s">
        <v>2173</v>
      </c>
      <c r="T116">
        <v>202109</v>
      </c>
      <c r="U116" t="s">
        <v>225</v>
      </c>
      <c r="V116">
        <v>0</v>
      </c>
    </row>
    <row r="117" spans="1:22">
      <c r="A117" t="s">
        <v>2315</v>
      </c>
      <c r="B117" t="s">
        <v>2316</v>
      </c>
      <c r="C117" t="s">
        <v>2317</v>
      </c>
      <c r="D117" t="s">
        <v>2318</v>
      </c>
      <c r="E117" t="s">
        <v>2173</v>
      </c>
      <c r="F117">
        <v>202104</v>
      </c>
      <c r="G117" t="s">
        <v>217</v>
      </c>
      <c r="H117">
        <v>1701</v>
      </c>
      <c r="O117" t="s">
        <v>2315</v>
      </c>
      <c r="P117" t="s">
        <v>2316</v>
      </c>
      <c r="Q117" t="s">
        <v>2317</v>
      </c>
      <c r="R117" t="s">
        <v>2318</v>
      </c>
      <c r="S117" t="s">
        <v>2173</v>
      </c>
      <c r="T117">
        <v>202110</v>
      </c>
      <c r="U117" t="s">
        <v>230</v>
      </c>
      <c r="V117">
        <v>296443</v>
      </c>
    </row>
    <row r="118" spans="1:22">
      <c r="A118" t="s">
        <v>2315</v>
      </c>
      <c r="B118" t="s">
        <v>2316</v>
      </c>
      <c r="C118" t="s">
        <v>2317</v>
      </c>
      <c r="D118" t="s">
        <v>2318</v>
      </c>
      <c r="E118" t="s">
        <v>2173</v>
      </c>
      <c r="F118">
        <v>202104</v>
      </c>
      <c r="G118" t="s">
        <v>219</v>
      </c>
      <c r="H118">
        <v>1679</v>
      </c>
      <c r="O118" t="s">
        <v>2315</v>
      </c>
      <c r="P118" t="s">
        <v>2316</v>
      </c>
      <c r="Q118" t="s">
        <v>2317</v>
      </c>
      <c r="R118" t="s">
        <v>2318</v>
      </c>
      <c r="S118" t="s">
        <v>2173</v>
      </c>
      <c r="T118">
        <v>202110</v>
      </c>
      <c r="U118" t="s">
        <v>231</v>
      </c>
      <c r="V118">
        <v>47360</v>
      </c>
    </row>
    <row r="119" spans="1:22">
      <c r="A119" t="s">
        <v>2315</v>
      </c>
      <c r="B119" t="s">
        <v>2316</v>
      </c>
      <c r="C119" t="s">
        <v>2317</v>
      </c>
      <c r="D119" t="s">
        <v>2318</v>
      </c>
      <c r="E119" t="s">
        <v>2173</v>
      </c>
      <c r="F119">
        <v>202105</v>
      </c>
      <c r="G119" t="s">
        <v>217</v>
      </c>
      <c r="H119">
        <v>1475</v>
      </c>
      <c r="O119" t="s">
        <v>2315</v>
      </c>
      <c r="P119" t="s">
        <v>2316</v>
      </c>
      <c r="Q119" t="s">
        <v>2317</v>
      </c>
      <c r="R119" t="s">
        <v>2318</v>
      </c>
      <c r="S119" t="s">
        <v>2173</v>
      </c>
      <c r="T119">
        <v>202110</v>
      </c>
      <c r="U119" t="s">
        <v>221</v>
      </c>
      <c r="V119">
        <v>296443</v>
      </c>
    </row>
    <row r="120" spans="1:22">
      <c r="A120" t="s">
        <v>2315</v>
      </c>
      <c r="B120" t="s">
        <v>2316</v>
      </c>
      <c r="C120" t="s">
        <v>2317</v>
      </c>
      <c r="D120" t="s">
        <v>2318</v>
      </c>
      <c r="E120" t="s">
        <v>2173</v>
      </c>
      <c r="F120">
        <v>202105</v>
      </c>
      <c r="G120" t="s">
        <v>219</v>
      </c>
      <c r="H120">
        <v>1412</v>
      </c>
      <c r="O120" t="s">
        <v>2315</v>
      </c>
      <c r="P120" t="s">
        <v>2316</v>
      </c>
      <c r="Q120" t="s">
        <v>2317</v>
      </c>
      <c r="R120" t="s">
        <v>2318</v>
      </c>
      <c r="S120" t="s">
        <v>2173</v>
      </c>
      <c r="T120">
        <v>202110</v>
      </c>
      <c r="U120" t="s">
        <v>223</v>
      </c>
      <c r="V120">
        <v>47360</v>
      </c>
    </row>
    <row r="121" spans="1:22">
      <c r="A121" t="s">
        <v>2315</v>
      </c>
      <c r="B121" t="s">
        <v>2316</v>
      </c>
      <c r="C121" t="s">
        <v>2317</v>
      </c>
      <c r="D121" t="s">
        <v>2318</v>
      </c>
      <c r="E121" t="s">
        <v>2173</v>
      </c>
      <c r="F121">
        <v>202106</v>
      </c>
      <c r="G121" t="s">
        <v>217</v>
      </c>
      <c r="H121">
        <v>2292</v>
      </c>
      <c r="O121" t="s">
        <v>2315</v>
      </c>
      <c r="P121" t="s">
        <v>2316</v>
      </c>
      <c r="Q121" t="s">
        <v>2317</v>
      </c>
      <c r="R121" t="s">
        <v>2318</v>
      </c>
      <c r="S121" t="s">
        <v>2173</v>
      </c>
      <c r="T121">
        <v>202110</v>
      </c>
      <c r="U121" t="s">
        <v>225</v>
      </c>
      <c r="V121">
        <v>0</v>
      </c>
    </row>
    <row r="122" spans="1:22">
      <c r="A122" t="s">
        <v>2315</v>
      </c>
      <c r="B122" t="s">
        <v>2316</v>
      </c>
      <c r="C122" t="s">
        <v>2317</v>
      </c>
      <c r="D122" t="s">
        <v>2318</v>
      </c>
      <c r="E122" t="s">
        <v>2173</v>
      </c>
      <c r="F122">
        <v>202106</v>
      </c>
      <c r="G122" t="s">
        <v>219</v>
      </c>
      <c r="H122">
        <v>2170</v>
      </c>
      <c r="O122" t="s">
        <v>2315</v>
      </c>
      <c r="P122" t="s">
        <v>2316</v>
      </c>
      <c r="Q122" t="s">
        <v>2317</v>
      </c>
      <c r="R122" t="s">
        <v>2318</v>
      </c>
      <c r="S122" t="s">
        <v>2173</v>
      </c>
      <c r="T122">
        <v>202111</v>
      </c>
      <c r="U122" t="s">
        <v>230</v>
      </c>
      <c r="V122">
        <v>431755</v>
      </c>
    </row>
    <row r="123" spans="1:22">
      <c r="A123" t="s">
        <v>2315</v>
      </c>
      <c r="B123" t="s">
        <v>2316</v>
      </c>
      <c r="C123" t="s">
        <v>2317</v>
      </c>
      <c r="D123" t="s">
        <v>2318</v>
      </c>
      <c r="E123" t="s">
        <v>2173</v>
      </c>
      <c r="F123">
        <v>202107</v>
      </c>
      <c r="G123" t="s">
        <v>217</v>
      </c>
      <c r="H123">
        <v>1083</v>
      </c>
      <c r="O123" t="s">
        <v>2315</v>
      </c>
      <c r="P123" t="s">
        <v>2316</v>
      </c>
      <c r="Q123" t="s">
        <v>2317</v>
      </c>
      <c r="R123" t="s">
        <v>2318</v>
      </c>
      <c r="S123" t="s">
        <v>2173</v>
      </c>
      <c r="T123">
        <v>202111</v>
      </c>
      <c r="U123" t="s">
        <v>231</v>
      </c>
      <c r="V123">
        <v>59171</v>
      </c>
    </row>
    <row r="124" spans="1:22">
      <c r="A124" t="s">
        <v>2315</v>
      </c>
      <c r="B124" t="s">
        <v>2316</v>
      </c>
      <c r="C124" t="s">
        <v>2317</v>
      </c>
      <c r="D124" t="s">
        <v>2318</v>
      </c>
      <c r="E124" t="s">
        <v>2173</v>
      </c>
      <c r="F124">
        <v>202107</v>
      </c>
      <c r="G124" t="s">
        <v>219</v>
      </c>
      <c r="H124">
        <v>1074</v>
      </c>
      <c r="O124" t="s">
        <v>2315</v>
      </c>
      <c r="P124" t="s">
        <v>2316</v>
      </c>
      <c r="Q124" t="s">
        <v>2317</v>
      </c>
      <c r="R124" t="s">
        <v>2318</v>
      </c>
      <c r="S124" t="s">
        <v>2173</v>
      </c>
      <c r="T124">
        <v>202111</v>
      </c>
      <c r="U124" t="s">
        <v>221</v>
      </c>
      <c r="V124">
        <v>431755</v>
      </c>
    </row>
    <row r="125" spans="1:22">
      <c r="A125" t="s">
        <v>2315</v>
      </c>
      <c r="B125" t="s">
        <v>2316</v>
      </c>
      <c r="C125" t="s">
        <v>2317</v>
      </c>
      <c r="D125" t="s">
        <v>2318</v>
      </c>
      <c r="E125" t="s">
        <v>2173</v>
      </c>
      <c r="F125">
        <v>202108</v>
      </c>
      <c r="G125" t="s">
        <v>217</v>
      </c>
      <c r="H125">
        <v>1058</v>
      </c>
      <c r="O125" t="s">
        <v>2315</v>
      </c>
      <c r="P125" t="s">
        <v>2316</v>
      </c>
      <c r="Q125" t="s">
        <v>2317</v>
      </c>
      <c r="R125" t="s">
        <v>2318</v>
      </c>
      <c r="S125" t="s">
        <v>2173</v>
      </c>
      <c r="T125">
        <v>202111</v>
      </c>
      <c r="U125" t="s">
        <v>223</v>
      </c>
      <c r="V125">
        <v>59171</v>
      </c>
    </row>
    <row r="126" spans="1:22">
      <c r="A126" t="s">
        <v>2315</v>
      </c>
      <c r="B126" t="s">
        <v>2316</v>
      </c>
      <c r="C126" t="s">
        <v>2317</v>
      </c>
      <c r="D126" t="s">
        <v>2318</v>
      </c>
      <c r="E126" t="s">
        <v>2173</v>
      </c>
      <c r="F126">
        <v>202108</v>
      </c>
      <c r="G126" t="s">
        <v>219</v>
      </c>
      <c r="H126">
        <v>1206</v>
      </c>
      <c r="O126" t="s">
        <v>2315</v>
      </c>
      <c r="P126" t="s">
        <v>2316</v>
      </c>
      <c r="Q126" t="s">
        <v>2317</v>
      </c>
      <c r="R126" t="s">
        <v>2318</v>
      </c>
      <c r="S126" t="s">
        <v>2173</v>
      </c>
      <c r="T126">
        <v>202111</v>
      </c>
      <c r="U126" t="s">
        <v>225</v>
      </c>
      <c r="V126">
        <v>0</v>
      </c>
    </row>
    <row r="127" spans="1:22">
      <c r="A127" t="s">
        <v>2315</v>
      </c>
      <c r="B127" t="s">
        <v>2316</v>
      </c>
      <c r="C127" t="s">
        <v>2317</v>
      </c>
      <c r="D127" t="s">
        <v>2318</v>
      </c>
      <c r="E127" t="s">
        <v>2173</v>
      </c>
      <c r="F127">
        <v>202109</v>
      </c>
      <c r="G127" t="s">
        <v>217</v>
      </c>
      <c r="H127">
        <v>1067</v>
      </c>
      <c r="O127" t="s">
        <v>2315</v>
      </c>
      <c r="P127" t="s">
        <v>2316</v>
      </c>
      <c r="Q127" t="s">
        <v>2317</v>
      </c>
      <c r="R127" t="s">
        <v>2318</v>
      </c>
      <c r="S127" t="s">
        <v>2173</v>
      </c>
      <c r="T127">
        <v>202112</v>
      </c>
      <c r="U127" t="s">
        <v>230</v>
      </c>
      <c r="V127">
        <v>603375</v>
      </c>
    </row>
    <row r="128" spans="1:22">
      <c r="A128" t="s">
        <v>2315</v>
      </c>
      <c r="B128" t="s">
        <v>2316</v>
      </c>
      <c r="C128" t="s">
        <v>2317</v>
      </c>
      <c r="D128" t="s">
        <v>2318</v>
      </c>
      <c r="E128" t="s">
        <v>2173</v>
      </c>
      <c r="F128">
        <v>202109</v>
      </c>
      <c r="G128" t="s">
        <v>219</v>
      </c>
      <c r="H128">
        <v>1022</v>
      </c>
      <c r="O128" t="s">
        <v>2315</v>
      </c>
      <c r="P128" t="s">
        <v>2316</v>
      </c>
      <c r="Q128" t="s">
        <v>2317</v>
      </c>
      <c r="R128" t="s">
        <v>2318</v>
      </c>
      <c r="S128" t="s">
        <v>2173</v>
      </c>
      <c r="T128">
        <v>202112</v>
      </c>
      <c r="U128" t="s">
        <v>231</v>
      </c>
      <c r="V128">
        <v>78418</v>
      </c>
    </row>
    <row r="129" spans="1:22">
      <c r="A129" t="s">
        <v>2315</v>
      </c>
      <c r="B129" t="s">
        <v>2316</v>
      </c>
      <c r="C129" t="s">
        <v>2317</v>
      </c>
      <c r="D129" t="s">
        <v>2318</v>
      </c>
      <c r="E129" t="s">
        <v>2173</v>
      </c>
      <c r="F129">
        <v>202110</v>
      </c>
      <c r="G129" t="s">
        <v>217</v>
      </c>
      <c r="H129">
        <v>1154</v>
      </c>
      <c r="O129" t="s">
        <v>2315</v>
      </c>
      <c r="P129" t="s">
        <v>2316</v>
      </c>
      <c r="Q129" t="s">
        <v>2317</v>
      </c>
      <c r="R129" t="s">
        <v>2318</v>
      </c>
      <c r="S129" t="s">
        <v>2173</v>
      </c>
      <c r="T129">
        <v>202112</v>
      </c>
      <c r="U129" t="s">
        <v>221</v>
      </c>
      <c r="V129">
        <v>603375</v>
      </c>
    </row>
    <row r="130" spans="1:22">
      <c r="A130" t="s">
        <v>2315</v>
      </c>
      <c r="B130" t="s">
        <v>2316</v>
      </c>
      <c r="C130" t="s">
        <v>2317</v>
      </c>
      <c r="D130" t="s">
        <v>2318</v>
      </c>
      <c r="E130" t="s">
        <v>2173</v>
      </c>
      <c r="F130">
        <v>202110</v>
      </c>
      <c r="G130" t="s">
        <v>219</v>
      </c>
      <c r="H130">
        <v>1327</v>
      </c>
      <c r="O130" t="s">
        <v>2315</v>
      </c>
      <c r="P130" t="s">
        <v>2316</v>
      </c>
      <c r="Q130" t="s">
        <v>2317</v>
      </c>
      <c r="R130" t="s">
        <v>2318</v>
      </c>
      <c r="S130" t="s">
        <v>2173</v>
      </c>
      <c r="T130">
        <v>202112</v>
      </c>
      <c r="U130" t="s">
        <v>223</v>
      </c>
      <c r="V130">
        <v>78418</v>
      </c>
    </row>
    <row r="131" spans="1:22">
      <c r="A131" t="s">
        <v>2315</v>
      </c>
      <c r="B131" t="s">
        <v>2316</v>
      </c>
      <c r="C131" t="s">
        <v>2317</v>
      </c>
      <c r="D131" t="s">
        <v>2318</v>
      </c>
      <c r="E131" t="s">
        <v>2173</v>
      </c>
      <c r="F131">
        <v>202111</v>
      </c>
      <c r="G131" t="s">
        <v>217</v>
      </c>
      <c r="H131">
        <v>1511</v>
      </c>
      <c r="O131" t="s">
        <v>2315</v>
      </c>
      <c r="P131" t="s">
        <v>2316</v>
      </c>
      <c r="Q131" t="s">
        <v>2317</v>
      </c>
      <c r="R131" t="s">
        <v>2318</v>
      </c>
      <c r="S131" t="s">
        <v>2173</v>
      </c>
      <c r="T131">
        <v>202112</v>
      </c>
      <c r="U131" t="s">
        <v>225</v>
      </c>
      <c r="V131">
        <v>0</v>
      </c>
    </row>
    <row r="132" spans="1:22">
      <c r="A132" t="s">
        <v>2315</v>
      </c>
      <c r="B132" t="s">
        <v>2316</v>
      </c>
      <c r="C132" t="s">
        <v>2317</v>
      </c>
      <c r="D132" t="s">
        <v>2318</v>
      </c>
      <c r="E132" t="s">
        <v>2173</v>
      </c>
      <c r="F132">
        <v>202111</v>
      </c>
      <c r="G132" t="s">
        <v>219</v>
      </c>
      <c r="H132">
        <v>1479</v>
      </c>
      <c r="O132" t="s">
        <v>2315</v>
      </c>
      <c r="P132" t="s">
        <v>2316</v>
      </c>
      <c r="Q132" t="s">
        <v>2317</v>
      </c>
      <c r="R132" t="s">
        <v>2318</v>
      </c>
      <c r="S132" t="s">
        <v>2173</v>
      </c>
      <c r="T132">
        <v>202201</v>
      </c>
      <c r="U132" t="s">
        <v>230</v>
      </c>
      <c r="V132">
        <v>632432</v>
      </c>
    </row>
    <row r="133" spans="1:22">
      <c r="A133" t="s">
        <v>2315</v>
      </c>
      <c r="B133" t="s">
        <v>2316</v>
      </c>
      <c r="C133" t="s">
        <v>2317</v>
      </c>
      <c r="D133" t="s">
        <v>2318</v>
      </c>
      <c r="E133" t="s">
        <v>2173</v>
      </c>
      <c r="F133">
        <v>202112</v>
      </c>
      <c r="G133" t="s">
        <v>217</v>
      </c>
      <c r="H133">
        <v>1813</v>
      </c>
      <c r="O133" t="s">
        <v>2315</v>
      </c>
      <c r="P133" t="s">
        <v>2316</v>
      </c>
      <c r="Q133" t="s">
        <v>2317</v>
      </c>
      <c r="R133" t="s">
        <v>2318</v>
      </c>
      <c r="S133" t="s">
        <v>2173</v>
      </c>
      <c r="T133">
        <v>202201</v>
      </c>
      <c r="U133" t="s">
        <v>231</v>
      </c>
      <c r="V133">
        <v>76768</v>
      </c>
    </row>
    <row r="134" spans="1:22">
      <c r="A134" t="s">
        <v>2315</v>
      </c>
      <c r="B134" t="s">
        <v>2316</v>
      </c>
      <c r="C134" t="s">
        <v>2317</v>
      </c>
      <c r="D134" t="s">
        <v>2318</v>
      </c>
      <c r="E134" t="s">
        <v>2173</v>
      </c>
      <c r="F134">
        <v>202112</v>
      </c>
      <c r="G134" t="s">
        <v>219</v>
      </c>
      <c r="H134">
        <v>1755</v>
      </c>
      <c r="O134" t="s">
        <v>2315</v>
      </c>
      <c r="P134" t="s">
        <v>2316</v>
      </c>
      <c r="Q134" t="s">
        <v>2317</v>
      </c>
      <c r="R134" t="s">
        <v>2318</v>
      </c>
      <c r="S134" t="s">
        <v>2173</v>
      </c>
      <c r="T134">
        <v>202201</v>
      </c>
      <c r="U134" t="s">
        <v>221</v>
      </c>
      <c r="V134">
        <v>632432</v>
      </c>
    </row>
    <row r="135" spans="1:22">
      <c r="A135" t="s">
        <v>2315</v>
      </c>
      <c r="B135" t="s">
        <v>2316</v>
      </c>
      <c r="C135" t="s">
        <v>2317</v>
      </c>
      <c r="D135" t="s">
        <v>2318</v>
      </c>
      <c r="E135" t="s">
        <v>2173</v>
      </c>
      <c r="F135">
        <v>202201</v>
      </c>
      <c r="G135" t="s">
        <v>217</v>
      </c>
      <c r="H135">
        <v>2086</v>
      </c>
      <c r="O135" t="s">
        <v>2315</v>
      </c>
      <c r="P135" t="s">
        <v>2316</v>
      </c>
      <c r="Q135" t="s">
        <v>2317</v>
      </c>
      <c r="R135" t="s">
        <v>2318</v>
      </c>
      <c r="S135" t="s">
        <v>2173</v>
      </c>
      <c r="T135">
        <v>202201</v>
      </c>
      <c r="U135" t="s">
        <v>223</v>
      </c>
      <c r="V135">
        <v>76768</v>
      </c>
    </row>
    <row r="136" spans="1:22">
      <c r="A136" t="s">
        <v>2315</v>
      </c>
      <c r="B136" t="s">
        <v>2316</v>
      </c>
      <c r="C136" t="s">
        <v>2317</v>
      </c>
      <c r="D136" t="s">
        <v>2318</v>
      </c>
      <c r="E136" t="s">
        <v>2173</v>
      </c>
      <c r="F136">
        <v>202201</v>
      </c>
      <c r="G136" t="s">
        <v>219</v>
      </c>
      <c r="H136">
        <v>2111</v>
      </c>
      <c r="O136" t="s">
        <v>2315</v>
      </c>
      <c r="P136" t="s">
        <v>2316</v>
      </c>
      <c r="Q136" t="s">
        <v>2317</v>
      </c>
      <c r="R136" t="s">
        <v>2318</v>
      </c>
      <c r="S136" t="s">
        <v>2173</v>
      </c>
      <c r="T136">
        <v>202201</v>
      </c>
      <c r="U136" t="s">
        <v>225</v>
      </c>
      <c r="V136">
        <v>0</v>
      </c>
    </row>
    <row r="137" spans="1:22">
      <c r="A137" t="s">
        <v>2315</v>
      </c>
      <c r="B137" t="s">
        <v>2316</v>
      </c>
      <c r="C137" t="s">
        <v>2317</v>
      </c>
      <c r="D137" t="s">
        <v>2318</v>
      </c>
      <c r="E137" t="s">
        <v>2173</v>
      </c>
      <c r="F137">
        <v>202202</v>
      </c>
      <c r="G137" t="s">
        <v>217</v>
      </c>
      <c r="H137">
        <v>1549</v>
      </c>
      <c r="O137" t="s">
        <v>2315</v>
      </c>
      <c r="P137" t="s">
        <v>2316</v>
      </c>
      <c r="Q137" t="s">
        <v>2317</v>
      </c>
      <c r="R137" t="s">
        <v>2318</v>
      </c>
      <c r="S137" t="s">
        <v>2173</v>
      </c>
      <c r="T137">
        <v>202202</v>
      </c>
      <c r="U137" t="s">
        <v>230</v>
      </c>
      <c r="V137">
        <v>438084</v>
      </c>
    </row>
    <row r="138" spans="1:22">
      <c r="A138" t="s">
        <v>2315</v>
      </c>
      <c r="B138" t="s">
        <v>2316</v>
      </c>
      <c r="C138" t="s">
        <v>2317</v>
      </c>
      <c r="D138" t="s">
        <v>2318</v>
      </c>
      <c r="E138" t="s">
        <v>2173</v>
      </c>
      <c r="F138">
        <v>202202</v>
      </c>
      <c r="G138" t="s">
        <v>219</v>
      </c>
      <c r="H138">
        <v>1529</v>
      </c>
      <c r="O138" t="s">
        <v>2315</v>
      </c>
      <c r="P138" t="s">
        <v>2316</v>
      </c>
      <c r="Q138" t="s">
        <v>2317</v>
      </c>
      <c r="R138" t="s">
        <v>2318</v>
      </c>
      <c r="S138" t="s">
        <v>2173</v>
      </c>
      <c r="T138">
        <v>202202</v>
      </c>
      <c r="U138" t="s">
        <v>231</v>
      </c>
      <c r="V138">
        <v>60724</v>
      </c>
    </row>
    <row r="139" spans="1:22">
      <c r="A139" t="s">
        <v>2315</v>
      </c>
      <c r="B139" t="s">
        <v>2316</v>
      </c>
      <c r="C139" t="s">
        <v>2317</v>
      </c>
      <c r="D139" t="s">
        <v>2318</v>
      </c>
      <c r="E139" t="s">
        <v>2173</v>
      </c>
      <c r="F139">
        <v>202203</v>
      </c>
      <c r="G139" t="s">
        <v>217</v>
      </c>
      <c r="H139">
        <v>1215</v>
      </c>
      <c r="O139" t="s">
        <v>2315</v>
      </c>
      <c r="P139" t="s">
        <v>2316</v>
      </c>
      <c r="Q139" t="s">
        <v>2317</v>
      </c>
      <c r="R139" t="s">
        <v>2318</v>
      </c>
      <c r="S139" t="s">
        <v>2173</v>
      </c>
      <c r="T139">
        <v>202202</v>
      </c>
      <c r="U139" t="s">
        <v>221</v>
      </c>
      <c r="V139">
        <v>438084</v>
      </c>
    </row>
    <row r="140" spans="1:22">
      <c r="A140" t="s">
        <v>2315</v>
      </c>
      <c r="B140" t="s">
        <v>2316</v>
      </c>
      <c r="C140" t="s">
        <v>2317</v>
      </c>
      <c r="D140" t="s">
        <v>2318</v>
      </c>
      <c r="E140" t="s">
        <v>2173</v>
      </c>
      <c r="F140">
        <v>202203</v>
      </c>
      <c r="G140" t="s">
        <v>219</v>
      </c>
      <c r="H140">
        <v>1264</v>
      </c>
      <c r="O140" t="s">
        <v>2315</v>
      </c>
      <c r="P140" t="s">
        <v>2316</v>
      </c>
      <c r="Q140" t="s">
        <v>2317</v>
      </c>
      <c r="R140" t="s">
        <v>2318</v>
      </c>
      <c r="S140" t="s">
        <v>2173</v>
      </c>
      <c r="T140">
        <v>202202</v>
      </c>
      <c r="U140" t="s">
        <v>223</v>
      </c>
      <c r="V140">
        <v>60724</v>
      </c>
    </row>
    <row r="141" spans="1:22">
      <c r="A141" t="s">
        <v>2315</v>
      </c>
      <c r="B141" t="s">
        <v>2316</v>
      </c>
      <c r="C141" t="s">
        <v>2317</v>
      </c>
      <c r="D141" t="s">
        <v>2318</v>
      </c>
      <c r="E141" t="s">
        <v>2173</v>
      </c>
      <c r="F141">
        <v>202204</v>
      </c>
      <c r="G141" t="s">
        <v>217</v>
      </c>
      <c r="H141">
        <v>1322</v>
      </c>
      <c r="O141" t="s">
        <v>2315</v>
      </c>
      <c r="P141" t="s">
        <v>2316</v>
      </c>
      <c r="Q141" t="s">
        <v>2317</v>
      </c>
      <c r="R141" t="s">
        <v>2318</v>
      </c>
      <c r="S141" t="s">
        <v>2173</v>
      </c>
      <c r="T141">
        <v>202202</v>
      </c>
      <c r="U141" t="s">
        <v>225</v>
      </c>
      <c r="V141">
        <v>0</v>
      </c>
    </row>
    <row r="142" spans="1:22">
      <c r="A142" t="s">
        <v>2315</v>
      </c>
      <c r="B142" t="s">
        <v>2316</v>
      </c>
      <c r="C142" t="s">
        <v>2317</v>
      </c>
      <c r="D142" t="s">
        <v>2318</v>
      </c>
      <c r="E142" t="s">
        <v>2173</v>
      </c>
      <c r="F142">
        <v>202204</v>
      </c>
      <c r="G142" t="s">
        <v>219</v>
      </c>
      <c r="H142">
        <v>1361</v>
      </c>
      <c r="O142" t="s">
        <v>2315</v>
      </c>
      <c r="P142" t="s">
        <v>2316</v>
      </c>
      <c r="Q142" t="s">
        <v>2317</v>
      </c>
      <c r="R142" t="s">
        <v>2318</v>
      </c>
      <c r="S142" t="s">
        <v>2173</v>
      </c>
      <c r="T142">
        <v>202203</v>
      </c>
      <c r="U142" t="s">
        <v>230</v>
      </c>
      <c r="V142">
        <v>410329</v>
      </c>
    </row>
    <row r="143" spans="1:22">
      <c r="A143" t="s">
        <v>2315</v>
      </c>
      <c r="B143" t="s">
        <v>2316</v>
      </c>
      <c r="C143" t="s">
        <v>2317</v>
      </c>
      <c r="D143" t="s">
        <v>2318</v>
      </c>
      <c r="E143" t="s">
        <v>2173</v>
      </c>
      <c r="F143">
        <v>202205</v>
      </c>
      <c r="G143" t="s">
        <v>217</v>
      </c>
      <c r="H143">
        <v>1251</v>
      </c>
      <c r="O143" t="s">
        <v>2315</v>
      </c>
      <c r="P143" t="s">
        <v>2316</v>
      </c>
      <c r="Q143" t="s">
        <v>2317</v>
      </c>
      <c r="R143" t="s">
        <v>2318</v>
      </c>
      <c r="S143" t="s">
        <v>2173</v>
      </c>
      <c r="T143">
        <v>202203</v>
      </c>
      <c r="U143" t="s">
        <v>231</v>
      </c>
      <c r="V143">
        <v>58777</v>
      </c>
    </row>
    <row r="144" spans="1:22">
      <c r="A144" t="s">
        <v>2315</v>
      </c>
      <c r="B144" t="s">
        <v>2316</v>
      </c>
      <c r="C144" t="s">
        <v>2317</v>
      </c>
      <c r="D144" t="s">
        <v>2318</v>
      </c>
      <c r="E144" t="s">
        <v>2173</v>
      </c>
      <c r="F144">
        <v>202205</v>
      </c>
      <c r="G144" t="s">
        <v>219</v>
      </c>
      <c r="H144">
        <v>1251</v>
      </c>
      <c r="O144" t="s">
        <v>2315</v>
      </c>
      <c r="P144" t="s">
        <v>2316</v>
      </c>
      <c r="Q144" t="s">
        <v>2317</v>
      </c>
      <c r="R144" t="s">
        <v>2318</v>
      </c>
      <c r="S144" t="s">
        <v>2173</v>
      </c>
      <c r="T144">
        <v>202203</v>
      </c>
      <c r="U144" t="s">
        <v>221</v>
      </c>
      <c r="V144">
        <v>410329</v>
      </c>
    </row>
    <row r="145" spans="1:22">
      <c r="A145" t="s">
        <v>2315</v>
      </c>
      <c r="B145" t="s">
        <v>2316</v>
      </c>
      <c r="C145" t="s">
        <v>2317</v>
      </c>
      <c r="D145" t="s">
        <v>2318</v>
      </c>
      <c r="E145" t="s">
        <v>2173</v>
      </c>
      <c r="F145">
        <v>202206</v>
      </c>
      <c r="G145" t="s">
        <v>217</v>
      </c>
      <c r="H145">
        <v>1345</v>
      </c>
      <c r="O145" t="s">
        <v>2315</v>
      </c>
      <c r="P145" t="s">
        <v>2316</v>
      </c>
      <c r="Q145" t="s">
        <v>2317</v>
      </c>
      <c r="R145" t="s">
        <v>2318</v>
      </c>
      <c r="S145" t="s">
        <v>2173</v>
      </c>
      <c r="T145">
        <v>202203</v>
      </c>
      <c r="U145" t="s">
        <v>223</v>
      </c>
      <c r="V145">
        <v>58777</v>
      </c>
    </row>
    <row r="146" spans="1:22">
      <c r="A146" t="s">
        <v>2315</v>
      </c>
      <c r="B146" t="s">
        <v>2316</v>
      </c>
      <c r="C146" t="s">
        <v>2317</v>
      </c>
      <c r="D146" t="s">
        <v>2318</v>
      </c>
      <c r="E146" t="s">
        <v>2173</v>
      </c>
      <c r="F146">
        <v>202206</v>
      </c>
      <c r="G146" t="s">
        <v>219</v>
      </c>
      <c r="H146">
        <v>1161</v>
      </c>
      <c r="O146" t="s">
        <v>2315</v>
      </c>
      <c r="P146" t="s">
        <v>2316</v>
      </c>
      <c r="Q146" t="s">
        <v>2317</v>
      </c>
      <c r="R146" t="s">
        <v>2318</v>
      </c>
      <c r="S146" t="s">
        <v>2173</v>
      </c>
      <c r="T146">
        <v>202203</v>
      </c>
      <c r="U146" t="s">
        <v>225</v>
      </c>
      <c r="V146">
        <v>0</v>
      </c>
    </row>
    <row r="147" spans="1:22">
      <c r="A147" t="s">
        <v>2315</v>
      </c>
      <c r="B147" t="s">
        <v>2316</v>
      </c>
      <c r="C147" t="s">
        <v>2310</v>
      </c>
      <c r="D147" t="s">
        <v>2311</v>
      </c>
      <c r="E147" t="s">
        <v>2173</v>
      </c>
      <c r="F147">
        <v>202104</v>
      </c>
      <c r="G147" t="s">
        <v>230</v>
      </c>
      <c r="H147">
        <v>7751661.1600000001</v>
      </c>
      <c r="O147" t="s">
        <v>2315</v>
      </c>
      <c r="P147" t="s">
        <v>2316</v>
      </c>
      <c r="Q147" t="s">
        <v>2317</v>
      </c>
      <c r="R147" t="s">
        <v>2318</v>
      </c>
      <c r="S147" t="s">
        <v>2173</v>
      </c>
      <c r="T147">
        <v>202204</v>
      </c>
      <c r="U147" t="s">
        <v>230</v>
      </c>
      <c r="V147">
        <v>395520</v>
      </c>
    </row>
    <row r="148" spans="1:22">
      <c r="A148" t="s">
        <v>2315</v>
      </c>
      <c r="B148" t="s">
        <v>2316</v>
      </c>
      <c r="C148" t="s">
        <v>2310</v>
      </c>
      <c r="D148" t="s">
        <v>2311</v>
      </c>
      <c r="E148" t="s">
        <v>2173</v>
      </c>
      <c r="F148">
        <v>202104</v>
      </c>
      <c r="G148" t="s">
        <v>231</v>
      </c>
      <c r="H148">
        <v>1138997.01</v>
      </c>
      <c r="O148" t="s">
        <v>2315</v>
      </c>
      <c r="P148" t="s">
        <v>2316</v>
      </c>
      <c r="Q148" t="s">
        <v>2317</v>
      </c>
      <c r="R148" t="s">
        <v>2318</v>
      </c>
      <c r="S148" t="s">
        <v>2173</v>
      </c>
      <c r="T148">
        <v>202204</v>
      </c>
      <c r="U148" t="s">
        <v>231</v>
      </c>
      <c r="V148">
        <v>49345</v>
      </c>
    </row>
    <row r="149" spans="1:22">
      <c r="A149" t="s">
        <v>2315</v>
      </c>
      <c r="B149" t="s">
        <v>2316</v>
      </c>
      <c r="C149" t="s">
        <v>2310</v>
      </c>
      <c r="D149" t="s">
        <v>2311</v>
      </c>
      <c r="E149" t="s">
        <v>2173</v>
      </c>
      <c r="F149">
        <v>202104</v>
      </c>
      <c r="G149" t="s">
        <v>221</v>
      </c>
      <c r="H149">
        <v>7872847.54</v>
      </c>
      <c r="O149" t="s">
        <v>2315</v>
      </c>
      <c r="P149" t="s">
        <v>2316</v>
      </c>
      <c r="Q149" t="s">
        <v>2317</v>
      </c>
      <c r="R149" t="s">
        <v>2318</v>
      </c>
      <c r="S149" t="s">
        <v>2173</v>
      </c>
      <c r="T149">
        <v>202204</v>
      </c>
      <c r="U149" t="s">
        <v>221</v>
      </c>
      <c r="V149">
        <v>395520</v>
      </c>
    </row>
    <row r="150" spans="1:22">
      <c r="A150" t="s">
        <v>2315</v>
      </c>
      <c r="B150" t="s">
        <v>2316</v>
      </c>
      <c r="C150" t="s">
        <v>2310</v>
      </c>
      <c r="D150" t="s">
        <v>2311</v>
      </c>
      <c r="E150" t="s">
        <v>2173</v>
      </c>
      <c r="F150">
        <v>202104</v>
      </c>
      <c r="G150" t="s">
        <v>223</v>
      </c>
      <c r="H150">
        <v>1156803.6299999999</v>
      </c>
      <c r="O150" t="s">
        <v>2315</v>
      </c>
      <c r="P150" t="s">
        <v>2316</v>
      </c>
      <c r="Q150" t="s">
        <v>2317</v>
      </c>
      <c r="R150" t="s">
        <v>2318</v>
      </c>
      <c r="S150" t="s">
        <v>2173</v>
      </c>
      <c r="T150">
        <v>202204</v>
      </c>
      <c r="U150" t="s">
        <v>223</v>
      </c>
      <c r="V150">
        <v>49345</v>
      </c>
    </row>
    <row r="151" spans="1:22">
      <c r="A151" t="s">
        <v>2315</v>
      </c>
      <c r="B151" t="s">
        <v>2316</v>
      </c>
      <c r="C151" t="s">
        <v>2310</v>
      </c>
      <c r="D151" t="s">
        <v>2311</v>
      </c>
      <c r="E151" t="s">
        <v>2173</v>
      </c>
      <c r="F151">
        <v>202104</v>
      </c>
      <c r="G151" t="s">
        <v>225</v>
      </c>
      <c r="H151">
        <v>0</v>
      </c>
      <c r="O151" t="s">
        <v>2315</v>
      </c>
      <c r="P151" t="s">
        <v>2316</v>
      </c>
      <c r="Q151" t="s">
        <v>2317</v>
      </c>
      <c r="R151" t="s">
        <v>2318</v>
      </c>
      <c r="S151" t="s">
        <v>2173</v>
      </c>
      <c r="T151">
        <v>202204</v>
      </c>
      <c r="U151" t="s">
        <v>225</v>
      </c>
      <c r="V151">
        <v>0</v>
      </c>
    </row>
    <row r="152" spans="1:22">
      <c r="A152" t="s">
        <v>2315</v>
      </c>
      <c r="B152" t="s">
        <v>2316</v>
      </c>
      <c r="C152" t="s">
        <v>2310</v>
      </c>
      <c r="D152" t="s">
        <v>2311</v>
      </c>
      <c r="E152" t="s">
        <v>2173</v>
      </c>
      <c r="F152">
        <v>202105</v>
      </c>
      <c r="G152" t="s">
        <v>230</v>
      </c>
      <c r="H152">
        <v>7481388.46</v>
      </c>
      <c r="O152" t="s">
        <v>2315</v>
      </c>
      <c r="P152" t="s">
        <v>2316</v>
      </c>
      <c r="Q152" t="s">
        <v>2317</v>
      </c>
      <c r="R152" t="s">
        <v>2318</v>
      </c>
      <c r="S152" t="s">
        <v>2173</v>
      </c>
      <c r="T152">
        <v>202205</v>
      </c>
      <c r="U152" t="s">
        <v>230</v>
      </c>
      <c r="V152">
        <v>348144</v>
      </c>
    </row>
    <row r="153" spans="1:22">
      <c r="A153" t="s">
        <v>2315</v>
      </c>
      <c r="B153" t="s">
        <v>2316</v>
      </c>
      <c r="C153" t="s">
        <v>2310</v>
      </c>
      <c r="D153" t="s">
        <v>2311</v>
      </c>
      <c r="E153" t="s">
        <v>2173</v>
      </c>
      <c r="F153">
        <v>202105</v>
      </c>
      <c r="G153" t="s">
        <v>231</v>
      </c>
      <c r="H153">
        <v>1003212.29</v>
      </c>
      <c r="O153" t="s">
        <v>2315</v>
      </c>
      <c r="P153" t="s">
        <v>2316</v>
      </c>
      <c r="Q153" t="s">
        <v>2317</v>
      </c>
      <c r="R153" t="s">
        <v>2318</v>
      </c>
      <c r="S153" t="s">
        <v>2173</v>
      </c>
      <c r="T153">
        <v>202205</v>
      </c>
      <c r="U153" t="s">
        <v>231</v>
      </c>
      <c r="V153">
        <v>50286</v>
      </c>
    </row>
    <row r="154" spans="1:22">
      <c r="A154" t="s">
        <v>2315</v>
      </c>
      <c r="B154" t="s">
        <v>2316</v>
      </c>
      <c r="C154" t="s">
        <v>2310</v>
      </c>
      <c r="D154" t="s">
        <v>2311</v>
      </c>
      <c r="E154" t="s">
        <v>2173</v>
      </c>
      <c r="F154">
        <v>202105</v>
      </c>
      <c r="G154" t="s">
        <v>221</v>
      </c>
      <c r="H154">
        <v>7610452.6699999999</v>
      </c>
      <c r="O154" t="s">
        <v>2315</v>
      </c>
      <c r="P154" t="s">
        <v>2316</v>
      </c>
      <c r="Q154" t="s">
        <v>2317</v>
      </c>
      <c r="R154" t="s">
        <v>2318</v>
      </c>
      <c r="S154" t="s">
        <v>2173</v>
      </c>
      <c r="T154">
        <v>202205</v>
      </c>
      <c r="U154" t="s">
        <v>221</v>
      </c>
      <c r="V154">
        <v>348144</v>
      </c>
    </row>
    <row r="155" spans="1:22">
      <c r="A155" t="s">
        <v>2315</v>
      </c>
      <c r="B155" t="s">
        <v>2316</v>
      </c>
      <c r="C155" t="s">
        <v>2310</v>
      </c>
      <c r="D155" t="s">
        <v>2311</v>
      </c>
      <c r="E155" t="s">
        <v>2173</v>
      </c>
      <c r="F155">
        <v>202105</v>
      </c>
      <c r="G155" t="s">
        <v>223</v>
      </c>
      <c r="H155">
        <v>1020519.08</v>
      </c>
      <c r="O155" t="s">
        <v>2315</v>
      </c>
      <c r="P155" t="s">
        <v>2316</v>
      </c>
      <c r="Q155" t="s">
        <v>2317</v>
      </c>
      <c r="R155" t="s">
        <v>2318</v>
      </c>
      <c r="S155" t="s">
        <v>2173</v>
      </c>
      <c r="T155">
        <v>202205</v>
      </c>
      <c r="U155" t="s">
        <v>223</v>
      </c>
      <c r="V155">
        <v>50286</v>
      </c>
    </row>
    <row r="156" spans="1:22">
      <c r="A156" t="s">
        <v>2315</v>
      </c>
      <c r="B156" t="s">
        <v>2316</v>
      </c>
      <c r="C156" t="s">
        <v>2310</v>
      </c>
      <c r="D156" t="s">
        <v>2311</v>
      </c>
      <c r="E156" t="s">
        <v>2173</v>
      </c>
      <c r="F156">
        <v>202106</v>
      </c>
      <c r="G156" t="s">
        <v>230</v>
      </c>
      <c r="H156">
        <v>10128274.15</v>
      </c>
      <c r="O156" t="s">
        <v>2315</v>
      </c>
      <c r="P156" t="s">
        <v>2316</v>
      </c>
      <c r="Q156" t="s">
        <v>2317</v>
      </c>
      <c r="R156" t="s">
        <v>2318</v>
      </c>
      <c r="S156" t="s">
        <v>2173</v>
      </c>
      <c r="T156">
        <v>202205</v>
      </c>
      <c r="U156" t="s">
        <v>225</v>
      </c>
      <c r="V156">
        <v>0</v>
      </c>
    </row>
    <row r="157" spans="1:22">
      <c r="A157" t="s">
        <v>2315</v>
      </c>
      <c r="B157" t="s">
        <v>2316</v>
      </c>
      <c r="C157" t="s">
        <v>2310</v>
      </c>
      <c r="D157" t="s">
        <v>2311</v>
      </c>
      <c r="E157" t="s">
        <v>2173</v>
      </c>
      <c r="F157">
        <v>202106</v>
      </c>
      <c r="G157" t="s">
        <v>231</v>
      </c>
      <c r="H157">
        <v>1476116.63</v>
      </c>
      <c r="O157" t="s">
        <v>2315</v>
      </c>
      <c r="P157" t="s">
        <v>2316</v>
      </c>
      <c r="Q157" t="s">
        <v>2317</v>
      </c>
      <c r="R157" t="s">
        <v>2318</v>
      </c>
      <c r="S157" t="s">
        <v>2173</v>
      </c>
      <c r="T157">
        <v>202206</v>
      </c>
      <c r="U157" t="s">
        <v>230</v>
      </c>
      <c r="V157">
        <v>354028</v>
      </c>
    </row>
    <row r="158" spans="1:22">
      <c r="A158" t="s">
        <v>2315</v>
      </c>
      <c r="B158" t="s">
        <v>2316</v>
      </c>
      <c r="C158" t="s">
        <v>2310</v>
      </c>
      <c r="D158" t="s">
        <v>2311</v>
      </c>
      <c r="E158" t="s">
        <v>2173</v>
      </c>
      <c r="F158">
        <v>202106</v>
      </c>
      <c r="G158" t="s">
        <v>221</v>
      </c>
      <c r="H158">
        <v>10411873.789999999</v>
      </c>
      <c r="O158" t="s">
        <v>2315</v>
      </c>
      <c r="P158" t="s">
        <v>2316</v>
      </c>
      <c r="Q158" t="s">
        <v>2317</v>
      </c>
      <c r="R158" t="s">
        <v>2318</v>
      </c>
      <c r="S158" t="s">
        <v>2173</v>
      </c>
      <c r="T158">
        <v>202206</v>
      </c>
      <c r="U158" t="s">
        <v>231</v>
      </c>
      <c r="V158">
        <v>50335</v>
      </c>
    </row>
    <row r="159" spans="1:22">
      <c r="A159" t="s">
        <v>2315</v>
      </c>
      <c r="B159" t="s">
        <v>2316</v>
      </c>
      <c r="C159" t="s">
        <v>2310</v>
      </c>
      <c r="D159" t="s">
        <v>2311</v>
      </c>
      <c r="E159" t="s">
        <v>2173</v>
      </c>
      <c r="F159">
        <v>202106</v>
      </c>
      <c r="G159" t="s">
        <v>223</v>
      </c>
      <c r="H159">
        <v>1517484.99</v>
      </c>
      <c r="O159" t="s">
        <v>2315</v>
      </c>
      <c r="P159" t="s">
        <v>2316</v>
      </c>
      <c r="Q159" t="s">
        <v>2317</v>
      </c>
      <c r="R159" t="s">
        <v>2318</v>
      </c>
      <c r="S159" t="s">
        <v>2173</v>
      </c>
      <c r="T159">
        <v>202206</v>
      </c>
      <c r="U159" t="s">
        <v>221</v>
      </c>
      <c r="V159">
        <v>354028</v>
      </c>
    </row>
    <row r="160" spans="1:22">
      <c r="A160" t="s">
        <v>2315</v>
      </c>
      <c r="B160" t="s">
        <v>2316</v>
      </c>
      <c r="C160" t="s">
        <v>2310</v>
      </c>
      <c r="D160" t="s">
        <v>2311</v>
      </c>
      <c r="E160" t="s">
        <v>2173</v>
      </c>
      <c r="F160">
        <v>202106</v>
      </c>
      <c r="G160" t="s">
        <v>225</v>
      </c>
      <c r="H160">
        <v>0</v>
      </c>
      <c r="O160" t="s">
        <v>2315</v>
      </c>
      <c r="P160" t="s">
        <v>2316</v>
      </c>
      <c r="Q160" t="s">
        <v>2317</v>
      </c>
      <c r="R160" t="s">
        <v>2318</v>
      </c>
      <c r="S160" t="s">
        <v>2173</v>
      </c>
      <c r="T160">
        <v>202206</v>
      </c>
      <c r="U160" t="s">
        <v>223</v>
      </c>
      <c r="V160">
        <v>50335</v>
      </c>
    </row>
    <row r="161" spans="1:22">
      <c r="A161" t="s">
        <v>2315</v>
      </c>
      <c r="B161" t="s">
        <v>2316</v>
      </c>
      <c r="C161" t="s">
        <v>2310</v>
      </c>
      <c r="D161" t="s">
        <v>2311</v>
      </c>
      <c r="E161" t="s">
        <v>2173</v>
      </c>
      <c r="F161">
        <v>202107</v>
      </c>
      <c r="G161" t="s">
        <v>230</v>
      </c>
      <c r="H161">
        <v>4851863.97</v>
      </c>
      <c r="O161" t="s">
        <v>2315</v>
      </c>
      <c r="P161" t="s">
        <v>2316</v>
      </c>
      <c r="Q161" t="s">
        <v>2317</v>
      </c>
      <c r="R161" t="s">
        <v>2318</v>
      </c>
      <c r="S161" t="s">
        <v>2173</v>
      </c>
      <c r="T161">
        <v>202206</v>
      </c>
      <c r="U161" t="s">
        <v>225</v>
      </c>
      <c r="V161">
        <v>0</v>
      </c>
    </row>
    <row r="162" spans="1:22">
      <c r="A162" t="s">
        <v>2315</v>
      </c>
      <c r="B162" t="s">
        <v>2316</v>
      </c>
      <c r="C162" t="s">
        <v>2310</v>
      </c>
      <c r="D162" t="s">
        <v>2311</v>
      </c>
      <c r="E162" t="s">
        <v>2173</v>
      </c>
      <c r="F162">
        <v>202107</v>
      </c>
      <c r="G162" t="s">
        <v>231</v>
      </c>
      <c r="H162">
        <v>790602.64</v>
      </c>
    </row>
    <row r="163" spans="1:22">
      <c r="A163" t="s">
        <v>2315</v>
      </c>
      <c r="B163" t="s">
        <v>2316</v>
      </c>
      <c r="C163" t="s">
        <v>2310</v>
      </c>
      <c r="D163" t="s">
        <v>2311</v>
      </c>
      <c r="E163" t="s">
        <v>2173</v>
      </c>
      <c r="F163">
        <v>202107</v>
      </c>
      <c r="G163" t="s">
        <v>221</v>
      </c>
      <c r="H163">
        <v>4993645.87</v>
      </c>
      <c r="O163" t="s">
        <v>2315</v>
      </c>
      <c r="P163" t="s">
        <v>2316</v>
      </c>
      <c r="Q163" t="s">
        <v>2310</v>
      </c>
      <c r="R163" t="s">
        <v>2311</v>
      </c>
      <c r="S163" t="s">
        <v>2173</v>
      </c>
      <c r="T163">
        <v>202205</v>
      </c>
      <c r="U163" t="s">
        <v>217</v>
      </c>
      <c r="V163">
        <v>21659.67</v>
      </c>
    </row>
    <row r="164" spans="1:22">
      <c r="A164" t="s">
        <v>2315</v>
      </c>
      <c r="B164" t="s">
        <v>2316</v>
      </c>
      <c r="C164" t="s">
        <v>2310</v>
      </c>
      <c r="D164" t="s">
        <v>2311</v>
      </c>
      <c r="E164" t="s">
        <v>2173</v>
      </c>
      <c r="F164">
        <v>202107</v>
      </c>
      <c r="G164" t="s">
        <v>223</v>
      </c>
      <c r="H164">
        <v>813705.74</v>
      </c>
      <c r="O164" t="s">
        <v>2315</v>
      </c>
      <c r="P164" t="s">
        <v>2316</v>
      </c>
      <c r="Q164" t="s">
        <v>2310</v>
      </c>
      <c r="R164" t="s">
        <v>2311</v>
      </c>
      <c r="S164" t="s">
        <v>2173</v>
      </c>
      <c r="T164">
        <v>202205</v>
      </c>
      <c r="U164" t="s">
        <v>219</v>
      </c>
      <c r="V164">
        <v>21209.09</v>
      </c>
    </row>
    <row r="165" spans="1:22">
      <c r="A165" t="s">
        <v>2315</v>
      </c>
      <c r="B165" t="s">
        <v>2316</v>
      </c>
      <c r="C165" t="s">
        <v>2310</v>
      </c>
      <c r="D165" t="s">
        <v>2311</v>
      </c>
      <c r="E165" t="s">
        <v>2173</v>
      </c>
      <c r="F165">
        <v>202107</v>
      </c>
      <c r="G165" t="s">
        <v>225</v>
      </c>
      <c r="H165">
        <v>164885</v>
      </c>
      <c r="O165" t="s">
        <v>2315</v>
      </c>
      <c r="P165" t="s">
        <v>2316</v>
      </c>
      <c r="Q165" t="s">
        <v>2310</v>
      </c>
      <c r="R165" t="s">
        <v>2311</v>
      </c>
      <c r="S165" t="s">
        <v>2173</v>
      </c>
      <c r="T165">
        <v>202205</v>
      </c>
      <c r="U165" t="s">
        <v>230</v>
      </c>
      <c r="V165">
        <v>6290898.4199999999</v>
      </c>
    </row>
    <row r="166" spans="1:22">
      <c r="A166" t="s">
        <v>2315</v>
      </c>
      <c r="B166" t="s">
        <v>2316</v>
      </c>
      <c r="C166" t="s">
        <v>2310</v>
      </c>
      <c r="D166" t="s">
        <v>2311</v>
      </c>
      <c r="E166" t="s">
        <v>2173</v>
      </c>
      <c r="F166">
        <v>202108</v>
      </c>
      <c r="G166" t="s">
        <v>230</v>
      </c>
      <c r="H166">
        <v>4656182.01</v>
      </c>
      <c r="O166" t="s">
        <v>2315</v>
      </c>
      <c r="P166" t="s">
        <v>2316</v>
      </c>
      <c r="Q166" t="s">
        <v>2310</v>
      </c>
      <c r="R166" t="s">
        <v>2311</v>
      </c>
      <c r="S166" t="s">
        <v>2173</v>
      </c>
      <c r="T166">
        <v>202205</v>
      </c>
      <c r="U166" t="s">
        <v>231</v>
      </c>
      <c r="V166">
        <v>913367.01</v>
      </c>
    </row>
    <row r="167" spans="1:22">
      <c r="A167" t="s">
        <v>2315</v>
      </c>
      <c r="B167" t="s">
        <v>2316</v>
      </c>
      <c r="C167" t="s">
        <v>2310</v>
      </c>
      <c r="D167" t="s">
        <v>2311</v>
      </c>
      <c r="E167" t="s">
        <v>2173</v>
      </c>
      <c r="F167">
        <v>202108</v>
      </c>
      <c r="G167" t="s">
        <v>231</v>
      </c>
      <c r="H167">
        <v>762607.89</v>
      </c>
      <c r="O167" t="s">
        <v>2315</v>
      </c>
      <c r="P167" t="s">
        <v>2316</v>
      </c>
      <c r="Q167" t="s">
        <v>2310</v>
      </c>
      <c r="R167" t="s">
        <v>2311</v>
      </c>
      <c r="S167" t="s">
        <v>2173</v>
      </c>
      <c r="T167">
        <v>202205</v>
      </c>
      <c r="U167" t="s">
        <v>221</v>
      </c>
      <c r="V167">
        <v>6514134.6299999999</v>
      </c>
    </row>
    <row r="168" spans="1:22">
      <c r="A168" t="s">
        <v>2315</v>
      </c>
      <c r="B168" t="s">
        <v>2316</v>
      </c>
      <c r="C168" t="s">
        <v>2310</v>
      </c>
      <c r="D168" t="s">
        <v>2311</v>
      </c>
      <c r="E168" t="s">
        <v>2173</v>
      </c>
      <c r="F168">
        <v>202108</v>
      </c>
      <c r="G168" t="s">
        <v>221</v>
      </c>
      <c r="H168">
        <v>4804624.24</v>
      </c>
      <c r="O168" t="s">
        <v>2315</v>
      </c>
      <c r="P168" t="s">
        <v>2316</v>
      </c>
      <c r="Q168" t="s">
        <v>2310</v>
      </c>
      <c r="R168" t="s">
        <v>2311</v>
      </c>
      <c r="S168" t="s">
        <v>2173</v>
      </c>
      <c r="T168">
        <v>202205</v>
      </c>
      <c r="U168" t="s">
        <v>223</v>
      </c>
      <c r="V168">
        <v>946744.8</v>
      </c>
    </row>
    <row r="169" spans="1:22">
      <c r="A169" t="s">
        <v>2315</v>
      </c>
      <c r="B169" t="s">
        <v>2316</v>
      </c>
      <c r="C169" t="s">
        <v>2310</v>
      </c>
      <c r="D169" t="s">
        <v>2311</v>
      </c>
      <c r="E169" t="s">
        <v>2173</v>
      </c>
      <c r="F169">
        <v>202108</v>
      </c>
      <c r="G169" t="s">
        <v>223</v>
      </c>
      <c r="H169">
        <v>806347.66</v>
      </c>
      <c r="O169" t="s">
        <v>2315</v>
      </c>
      <c r="P169" t="s">
        <v>2316</v>
      </c>
      <c r="Q169" t="s">
        <v>2310</v>
      </c>
      <c r="R169" t="s">
        <v>2311</v>
      </c>
      <c r="S169" t="s">
        <v>2173</v>
      </c>
      <c r="T169">
        <v>202205</v>
      </c>
      <c r="U169" t="s">
        <v>225</v>
      </c>
      <c r="V169">
        <v>123534</v>
      </c>
    </row>
    <row r="170" spans="1:22">
      <c r="A170" t="s">
        <v>2315</v>
      </c>
      <c r="B170" t="s">
        <v>2316</v>
      </c>
      <c r="C170" t="s">
        <v>2310</v>
      </c>
      <c r="D170" t="s">
        <v>2311</v>
      </c>
      <c r="E170" t="s">
        <v>2173</v>
      </c>
      <c r="F170">
        <v>202108</v>
      </c>
      <c r="G170" t="s">
        <v>225</v>
      </c>
      <c r="H170">
        <v>171602</v>
      </c>
    </row>
    <row r="171" spans="1:22">
      <c r="A171" t="s">
        <v>2315</v>
      </c>
      <c r="B171" t="s">
        <v>2316</v>
      </c>
      <c r="C171" t="s">
        <v>2310</v>
      </c>
      <c r="D171" t="s">
        <v>2311</v>
      </c>
      <c r="E171" t="s">
        <v>2173</v>
      </c>
      <c r="F171">
        <v>202109</v>
      </c>
      <c r="G171" t="s">
        <v>230</v>
      </c>
      <c r="H171">
        <v>4350715.96</v>
      </c>
    </row>
    <row r="172" spans="1:22">
      <c r="A172" t="s">
        <v>2315</v>
      </c>
      <c r="B172" t="s">
        <v>2316</v>
      </c>
      <c r="C172" t="s">
        <v>2310</v>
      </c>
      <c r="D172" t="s">
        <v>2311</v>
      </c>
      <c r="E172" t="s">
        <v>2173</v>
      </c>
      <c r="F172">
        <v>202109</v>
      </c>
      <c r="G172" t="s">
        <v>231</v>
      </c>
      <c r="H172">
        <v>702746.54</v>
      </c>
    </row>
    <row r="173" spans="1:22">
      <c r="A173" t="s">
        <v>2315</v>
      </c>
      <c r="B173" t="s">
        <v>2316</v>
      </c>
      <c r="C173" t="s">
        <v>2310</v>
      </c>
      <c r="D173" t="s">
        <v>2311</v>
      </c>
      <c r="E173" t="s">
        <v>2173</v>
      </c>
      <c r="F173">
        <v>202109</v>
      </c>
      <c r="G173" t="s">
        <v>221</v>
      </c>
      <c r="H173">
        <v>4503297.3099999996</v>
      </c>
    </row>
    <row r="174" spans="1:22">
      <c r="A174" t="s">
        <v>2315</v>
      </c>
      <c r="B174" t="s">
        <v>2316</v>
      </c>
      <c r="C174" t="s">
        <v>2310</v>
      </c>
      <c r="D174" t="s">
        <v>2311</v>
      </c>
      <c r="E174" t="s">
        <v>2173</v>
      </c>
      <c r="F174">
        <v>202109</v>
      </c>
      <c r="G174" t="s">
        <v>223</v>
      </c>
      <c r="H174">
        <v>727199.19</v>
      </c>
    </row>
    <row r="175" spans="1:22">
      <c r="A175" t="s">
        <v>2315</v>
      </c>
      <c r="B175" t="s">
        <v>2316</v>
      </c>
      <c r="C175" t="s">
        <v>2310</v>
      </c>
      <c r="D175" t="s">
        <v>2311</v>
      </c>
      <c r="E175" t="s">
        <v>2173</v>
      </c>
      <c r="F175">
        <v>202109</v>
      </c>
      <c r="G175" t="s">
        <v>225</v>
      </c>
      <c r="H175">
        <v>171564</v>
      </c>
    </row>
    <row r="176" spans="1:22">
      <c r="A176" t="s">
        <v>2315</v>
      </c>
      <c r="B176" t="s">
        <v>2316</v>
      </c>
      <c r="C176" t="s">
        <v>2310</v>
      </c>
      <c r="D176" t="s">
        <v>2311</v>
      </c>
      <c r="E176" t="s">
        <v>2173</v>
      </c>
      <c r="F176">
        <v>202110</v>
      </c>
      <c r="G176" t="s">
        <v>230</v>
      </c>
      <c r="H176">
        <v>5533141.9199999999</v>
      </c>
    </row>
    <row r="177" spans="1:8">
      <c r="A177" t="s">
        <v>2315</v>
      </c>
      <c r="B177" t="s">
        <v>2316</v>
      </c>
      <c r="C177" t="s">
        <v>2310</v>
      </c>
      <c r="D177" t="s">
        <v>2311</v>
      </c>
      <c r="E177" t="s">
        <v>2173</v>
      </c>
      <c r="F177">
        <v>202110</v>
      </c>
      <c r="G177" t="s">
        <v>231</v>
      </c>
      <c r="H177">
        <v>799796.67</v>
      </c>
    </row>
    <row r="178" spans="1:8">
      <c r="A178" t="s">
        <v>2315</v>
      </c>
      <c r="B178" t="s">
        <v>2316</v>
      </c>
      <c r="C178" t="s">
        <v>2310</v>
      </c>
      <c r="D178" t="s">
        <v>2311</v>
      </c>
      <c r="E178" t="s">
        <v>2173</v>
      </c>
      <c r="F178">
        <v>202110</v>
      </c>
      <c r="G178" t="s">
        <v>221</v>
      </c>
      <c r="H178">
        <v>5700391.71</v>
      </c>
    </row>
    <row r="179" spans="1:8">
      <c r="A179" t="s">
        <v>2315</v>
      </c>
      <c r="B179" t="s">
        <v>2316</v>
      </c>
      <c r="C179" t="s">
        <v>2310</v>
      </c>
      <c r="D179" t="s">
        <v>2311</v>
      </c>
      <c r="E179" t="s">
        <v>2173</v>
      </c>
      <c r="F179">
        <v>202110</v>
      </c>
      <c r="G179" t="s">
        <v>223</v>
      </c>
      <c r="H179">
        <v>823395.88</v>
      </c>
    </row>
    <row r="180" spans="1:8">
      <c r="A180" t="s">
        <v>2315</v>
      </c>
      <c r="B180" t="s">
        <v>2316</v>
      </c>
      <c r="C180" t="s">
        <v>2310</v>
      </c>
      <c r="D180" t="s">
        <v>2311</v>
      </c>
      <c r="E180" t="s">
        <v>2173</v>
      </c>
      <c r="F180">
        <v>202110</v>
      </c>
      <c r="G180" t="s">
        <v>225</v>
      </c>
      <c r="H180">
        <v>0</v>
      </c>
    </row>
    <row r="181" spans="1:8">
      <c r="A181" t="s">
        <v>2315</v>
      </c>
      <c r="B181" t="s">
        <v>2316</v>
      </c>
      <c r="C181" t="s">
        <v>2310</v>
      </c>
      <c r="D181" t="s">
        <v>2311</v>
      </c>
      <c r="E181" t="s">
        <v>2173</v>
      </c>
      <c r="F181">
        <v>202111</v>
      </c>
      <c r="G181" t="s">
        <v>230</v>
      </c>
      <c r="H181">
        <v>7518289.7699999996</v>
      </c>
    </row>
    <row r="182" spans="1:8">
      <c r="A182" t="s">
        <v>2315</v>
      </c>
      <c r="B182" t="s">
        <v>2316</v>
      </c>
      <c r="C182" t="s">
        <v>2310</v>
      </c>
      <c r="D182" t="s">
        <v>2311</v>
      </c>
      <c r="E182" t="s">
        <v>2173</v>
      </c>
      <c r="F182">
        <v>202111</v>
      </c>
      <c r="G182" t="s">
        <v>231</v>
      </c>
      <c r="H182">
        <v>942392.72</v>
      </c>
    </row>
    <row r="183" spans="1:8">
      <c r="A183" t="s">
        <v>2315</v>
      </c>
      <c r="B183" t="s">
        <v>2316</v>
      </c>
      <c r="C183" t="s">
        <v>2310</v>
      </c>
      <c r="D183" t="s">
        <v>2311</v>
      </c>
      <c r="E183" t="s">
        <v>2173</v>
      </c>
      <c r="F183">
        <v>202111</v>
      </c>
      <c r="G183" t="s">
        <v>221</v>
      </c>
      <c r="H183">
        <v>7690667.9900000002</v>
      </c>
    </row>
    <row r="184" spans="1:8">
      <c r="A184" t="s">
        <v>2315</v>
      </c>
      <c r="B184" t="s">
        <v>2316</v>
      </c>
      <c r="C184" t="s">
        <v>2310</v>
      </c>
      <c r="D184" t="s">
        <v>2311</v>
      </c>
      <c r="E184" t="s">
        <v>2173</v>
      </c>
      <c r="F184">
        <v>202111</v>
      </c>
      <c r="G184" t="s">
        <v>223</v>
      </c>
      <c r="H184">
        <v>963332.5</v>
      </c>
    </row>
    <row r="185" spans="1:8">
      <c r="A185" t="s">
        <v>2315</v>
      </c>
      <c r="B185" t="s">
        <v>2316</v>
      </c>
      <c r="C185" t="s">
        <v>2310</v>
      </c>
      <c r="D185" t="s">
        <v>2311</v>
      </c>
      <c r="E185" t="s">
        <v>2173</v>
      </c>
      <c r="F185">
        <v>202111</v>
      </c>
      <c r="G185" t="s">
        <v>225</v>
      </c>
      <c r="H185">
        <v>0</v>
      </c>
    </row>
    <row r="186" spans="1:8">
      <c r="A186" t="s">
        <v>2315</v>
      </c>
      <c r="B186" t="s">
        <v>2316</v>
      </c>
      <c r="C186" t="s">
        <v>2310</v>
      </c>
      <c r="D186" t="s">
        <v>2311</v>
      </c>
      <c r="E186" t="s">
        <v>2173</v>
      </c>
      <c r="F186">
        <v>202112</v>
      </c>
      <c r="G186" t="s">
        <v>230</v>
      </c>
      <c r="H186">
        <v>10029714.560000001</v>
      </c>
    </row>
    <row r="187" spans="1:8">
      <c r="A187" t="s">
        <v>2315</v>
      </c>
      <c r="B187" t="s">
        <v>2316</v>
      </c>
      <c r="C187" t="s">
        <v>2310</v>
      </c>
      <c r="D187" t="s">
        <v>2311</v>
      </c>
      <c r="E187" t="s">
        <v>2173</v>
      </c>
      <c r="F187">
        <v>202112</v>
      </c>
      <c r="G187" t="s">
        <v>231</v>
      </c>
      <c r="H187">
        <v>1327401.6399999999</v>
      </c>
    </row>
    <row r="188" spans="1:8">
      <c r="A188" t="s">
        <v>2315</v>
      </c>
      <c r="B188" t="s">
        <v>2316</v>
      </c>
      <c r="C188" t="s">
        <v>2310</v>
      </c>
      <c r="D188" t="s">
        <v>2311</v>
      </c>
      <c r="E188" t="s">
        <v>2173</v>
      </c>
      <c r="F188">
        <v>202112</v>
      </c>
      <c r="G188" t="s">
        <v>221</v>
      </c>
      <c r="H188">
        <v>10195953.93</v>
      </c>
    </row>
    <row r="189" spans="1:8">
      <c r="A189" t="s">
        <v>2315</v>
      </c>
      <c r="B189" t="s">
        <v>2316</v>
      </c>
      <c r="C189" t="s">
        <v>2310</v>
      </c>
      <c r="D189" t="s">
        <v>2311</v>
      </c>
      <c r="E189" t="s">
        <v>2173</v>
      </c>
      <c r="F189">
        <v>202112</v>
      </c>
      <c r="G189" t="s">
        <v>223</v>
      </c>
      <c r="H189">
        <v>1347626.6</v>
      </c>
    </row>
    <row r="190" spans="1:8">
      <c r="A190" t="s">
        <v>2315</v>
      </c>
      <c r="B190" t="s">
        <v>2316</v>
      </c>
      <c r="C190" t="s">
        <v>2310</v>
      </c>
      <c r="D190" t="s">
        <v>2311</v>
      </c>
      <c r="E190" t="s">
        <v>2173</v>
      </c>
      <c r="F190">
        <v>202201</v>
      </c>
      <c r="G190" t="s">
        <v>230</v>
      </c>
      <c r="H190">
        <v>11178125.43</v>
      </c>
    </row>
    <row r="191" spans="1:8">
      <c r="A191" t="s">
        <v>2315</v>
      </c>
      <c r="B191" t="s">
        <v>2316</v>
      </c>
      <c r="C191" t="s">
        <v>2310</v>
      </c>
      <c r="D191" t="s">
        <v>2311</v>
      </c>
      <c r="E191" t="s">
        <v>2173</v>
      </c>
      <c r="F191">
        <v>202201</v>
      </c>
      <c r="G191" t="s">
        <v>231</v>
      </c>
      <c r="H191">
        <v>1248515.45</v>
      </c>
    </row>
    <row r="192" spans="1:8">
      <c r="A192" t="s">
        <v>2315</v>
      </c>
      <c r="B192" t="s">
        <v>2316</v>
      </c>
      <c r="C192" t="s">
        <v>2310</v>
      </c>
      <c r="D192" t="s">
        <v>2311</v>
      </c>
      <c r="E192" t="s">
        <v>2173</v>
      </c>
      <c r="F192">
        <v>202201</v>
      </c>
      <c r="G192" t="s">
        <v>221</v>
      </c>
      <c r="H192">
        <v>11292596.73</v>
      </c>
    </row>
    <row r="193" spans="1:8">
      <c r="A193" t="s">
        <v>2315</v>
      </c>
      <c r="B193" t="s">
        <v>2316</v>
      </c>
      <c r="C193" t="s">
        <v>2310</v>
      </c>
      <c r="D193" t="s">
        <v>2311</v>
      </c>
      <c r="E193" t="s">
        <v>2173</v>
      </c>
      <c r="F193">
        <v>202201</v>
      </c>
      <c r="G193" t="s">
        <v>223</v>
      </c>
      <c r="H193">
        <v>1261031.1499999999</v>
      </c>
    </row>
    <row r="194" spans="1:8">
      <c r="A194" t="s">
        <v>2315</v>
      </c>
      <c r="B194" t="s">
        <v>2316</v>
      </c>
      <c r="C194" t="s">
        <v>2310</v>
      </c>
      <c r="D194" t="s">
        <v>2311</v>
      </c>
      <c r="E194" t="s">
        <v>2173</v>
      </c>
      <c r="F194">
        <v>202201</v>
      </c>
      <c r="G194" t="s">
        <v>225</v>
      </c>
      <c r="H194">
        <v>0</v>
      </c>
    </row>
    <row r="195" spans="1:8">
      <c r="A195" t="s">
        <v>2315</v>
      </c>
      <c r="B195" t="s">
        <v>2316</v>
      </c>
      <c r="C195" t="s">
        <v>2310</v>
      </c>
      <c r="D195" t="s">
        <v>2311</v>
      </c>
      <c r="E195" t="s">
        <v>2173</v>
      </c>
      <c r="F195">
        <v>202202</v>
      </c>
      <c r="G195" t="s">
        <v>230</v>
      </c>
      <c r="H195">
        <v>8562108.8100000005</v>
      </c>
    </row>
    <row r="196" spans="1:8">
      <c r="A196" t="s">
        <v>2315</v>
      </c>
      <c r="B196" t="s">
        <v>2316</v>
      </c>
      <c r="C196" t="s">
        <v>2310</v>
      </c>
      <c r="D196" t="s">
        <v>2311</v>
      </c>
      <c r="E196" t="s">
        <v>2173</v>
      </c>
      <c r="F196">
        <v>202202</v>
      </c>
      <c r="G196" t="s">
        <v>231</v>
      </c>
      <c r="H196">
        <v>1093162.54</v>
      </c>
    </row>
    <row r="197" spans="1:8">
      <c r="A197" t="s">
        <v>2315</v>
      </c>
      <c r="B197" t="s">
        <v>2316</v>
      </c>
      <c r="C197" t="s">
        <v>2310</v>
      </c>
      <c r="D197" t="s">
        <v>2311</v>
      </c>
      <c r="E197" t="s">
        <v>2173</v>
      </c>
      <c r="F197">
        <v>202202</v>
      </c>
      <c r="G197" t="s">
        <v>221</v>
      </c>
      <c r="H197">
        <v>8661930.2200000007</v>
      </c>
    </row>
    <row r="198" spans="1:8">
      <c r="A198" t="s">
        <v>2315</v>
      </c>
      <c r="B198" t="s">
        <v>2316</v>
      </c>
      <c r="C198" t="s">
        <v>2310</v>
      </c>
      <c r="D198" t="s">
        <v>2311</v>
      </c>
      <c r="E198" t="s">
        <v>2173</v>
      </c>
      <c r="F198">
        <v>202202</v>
      </c>
      <c r="G198" t="s">
        <v>223</v>
      </c>
      <c r="H198">
        <v>1105795.1399999999</v>
      </c>
    </row>
    <row r="199" spans="1:8">
      <c r="A199" t="s">
        <v>2315</v>
      </c>
      <c r="B199" t="s">
        <v>2316</v>
      </c>
      <c r="C199" t="s">
        <v>2310</v>
      </c>
      <c r="D199" t="s">
        <v>2311</v>
      </c>
      <c r="E199" t="s">
        <v>2173</v>
      </c>
      <c r="F199">
        <v>202202</v>
      </c>
      <c r="G199" t="s">
        <v>225</v>
      </c>
      <c r="H199">
        <v>0</v>
      </c>
    </row>
    <row r="200" spans="1:8">
      <c r="A200" t="s">
        <v>2315</v>
      </c>
      <c r="B200" t="s">
        <v>2316</v>
      </c>
      <c r="C200" t="s">
        <v>2310</v>
      </c>
      <c r="D200" t="s">
        <v>2311</v>
      </c>
      <c r="E200" t="s">
        <v>2173</v>
      </c>
      <c r="F200">
        <v>202203</v>
      </c>
      <c r="G200" t="s">
        <v>230</v>
      </c>
      <c r="H200">
        <v>7692691.5199999996</v>
      </c>
    </row>
    <row r="201" spans="1:8">
      <c r="A201" t="s">
        <v>2315</v>
      </c>
      <c r="B201" t="s">
        <v>2316</v>
      </c>
      <c r="C201" t="s">
        <v>2310</v>
      </c>
      <c r="D201" t="s">
        <v>2311</v>
      </c>
      <c r="E201" t="s">
        <v>2173</v>
      </c>
      <c r="F201">
        <v>202203</v>
      </c>
      <c r="G201" t="s">
        <v>231</v>
      </c>
      <c r="H201">
        <v>1090323.96</v>
      </c>
    </row>
    <row r="202" spans="1:8">
      <c r="A202" t="s">
        <v>2315</v>
      </c>
      <c r="B202" t="s">
        <v>2316</v>
      </c>
      <c r="C202" t="s">
        <v>2310</v>
      </c>
      <c r="D202" t="s">
        <v>2311</v>
      </c>
      <c r="E202" t="s">
        <v>2173</v>
      </c>
      <c r="F202">
        <v>202203</v>
      </c>
      <c r="G202" t="s">
        <v>221</v>
      </c>
      <c r="H202">
        <v>7801879.5599999996</v>
      </c>
    </row>
    <row r="203" spans="1:8">
      <c r="A203" t="s">
        <v>2315</v>
      </c>
      <c r="B203" t="s">
        <v>2316</v>
      </c>
      <c r="C203" t="s">
        <v>2310</v>
      </c>
      <c r="D203" t="s">
        <v>2311</v>
      </c>
      <c r="E203" t="s">
        <v>2173</v>
      </c>
      <c r="F203">
        <v>202203</v>
      </c>
      <c r="G203" t="s">
        <v>223</v>
      </c>
      <c r="H203">
        <v>1105904.92</v>
      </c>
    </row>
    <row r="204" spans="1:8">
      <c r="A204" t="s">
        <v>2315</v>
      </c>
      <c r="B204" t="s">
        <v>2316</v>
      </c>
      <c r="C204" t="s">
        <v>2310</v>
      </c>
      <c r="D204" t="s">
        <v>2311</v>
      </c>
      <c r="E204" t="s">
        <v>2173</v>
      </c>
      <c r="F204">
        <v>202203</v>
      </c>
      <c r="G204" t="s">
        <v>225</v>
      </c>
      <c r="H204">
        <v>0</v>
      </c>
    </row>
    <row r="205" spans="1:8">
      <c r="A205" t="s">
        <v>2315</v>
      </c>
      <c r="B205" t="s">
        <v>2316</v>
      </c>
      <c r="C205" t="s">
        <v>2310</v>
      </c>
      <c r="D205" t="s">
        <v>2311</v>
      </c>
      <c r="E205" t="s">
        <v>2173</v>
      </c>
      <c r="F205">
        <v>202204</v>
      </c>
      <c r="G205" t="s">
        <v>230</v>
      </c>
      <c r="H205">
        <v>6479344.3300000001</v>
      </c>
    </row>
    <row r="206" spans="1:8">
      <c r="A206" t="s">
        <v>2315</v>
      </c>
      <c r="B206" t="s">
        <v>2316</v>
      </c>
      <c r="C206" t="s">
        <v>2310</v>
      </c>
      <c r="D206" t="s">
        <v>2311</v>
      </c>
      <c r="E206" t="s">
        <v>2173</v>
      </c>
      <c r="F206">
        <v>202204</v>
      </c>
      <c r="G206" t="s">
        <v>231</v>
      </c>
      <c r="H206">
        <v>829620.04</v>
      </c>
    </row>
    <row r="207" spans="1:8">
      <c r="A207" t="s">
        <v>2315</v>
      </c>
      <c r="B207" t="s">
        <v>2316</v>
      </c>
      <c r="C207" t="s">
        <v>2310</v>
      </c>
      <c r="D207" t="s">
        <v>2311</v>
      </c>
      <c r="E207" t="s">
        <v>2173</v>
      </c>
      <c r="F207">
        <v>202204</v>
      </c>
      <c r="G207" t="s">
        <v>221</v>
      </c>
      <c r="H207">
        <v>6614184.96</v>
      </c>
    </row>
    <row r="208" spans="1:8">
      <c r="A208" t="s">
        <v>2315</v>
      </c>
      <c r="B208" t="s">
        <v>2316</v>
      </c>
      <c r="C208" t="s">
        <v>2310</v>
      </c>
      <c r="D208" t="s">
        <v>2311</v>
      </c>
      <c r="E208" t="s">
        <v>2173</v>
      </c>
      <c r="F208">
        <v>202204</v>
      </c>
      <c r="G208" t="s">
        <v>223</v>
      </c>
      <c r="H208">
        <v>846970.41</v>
      </c>
    </row>
    <row r="209" spans="1:8">
      <c r="A209" t="s">
        <v>2315</v>
      </c>
      <c r="B209" t="s">
        <v>2316</v>
      </c>
      <c r="C209" t="s">
        <v>2310</v>
      </c>
      <c r="D209" t="s">
        <v>2311</v>
      </c>
      <c r="E209" t="s">
        <v>2173</v>
      </c>
      <c r="F209">
        <v>202204</v>
      </c>
      <c r="G209" t="s">
        <v>225</v>
      </c>
      <c r="H209">
        <v>0</v>
      </c>
    </row>
    <row r="210" spans="1:8">
      <c r="A210" t="s">
        <v>2315</v>
      </c>
      <c r="B210" t="s">
        <v>2316</v>
      </c>
      <c r="C210" t="s">
        <v>2310</v>
      </c>
      <c r="D210" t="s">
        <v>2311</v>
      </c>
      <c r="E210" t="s">
        <v>2173</v>
      </c>
      <c r="F210">
        <v>202205</v>
      </c>
      <c r="G210" t="s">
        <v>230</v>
      </c>
      <c r="H210">
        <v>6290898.4199999999</v>
      </c>
    </row>
    <row r="211" spans="1:8">
      <c r="A211" t="s">
        <v>2315</v>
      </c>
      <c r="B211" t="s">
        <v>2316</v>
      </c>
      <c r="C211" t="s">
        <v>2310</v>
      </c>
      <c r="D211" t="s">
        <v>2311</v>
      </c>
      <c r="E211" t="s">
        <v>2173</v>
      </c>
      <c r="F211">
        <v>202205</v>
      </c>
      <c r="G211" t="s">
        <v>231</v>
      </c>
      <c r="H211">
        <v>913367.01</v>
      </c>
    </row>
    <row r="212" spans="1:8">
      <c r="A212" t="s">
        <v>2315</v>
      </c>
      <c r="B212" t="s">
        <v>2316</v>
      </c>
      <c r="C212" t="s">
        <v>2310</v>
      </c>
      <c r="D212" t="s">
        <v>2311</v>
      </c>
      <c r="E212" t="s">
        <v>2173</v>
      </c>
      <c r="F212">
        <v>202205</v>
      </c>
      <c r="G212" t="s">
        <v>221</v>
      </c>
      <c r="H212">
        <v>6514134.6299999999</v>
      </c>
    </row>
    <row r="213" spans="1:8">
      <c r="A213" t="s">
        <v>2315</v>
      </c>
      <c r="B213" t="s">
        <v>2316</v>
      </c>
      <c r="C213" t="s">
        <v>2310</v>
      </c>
      <c r="D213" t="s">
        <v>2311</v>
      </c>
      <c r="E213" t="s">
        <v>2173</v>
      </c>
      <c r="F213">
        <v>202205</v>
      </c>
      <c r="G213" t="s">
        <v>223</v>
      </c>
      <c r="H213">
        <v>946744.8</v>
      </c>
    </row>
    <row r="214" spans="1:8">
      <c r="A214" t="s">
        <v>2315</v>
      </c>
      <c r="B214" t="s">
        <v>2316</v>
      </c>
      <c r="C214" t="s">
        <v>2310</v>
      </c>
      <c r="D214" t="s">
        <v>2311</v>
      </c>
      <c r="E214" t="s">
        <v>2173</v>
      </c>
      <c r="F214">
        <v>202205</v>
      </c>
      <c r="G214" t="s">
        <v>225</v>
      </c>
      <c r="H214">
        <v>123534</v>
      </c>
    </row>
    <row r="215" spans="1:8">
      <c r="A215" t="s">
        <v>2315</v>
      </c>
      <c r="B215" t="s">
        <v>2316</v>
      </c>
      <c r="C215" t="s">
        <v>2317</v>
      </c>
      <c r="D215" t="s">
        <v>2318</v>
      </c>
      <c r="E215" t="s">
        <v>2173</v>
      </c>
      <c r="F215">
        <v>202104</v>
      </c>
      <c r="G215" t="s">
        <v>230</v>
      </c>
      <c r="H215">
        <v>562745</v>
      </c>
    </row>
    <row r="216" spans="1:8">
      <c r="A216" t="s">
        <v>2315</v>
      </c>
      <c r="B216" t="s">
        <v>2316</v>
      </c>
      <c r="C216" t="s">
        <v>2317</v>
      </c>
      <c r="D216" t="s">
        <v>2318</v>
      </c>
      <c r="E216" t="s">
        <v>2173</v>
      </c>
      <c r="F216">
        <v>202104</v>
      </c>
      <c r="G216" t="s">
        <v>231</v>
      </c>
      <c r="H216">
        <v>77834</v>
      </c>
    </row>
    <row r="217" spans="1:8">
      <c r="A217" t="s">
        <v>2315</v>
      </c>
      <c r="B217" t="s">
        <v>2316</v>
      </c>
      <c r="C217" t="s">
        <v>2317</v>
      </c>
      <c r="D217" t="s">
        <v>2318</v>
      </c>
      <c r="E217" t="s">
        <v>2173</v>
      </c>
      <c r="F217">
        <v>202104</v>
      </c>
      <c r="G217" t="s">
        <v>221</v>
      </c>
      <c r="H217">
        <v>562745</v>
      </c>
    </row>
    <row r="218" spans="1:8">
      <c r="A218" t="s">
        <v>2315</v>
      </c>
      <c r="B218" t="s">
        <v>2316</v>
      </c>
      <c r="C218" t="s">
        <v>2317</v>
      </c>
      <c r="D218" t="s">
        <v>2318</v>
      </c>
      <c r="E218" t="s">
        <v>2173</v>
      </c>
      <c r="F218">
        <v>202104</v>
      </c>
      <c r="G218" t="s">
        <v>223</v>
      </c>
      <c r="H218">
        <v>77834</v>
      </c>
    </row>
    <row r="219" spans="1:8">
      <c r="A219" t="s">
        <v>2315</v>
      </c>
      <c r="B219" t="s">
        <v>2316</v>
      </c>
      <c r="C219" t="s">
        <v>2317</v>
      </c>
      <c r="D219" t="s">
        <v>2318</v>
      </c>
      <c r="E219" t="s">
        <v>2173</v>
      </c>
      <c r="F219">
        <v>202105</v>
      </c>
      <c r="G219" t="s">
        <v>230</v>
      </c>
      <c r="H219">
        <v>368823</v>
      </c>
    </row>
    <row r="220" spans="1:8">
      <c r="A220" t="s">
        <v>2315</v>
      </c>
      <c r="B220" t="s">
        <v>2316</v>
      </c>
      <c r="C220" t="s">
        <v>2317</v>
      </c>
      <c r="D220" t="s">
        <v>2318</v>
      </c>
      <c r="E220" t="s">
        <v>2173</v>
      </c>
      <c r="F220">
        <v>202105</v>
      </c>
      <c r="G220" t="s">
        <v>231</v>
      </c>
      <c r="H220">
        <v>50730</v>
      </c>
    </row>
    <row r="221" spans="1:8">
      <c r="A221" t="s">
        <v>2315</v>
      </c>
      <c r="B221" t="s">
        <v>2316</v>
      </c>
      <c r="C221" t="s">
        <v>2317</v>
      </c>
      <c r="D221" t="s">
        <v>2318</v>
      </c>
      <c r="E221" t="s">
        <v>2173</v>
      </c>
      <c r="F221">
        <v>202105</v>
      </c>
      <c r="G221" t="s">
        <v>221</v>
      </c>
      <c r="H221">
        <v>368823</v>
      </c>
    </row>
    <row r="222" spans="1:8">
      <c r="A222" t="s">
        <v>2315</v>
      </c>
      <c r="B222" t="s">
        <v>2316</v>
      </c>
      <c r="C222" t="s">
        <v>2317</v>
      </c>
      <c r="D222" t="s">
        <v>2318</v>
      </c>
      <c r="E222" t="s">
        <v>2173</v>
      </c>
      <c r="F222">
        <v>202105</v>
      </c>
      <c r="G222" t="s">
        <v>223</v>
      </c>
      <c r="H222">
        <v>50730</v>
      </c>
    </row>
    <row r="223" spans="1:8">
      <c r="A223" t="s">
        <v>2315</v>
      </c>
      <c r="B223" t="s">
        <v>2316</v>
      </c>
      <c r="C223" t="s">
        <v>2317</v>
      </c>
      <c r="D223" t="s">
        <v>2318</v>
      </c>
      <c r="E223" t="s">
        <v>2173</v>
      </c>
      <c r="F223">
        <v>202106</v>
      </c>
      <c r="G223" t="s">
        <v>230</v>
      </c>
      <c r="H223">
        <v>591342</v>
      </c>
    </row>
    <row r="224" spans="1:8">
      <c r="A224" t="s">
        <v>2315</v>
      </c>
      <c r="B224" t="s">
        <v>2316</v>
      </c>
      <c r="C224" t="s">
        <v>2317</v>
      </c>
      <c r="D224" t="s">
        <v>2318</v>
      </c>
      <c r="E224" t="s">
        <v>2173</v>
      </c>
      <c r="F224">
        <v>202106</v>
      </c>
      <c r="G224" t="s">
        <v>231</v>
      </c>
      <c r="H224">
        <v>92000</v>
      </c>
    </row>
    <row r="225" spans="1:8">
      <c r="A225" t="s">
        <v>2315</v>
      </c>
      <c r="B225" t="s">
        <v>2316</v>
      </c>
      <c r="C225" t="s">
        <v>2317</v>
      </c>
      <c r="D225" t="s">
        <v>2318</v>
      </c>
      <c r="E225" t="s">
        <v>2173</v>
      </c>
      <c r="F225">
        <v>202106</v>
      </c>
      <c r="G225" t="s">
        <v>221</v>
      </c>
      <c r="H225">
        <v>591342</v>
      </c>
    </row>
    <row r="226" spans="1:8">
      <c r="A226" t="s">
        <v>2315</v>
      </c>
      <c r="B226" t="s">
        <v>2316</v>
      </c>
      <c r="C226" t="s">
        <v>2317</v>
      </c>
      <c r="D226" t="s">
        <v>2318</v>
      </c>
      <c r="E226" t="s">
        <v>2173</v>
      </c>
      <c r="F226">
        <v>202106</v>
      </c>
      <c r="G226" t="s">
        <v>223</v>
      </c>
      <c r="H226">
        <v>92000</v>
      </c>
    </row>
    <row r="227" spans="1:8">
      <c r="A227" t="s">
        <v>2315</v>
      </c>
      <c r="B227" t="s">
        <v>2316</v>
      </c>
      <c r="C227" t="s">
        <v>2317</v>
      </c>
      <c r="D227" t="s">
        <v>2318</v>
      </c>
      <c r="E227" t="s">
        <v>2173</v>
      </c>
      <c r="F227">
        <v>202106</v>
      </c>
      <c r="G227" t="s">
        <v>225</v>
      </c>
      <c r="H227">
        <v>0</v>
      </c>
    </row>
    <row r="228" spans="1:8">
      <c r="A228" t="s">
        <v>2315</v>
      </c>
      <c r="B228" t="s">
        <v>2316</v>
      </c>
      <c r="C228" t="s">
        <v>2317</v>
      </c>
      <c r="D228" t="s">
        <v>2318</v>
      </c>
      <c r="E228" t="s">
        <v>2173</v>
      </c>
      <c r="F228">
        <v>202107</v>
      </c>
      <c r="G228" t="s">
        <v>230</v>
      </c>
      <c r="H228">
        <v>292069</v>
      </c>
    </row>
    <row r="229" spans="1:8">
      <c r="A229" t="s">
        <v>2315</v>
      </c>
      <c r="B229" t="s">
        <v>2316</v>
      </c>
      <c r="C229" t="s">
        <v>2317</v>
      </c>
      <c r="D229" t="s">
        <v>2318</v>
      </c>
      <c r="E229" t="s">
        <v>2173</v>
      </c>
      <c r="F229">
        <v>202107</v>
      </c>
      <c r="G229" t="s">
        <v>231</v>
      </c>
      <c r="H229">
        <v>50149</v>
      </c>
    </row>
    <row r="230" spans="1:8">
      <c r="A230" t="s">
        <v>2315</v>
      </c>
      <c r="B230" t="s">
        <v>2316</v>
      </c>
      <c r="C230" t="s">
        <v>2317</v>
      </c>
      <c r="D230" t="s">
        <v>2318</v>
      </c>
      <c r="E230" t="s">
        <v>2173</v>
      </c>
      <c r="F230">
        <v>202107</v>
      </c>
      <c r="G230" t="s">
        <v>221</v>
      </c>
      <c r="H230">
        <v>292069</v>
      </c>
    </row>
    <row r="231" spans="1:8">
      <c r="A231" t="s">
        <v>2315</v>
      </c>
      <c r="B231" t="s">
        <v>2316</v>
      </c>
      <c r="C231" t="s">
        <v>2317</v>
      </c>
      <c r="D231" t="s">
        <v>2318</v>
      </c>
      <c r="E231" t="s">
        <v>2173</v>
      </c>
      <c r="F231">
        <v>202107</v>
      </c>
      <c r="G231" t="s">
        <v>223</v>
      </c>
      <c r="H231">
        <v>50149</v>
      </c>
    </row>
    <row r="232" spans="1:8">
      <c r="A232" t="s">
        <v>2315</v>
      </c>
      <c r="B232" t="s">
        <v>2316</v>
      </c>
      <c r="C232" t="s">
        <v>2317</v>
      </c>
      <c r="D232" t="s">
        <v>2318</v>
      </c>
      <c r="E232" t="s">
        <v>2173</v>
      </c>
      <c r="F232">
        <v>202107</v>
      </c>
      <c r="G232" t="s">
        <v>225</v>
      </c>
      <c r="H232">
        <v>0</v>
      </c>
    </row>
    <row r="233" spans="1:8">
      <c r="A233" t="s">
        <v>2315</v>
      </c>
      <c r="B233" t="s">
        <v>2316</v>
      </c>
      <c r="C233" t="s">
        <v>2317</v>
      </c>
      <c r="D233" t="s">
        <v>2318</v>
      </c>
      <c r="E233" t="s">
        <v>2173</v>
      </c>
      <c r="F233">
        <v>202108</v>
      </c>
      <c r="G233" t="s">
        <v>230</v>
      </c>
      <c r="H233">
        <v>315666</v>
      </c>
    </row>
    <row r="234" spans="1:8">
      <c r="A234" t="s">
        <v>2315</v>
      </c>
      <c r="B234" t="s">
        <v>2316</v>
      </c>
      <c r="C234" t="s">
        <v>2317</v>
      </c>
      <c r="D234" t="s">
        <v>2318</v>
      </c>
      <c r="E234" t="s">
        <v>2173</v>
      </c>
      <c r="F234">
        <v>202108</v>
      </c>
      <c r="G234" t="s">
        <v>231</v>
      </c>
      <c r="H234">
        <v>53573</v>
      </c>
    </row>
    <row r="235" spans="1:8">
      <c r="A235" t="s">
        <v>2315</v>
      </c>
      <c r="B235" t="s">
        <v>2316</v>
      </c>
      <c r="C235" t="s">
        <v>2317</v>
      </c>
      <c r="D235" t="s">
        <v>2318</v>
      </c>
      <c r="E235" t="s">
        <v>2173</v>
      </c>
      <c r="F235">
        <v>202108</v>
      </c>
      <c r="G235" t="s">
        <v>221</v>
      </c>
      <c r="H235">
        <v>315666</v>
      </c>
    </row>
    <row r="236" spans="1:8">
      <c r="A236" t="s">
        <v>2315</v>
      </c>
      <c r="B236" t="s">
        <v>2316</v>
      </c>
      <c r="C236" t="s">
        <v>2317</v>
      </c>
      <c r="D236" t="s">
        <v>2318</v>
      </c>
      <c r="E236" t="s">
        <v>2173</v>
      </c>
      <c r="F236">
        <v>202108</v>
      </c>
      <c r="G236" t="s">
        <v>223</v>
      </c>
      <c r="H236">
        <v>53573</v>
      </c>
    </row>
    <row r="237" spans="1:8">
      <c r="A237" t="s">
        <v>2315</v>
      </c>
      <c r="B237" t="s">
        <v>2316</v>
      </c>
      <c r="C237" t="s">
        <v>2317</v>
      </c>
      <c r="D237" t="s">
        <v>2318</v>
      </c>
      <c r="E237" t="s">
        <v>2173</v>
      </c>
      <c r="F237">
        <v>202108</v>
      </c>
      <c r="G237" t="s">
        <v>225</v>
      </c>
      <c r="H237">
        <v>0</v>
      </c>
    </row>
    <row r="238" spans="1:8">
      <c r="A238" t="s">
        <v>2315</v>
      </c>
      <c r="B238" t="s">
        <v>2316</v>
      </c>
      <c r="C238" t="s">
        <v>2317</v>
      </c>
      <c r="D238" t="s">
        <v>2318</v>
      </c>
      <c r="E238" t="s">
        <v>2173</v>
      </c>
      <c r="F238">
        <v>202109</v>
      </c>
      <c r="G238" t="s">
        <v>230</v>
      </c>
      <c r="H238">
        <v>290146</v>
      </c>
    </row>
    <row r="239" spans="1:8">
      <c r="A239" t="s">
        <v>2315</v>
      </c>
      <c r="B239" t="s">
        <v>2316</v>
      </c>
      <c r="C239" t="s">
        <v>2317</v>
      </c>
      <c r="D239" t="s">
        <v>2318</v>
      </c>
      <c r="E239" t="s">
        <v>2173</v>
      </c>
      <c r="F239">
        <v>202109</v>
      </c>
      <c r="G239" t="s">
        <v>231</v>
      </c>
      <c r="H239">
        <v>46192</v>
      </c>
    </row>
    <row r="240" spans="1:8">
      <c r="A240" t="s">
        <v>2315</v>
      </c>
      <c r="B240" t="s">
        <v>2316</v>
      </c>
      <c r="C240" t="s">
        <v>2317</v>
      </c>
      <c r="D240" t="s">
        <v>2318</v>
      </c>
      <c r="E240" t="s">
        <v>2173</v>
      </c>
      <c r="F240">
        <v>202109</v>
      </c>
      <c r="G240" t="s">
        <v>221</v>
      </c>
      <c r="H240">
        <v>290146</v>
      </c>
    </row>
    <row r="241" spans="1:8">
      <c r="A241" t="s">
        <v>2315</v>
      </c>
      <c r="B241" t="s">
        <v>2316</v>
      </c>
      <c r="C241" t="s">
        <v>2317</v>
      </c>
      <c r="D241" t="s">
        <v>2318</v>
      </c>
      <c r="E241" t="s">
        <v>2173</v>
      </c>
      <c r="F241">
        <v>202109</v>
      </c>
      <c r="G241" t="s">
        <v>223</v>
      </c>
      <c r="H241">
        <v>46192</v>
      </c>
    </row>
    <row r="242" spans="1:8">
      <c r="A242" t="s">
        <v>2315</v>
      </c>
      <c r="B242" t="s">
        <v>2316</v>
      </c>
      <c r="C242" t="s">
        <v>2317</v>
      </c>
      <c r="D242" t="s">
        <v>2318</v>
      </c>
      <c r="E242" t="s">
        <v>2173</v>
      </c>
      <c r="F242">
        <v>202109</v>
      </c>
      <c r="G242" t="s">
        <v>225</v>
      </c>
      <c r="H242">
        <v>0</v>
      </c>
    </row>
    <row r="243" spans="1:8">
      <c r="A243" t="s">
        <v>2315</v>
      </c>
      <c r="B243" t="s">
        <v>2316</v>
      </c>
      <c r="C243" t="s">
        <v>2317</v>
      </c>
      <c r="D243" t="s">
        <v>2318</v>
      </c>
      <c r="E243" t="s">
        <v>2173</v>
      </c>
      <c r="F243">
        <v>202110</v>
      </c>
      <c r="G243" t="s">
        <v>230</v>
      </c>
      <c r="H243">
        <v>296443</v>
      </c>
    </row>
    <row r="244" spans="1:8">
      <c r="A244" t="s">
        <v>2315</v>
      </c>
      <c r="B244" t="s">
        <v>2316</v>
      </c>
      <c r="C244" t="s">
        <v>2317</v>
      </c>
      <c r="D244" t="s">
        <v>2318</v>
      </c>
      <c r="E244" t="s">
        <v>2173</v>
      </c>
      <c r="F244">
        <v>202110</v>
      </c>
      <c r="G244" t="s">
        <v>231</v>
      </c>
      <c r="H244">
        <v>47360</v>
      </c>
    </row>
    <row r="245" spans="1:8">
      <c r="A245" t="s">
        <v>2315</v>
      </c>
      <c r="B245" t="s">
        <v>2316</v>
      </c>
      <c r="C245" t="s">
        <v>2317</v>
      </c>
      <c r="D245" t="s">
        <v>2318</v>
      </c>
      <c r="E245" t="s">
        <v>2173</v>
      </c>
      <c r="F245">
        <v>202110</v>
      </c>
      <c r="G245" t="s">
        <v>221</v>
      </c>
      <c r="H245">
        <v>296443</v>
      </c>
    </row>
    <row r="246" spans="1:8">
      <c r="A246" t="s">
        <v>2315</v>
      </c>
      <c r="B246" t="s">
        <v>2316</v>
      </c>
      <c r="C246" t="s">
        <v>2317</v>
      </c>
      <c r="D246" t="s">
        <v>2318</v>
      </c>
      <c r="E246" t="s">
        <v>2173</v>
      </c>
      <c r="F246">
        <v>202110</v>
      </c>
      <c r="G246" t="s">
        <v>223</v>
      </c>
      <c r="H246">
        <v>47360</v>
      </c>
    </row>
    <row r="247" spans="1:8">
      <c r="A247" t="s">
        <v>2315</v>
      </c>
      <c r="B247" t="s">
        <v>2316</v>
      </c>
      <c r="C247" t="s">
        <v>2317</v>
      </c>
      <c r="D247" t="s">
        <v>2318</v>
      </c>
      <c r="E247" t="s">
        <v>2173</v>
      </c>
      <c r="F247">
        <v>202110</v>
      </c>
      <c r="G247" t="s">
        <v>225</v>
      </c>
      <c r="H247">
        <v>0</v>
      </c>
    </row>
    <row r="248" spans="1:8">
      <c r="A248" t="s">
        <v>2315</v>
      </c>
      <c r="B248" t="s">
        <v>2316</v>
      </c>
      <c r="C248" t="s">
        <v>2317</v>
      </c>
      <c r="D248" t="s">
        <v>2318</v>
      </c>
      <c r="E248" t="s">
        <v>2173</v>
      </c>
      <c r="F248">
        <v>202111</v>
      </c>
      <c r="G248" t="s">
        <v>230</v>
      </c>
      <c r="H248">
        <v>431755</v>
      </c>
    </row>
    <row r="249" spans="1:8">
      <c r="A249" t="s">
        <v>2315</v>
      </c>
      <c r="B249" t="s">
        <v>2316</v>
      </c>
      <c r="C249" t="s">
        <v>2317</v>
      </c>
      <c r="D249" t="s">
        <v>2318</v>
      </c>
      <c r="E249" t="s">
        <v>2173</v>
      </c>
      <c r="F249">
        <v>202111</v>
      </c>
      <c r="G249" t="s">
        <v>231</v>
      </c>
      <c r="H249">
        <v>59171</v>
      </c>
    </row>
    <row r="250" spans="1:8">
      <c r="A250" t="s">
        <v>2315</v>
      </c>
      <c r="B250" t="s">
        <v>2316</v>
      </c>
      <c r="C250" t="s">
        <v>2317</v>
      </c>
      <c r="D250" t="s">
        <v>2318</v>
      </c>
      <c r="E250" t="s">
        <v>2173</v>
      </c>
      <c r="F250">
        <v>202111</v>
      </c>
      <c r="G250" t="s">
        <v>221</v>
      </c>
      <c r="H250">
        <v>431755</v>
      </c>
    </row>
    <row r="251" spans="1:8">
      <c r="A251" t="s">
        <v>2315</v>
      </c>
      <c r="B251" t="s">
        <v>2316</v>
      </c>
      <c r="C251" t="s">
        <v>2317</v>
      </c>
      <c r="D251" t="s">
        <v>2318</v>
      </c>
      <c r="E251" t="s">
        <v>2173</v>
      </c>
      <c r="F251">
        <v>202111</v>
      </c>
      <c r="G251" t="s">
        <v>223</v>
      </c>
      <c r="H251">
        <v>59171</v>
      </c>
    </row>
    <row r="252" spans="1:8">
      <c r="A252" t="s">
        <v>2315</v>
      </c>
      <c r="B252" t="s">
        <v>2316</v>
      </c>
      <c r="C252" t="s">
        <v>2317</v>
      </c>
      <c r="D252" t="s">
        <v>2318</v>
      </c>
      <c r="E252" t="s">
        <v>2173</v>
      </c>
      <c r="F252">
        <v>202111</v>
      </c>
      <c r="G252" t="s">
        <v>225</v>
      </c>
      <c r="H252">
        <v>0</v>
      </c>
    </row>
    <row r="253" spans="1:8">
      <c r="A253" t="s">
        <v>2315</v>
      </c>
      <c r="B253" t="s">
        <v>2316</v>
      </c>
      <c r="C253" t="s">
        <v>2317</v>
      </c>
      <c r="D253" t="s">
        <v>2318</v>
      </c>
      <c r="E253" t="s">
        <v>2173</v>
      </c>
      <c r="F253">
        <v>202112</v>
      </c>
      <c r="G253" t="s">
        <v>230</v>
      </c>
      <c r="H253">
        <v>603375</v>
      </c>
    </row>
    <row r="254" spans="1:8">
      <c r="A254" t="s">
        <v>2315</v>
      </c>
      <c r="B254" t="s">
        <v>2316</v>
      </c>
      <c r="C254" t="s">
        <v>2317</v>
      </c>
      <c r="D254" t="s">
        <v>2318</v>
      </c>
      <c r="E254" t="s">
        <v>2173</v>
      </c>
      <c r="F254">
        <v>202112</v>
      </c>
      <c r="G254" t="s">
        <v>231</v>
      </c>
      <c r="H254">
        <v>78418</v>
      </c>
    </row>
    <row r="255" spans="1:8">
      <c r="A255" t="s">
        <v>2315</v>
      </c>
      <c r="B255" t="s">
        <v>2316</v>
      </c>
      <c r="C255" t="s">
        <v>2317</v>
      </c>
      <c r="D255" t="s">
        <v>2318</v>
      </c>
      <c r="E255" t="s">
        <v>2173</v>
      </c>
      <c r="F255">
        <v>202112</v>
      </c>
      <c r="G255" t="s">
        <v>221</v>
      </c>
      <c r="H255">
        <v>603375</v>
      </c>
    </row>
    <row r="256" spans="1:8">
      <c r="A256" t="s">
        <v>2315</v>
      </c>
      <c r="B256" t="s">
        <v>2316</v>
      </c>
      <c r="C256" t="s">
        <v>2317</v>
      </c>
      <c r="D256" t="s">
        <v>2318</v>
      </c>
      <c r="E256" t="s">
        <v>2173</v>
      </c>
      <c r="F256">
        <v>202112</v>
      </c>
      <c r="G256" t="s">
        <v>223</v>
      </c>
      <c r="H256">
        <v>78418</v>
      </c>
    </row>
    <row r="257" spans="1:8">
      <c r="A257" t="s">
        <v>2315</v>
      </c>
      <c r="B257" t="s">
        <v>2316</v>
      </c>
      <c r="C257" t="s">
        <v>2317</v>
      </c>
      <c r="D257" t="s">
        <v>2318</v>
      </c>
      <c r="E257" t="s">
        <v>2173</v>
      </c>
      <c r="F257">
        <v>202112</v>
      </c>
      <c r="G257" t="s">
        <v>225</v>
      </c>
      <c r="H257">
        <v>0</v>
      </c>
    </row>
    <row r="258" spans="1:8">
      <c r="A258" t="s">
        <v>2315</v>
      </c>
      <c r="B258" t="s">
        <v>2316</v>
      </c>
      <c r="C258" t="s">
        <v>2317</v>
      </c>
      <c r="D258" t="s">
        <v>2318</v>
      </c>
      <c r="E258" t="s">
        <v>2173</v>
      </c>
      <c r="F258">
        <v>202201</v>
      </c>
      <c r="G258" t="s">
        <v>230</v>
      </c>
      <c r="H258">
        <v>632432</v>
      </c>
    </row>
    <row r="259" spans="1:8">
      <c r="A259" t="s">
        <v>2315</v>
      </c>
      <c r="B259" t="s">
        <v>2316</v>
      </c>
      <c r="C259" t="s">
        <v>2317</v>
      </c>
      <c r="D259" t="s">
        <v>2318</v>
      </c>
      <c r="E259" t="s">
        <v>2173</v>
      </c>
      <c r="F259">
        <v>202201</v>
      </c>
      <c r="G259" t="s">
        <v>231</v>
      </c>
      <c r="H259">
        <v>76768</v>
      </c>
    </row>
    <row r="260" spans="1:8">
      <c r="A260" t="s">
        <v>2315</v>
      </c>
      <c r="B260" t="s">
        <v>2316</v>
      </c>
      <c r="C260" t="s">
        <v>2317</v>
      </c>
      <c r="D260" t="s">
        <v>2318</v>
      </c>
      <c r="E260" t="s">
        <v>2173</v>
      </c>
      <c r="F260">
        <v>202201</v>
      </c>
      <c r="G260" t="s">
        <v>221</v>
      </c>
      <c r="H260">
        <v>632432</v>
      </c>
    </row>
    <row r="261" spans="1:8">
      <c r="A261" t="s">
        <v>2315</v>
      </c>
      <c r="B261" t="s">
        <v>2316</v>
      </c>
      <c r="C261" t="s">
        <v>2317</v>
      </c>
      <c r="D261" t="s">
        <v>2318</v>
      </c>
      <c r="E261" t="s">
        <v>2173</v>
      </c>
      <c r="F261">
        <v>202201</v>
      </c>
      <c r="G261" t="s">
        <v>223</v>
      </c>
      <c r="H261">
        <v>76768</v>
      </c>
    </row>
    <row r="262" spans="1:8">
      <c r="A262" t="s">
        <v>2315</v>
      </c>
      <c r="B262" t="s">
        <v>2316</v>
      </c>
      <c r="C262" t="s">
        <v>2317</v>
      </c>
      <c r="D262" t="s">
        <v>2318</v>
      </c>
      <c r="E262" t="s">
        <v>2173</v>
      </c>
      <c r="F262">
        <v>202201</v>
      </c>
      <c r="G262" t="s">
        <v>225</v>
      </c>
      <c r="H262">
        <v>0</v>
      </c>
    </row>
    <row r="263" spans="1:8">
      <c r="A263" t="s">
        <v>2315</v>
      </c>
      <c r="B263" t="s">
        <v>2316</v>
      </c>
      <c r="C263" t="s">
        <v>2317</v>
      </c>
      <c r="D263" t="s">
        <v>2318</v>
      </c>
      <c r="E263" t="s">
        <v>2173</v>
      </c>
      <c r="F263">
        <v>202202</v>
      </c>
      <c r="G263" t="s">
        <v>230</v>
      </c>
      <c r="H263">
        <v>438084</v>
      </c>
    </row>
    <row r="264" spans="1:8">
      <c r="A264" t="s">
        <v>2315</v>
      </c>
      <c r="B264" t="s">
        <v>2316</v>
      </c>
      <c r="C264" t="s">
        <v>2317</v>
      </c>
      <c r="D264" t="s">
        <v>2318</v>
      </c>
      <c r="E264" t="s">
        <v>2173</v>
      </c>
      <c r="F264">
        <v>202202</v>
      </c>
      <c r="G264" t="s">
        <v>231</v>
      </c>
      <c r="H264">
        <v>60724</v>
      </c>
    </row>
    <row r="265" spans="1:8">
      <c r="A265" t="s">
        <v>2315</v>
      </c>
      <c r="B265" t="s">
        <v>2316</v>
      </c>
      <c r="C265" t="s">
        <v>2317</v>
      </c>
      <c r="D265" t="s">
        <v>2318</v>
      </c>
      <c r="E265" t="s">
        <v>2173</v>
      </c>
      <c r="F265">
        <v>202202</v>
      </c>
      <c r="G265" t="s">
        <v>221</v>
      </c>
      <c r="H265">
        <v>438084</v>
      </c>
    </row>
    <row r="266" spans="1:8">
      <c r="A266" t="s">
        <v>2315</v>
      </c>
      <c r="B266" t="s">
        <v>2316</v>
      </c>
      <c r="C266" t="s">
        <v>2317</v>
      </c>
      <c r="D266" t="s">
        <v>2318</v>
      </c>
      <c r="E266" t="s">
        <v>2173</v>
      </c>
      <c r="F266">
        <v>202202</v>
      </c>
      <c r="G266" t="s">
        <v>223</v>
      </c>
      <c r="H266">
        <v>60724</v>
      </c>
    </row>
    <row r="267" spans="1:8">
      <c r="A267" t="s">
        <v>2315</v>
      </c>
      <c r="B267" t="s">
        <v>2316</v>
      </c>
      <c r="C267" t="s">
        <v>2317</v>
      </c>
      <c r="D267" t="s">
        <v>2318</v>
      </c>
      <c r="E267" t="s">
        <v>2173</v>
      </c>
      <c r="F267">
        <v>202202</v>
      </c>
      <c r="G267" t="s">
        <v>225</v>
      </c>
      <c r="H267">
        <v>0</v>
      </c>
    </row>
    <row r="268" spans="1:8">
      <c r="A268" t="s">
        <v>2315</v>
      </c>
      <c r="B268" t="s">
        <v>2316</v>
      </c>
      <c r="C268" t="s">
        <v>2317</v>
      </c>
      <c r="D268" t="s">
        <v>2318</v>
      </c>
      <c r="E268" t="s">
        <v>2173</v>
      </c>
      <c r="F268">
        <v>202203</v>
      </c>
      <c r="G268" t="s">
        <v>230</v>
      </c>
      <c r="H268">
        <v>410329</v>
      </c>
    </row>
    <row r="269" spans="1:8">
      <c r="A269" t="s">
        <v>2315</v>
      </c>
      <c r="B269" t="s">
        <v>2316</v>
      </c>
      <c r="C269" t="s">
        <v>2317</v>
      </c>
      <c r="D269" t="s">
        <v>2318</v>
      </c>
      <c r="E269" t="s">
        <v>2173</v>
      </c>
      <c r="F269">
        <v>202203</v>
      </c>
      <c r="G269" t="s">
        <v>231</v>
      </c>
      <c r="H269">
        <v>58777</v>
      </c>
    </row>
    <row r="270" spans="1:8">
      <c r="A270" t="s">
        <v>2315</v>
      </c>
      <c r="B270" t="s">
        <v>2316</v>
      </c>
      <c r="C270" t="s">
        <v>2317</v>
      </c>
      <c r="D270" t="s">
        <v>2318</v>
      </c>
      <c r="E270" t="s">
        <v>2173</v>
      </c>
      <c r="F270">
        <v>202203</v>
      </c>
      <c r="G270" t="s">
        <v>221</v>
      </c>
      <c r="H270">
        <v>410329</v>
      </c>
    </row>
    <row r="271" spans="1:8">
      <c r="A271" t="s">
        <v>2315</v>
      </c>
      <c r="B271" t="s">
        <v>2316</v>
      </c>
      <c r="C271" t="s">
        <v>2317</v>
      </c>
      <c r="D271" t="s">
        <v>2318</v>
      </c>
      <c r="E271" t="s">
        <v>2173</v>
      </c>
      <c r="F271">
        <v>202203</v>
      </c>
      <c r="G271" t="s">
        <v>223</v>
      </c>
      <c r="H271">
        <v>58777</v>
      </c>
    </row>
    <row r="272" spans="1:8">
      <c r="A272" t="s">
        <v>2315</v>
      </c>
      <c r="B272" t="s">
        <v>2316</v>
      </c>
      <c r="C272" t="s">
        <v>2317</v>
      </c>
      <c r="D272" t="s">
        <v>2318</v>
      </c>
      <c r="E272" t="s">
        <v>2173</v>
      </c>
      <c r="F272">
        <v>202203</v>
      </c>
      <c r="G272" t="s">
        <v>225</v>
      </c>
      <c r="H272">
        <v>0</v>
      </c>
    </row>
    <row r="273" spans="1:8">
      <c r="A273" t="s">
        <v>2315</v>
      </c>
      <c r="B273" t="s">
        <v>2316</v>
      </c>
      <c r="C273" t="s">
        <v>2317</v>
      </c>
      <c r="D273" t="s">
        <v>2318</v>
      </c>
      <c r="E273" t="s">
        <v>2173</v>
      </c>
      <c r="F273">
        <v>202204</v>
      </c>
      <c r="G273" t="s">
        <v>230</v>
      </c>
      <c r="H273">
        <v>395520</v>
      </c>
    </row>
    <row r="274" spans="1:8">
      <c r="A274" t="s">
        <v>2315</v>
      </c>
      <c r="B274" t="s">
        <v>2316</v>
      </c>
      <c r="C274" t="s">
        <v>2317</v>
      </c>
      <c r="D274" t="s">
        <v>2318</v>
      </c>
      <c r="E274" t="s">
        <v>2173</v>
      </c>
      <c r="F274">
        <v>202204</v>
      </c>
      <c r="G274" t="s">
        <v>231</v>
      </c>
      <c r="H274">
        <v>49345</v>
      </c>
    </row>
    <row r="275" spans="1:8">
      <c r="A275" t="s">
        <v>2315</v>
      </c>
      <c r="B275" t="s">
        <v>2316</v>
      </c>
      <c r="C275" t="s">
        <v>2317</v>
      </c>
      <c r="D275" t="s">
        <v>2318</v>
      </c>
      <c r="E275" t="s">
        <v>2173</v>
      </c>
      <c r="F275">
        <v>202204</v>
      </c>
      <c r="G275" t="s">
        <v>221</v>
      </c>
      <c r="H275">
        <v>395520</v>
      </c>
    </row>
    <row r="276" spans="1:8">
      <c r="A276" t="s">
        <v>2315</v>
      </c>
      <c r="B276" t="s">
        <v>2316</v>
      </c>
      <c r="C276" t="s">
        <v>2317</v>
      </c>
      <c r="D276" t="s">
        <v>2318</v>
      </c>
      <c r="E276" t="s">
        <v>2173</v>
      </c>
      <c r="F276">
        <v>202204</v>
      </c>
      <c r="G276" t="s">
        <v>223</v>
      </c>
      <c r="H276">
        <v>49345</v>
      </c>
    </row>
    <row r="277" spans="1:8">
      <c r="A277" t="s">
        <v>2315</v>
      </c>
      <c r="B277" t="s">
        <v>2316</v>
      </c>
      <c r="C277" t="s">
        <v>2317</v>
      </c>
      <c r="D277" t="s">
        <v>2318</v>
      </c>
      <c r="E277" t="s">
        <v>2173</v>
      </c>
      <c r="F277">
        <v>202204</v>
      </c>
      <c r="G277" t="s">
        <v>225</v>
      </c>
      <c r="H277">
        <v>0</v>
      </c>
    </row>
    <row r="278" spans="1:8">
      <c r="A278" t="s">
        <v>2315</v>
      </c>
      <c r="B278" t="s">
        <v>2316</v>
      </c>
      <c r="C278" t="s">
        <v>2317</v>
      </c>
      <c r="D278" t="s">
        <v>2318</v>
      </c>
      <c r="E278" t="s">
        <v>2173</v>
      </c>
      <c r="F278">
        <v>202205</v>
      </c>
      <c r="G278" t="s">
        <v>230</v>
      </c>
      <c r="H278">
        <v>348144</v>
      </c>
    </row>
    <row r="279" spans="1:8">
      <c r="A279" t="s">
        <v>2315</v>
      </c>
      <c r="B279" t="s">
        <v>2316</v>
      </c>
      <c r="C279" t="s">
        <v>2317</v>
      </c>
      <c r="D279" t="s">
        <v>2318</v>
      </c>
      <c r="E279" t="s">
        <v>2173</v>
      </c>
      <c r="F279">
        <v>202205</v>
      </c>
      <c r="G279" t="s">
        <v>231</v>
      </c>
      <c r="H279">
        <v>50286</v>
      </c>
    </row>
    <row r="280" spans="1:8">
      <c r="A280" t="s">
        <v>2315</v>
      </c>
      <c r="B280" t="s">
        <v>2316</v>
      </c>
      <c r="C280" t="s">
        <v>2317</v>
      </c>
      <c r="D280" t="s">
        <v>2318</v>
      </c>
      <c r="E280" t="s">
        <v>2173</v>
      </c>
      <c r="F280">
        <v>202205</v>
      </c>
      <c r="G280" t="s">
        <v>221</v>
      </c>
      <c r="H280">
        <v>348144</v>
      </c>
    </row>
    <row r="281" spans="1:8">
      <c r="A281" t="s">
        <v>2315</v>
      </c>
      <c r="B281" t="s">
        <v>2316</v>
      </c>
      <c r="C281" t="s">
        <v>2317</v>
      </c>
      <c r="D281" t="s">
        <v>2318</v>
      </c>
      <c r="E281" t="s">
        <v>2173</v>
      </c>
      <c r="F281">
        <v>202205</v>
      </c>
      <c r="G281" t="s">
        <v>223</v>
      </c>
      <c r="H281">
        <v>50286</v>
      </c>
    </row>
    <row r="282" spans="1:8">
      <c r="A282" t="s">
        <v>2315</v>
      </c>
      <c r="B282" t="s">
        <v>2316</v>
      </c>
      <c r="C282" t="s">
        <v>2317</v>
      </c>
      <c r="D282" t="s">
        <v>2318</v>
      </c>
      <c r="E282" t="s">
        <v>2173</v>
      </c>
      <c r="F282">
        <v>202205</v>
      </c>
      <c r="G282" t="s">
        <v>225</v>
      </c>
      <c r="H282">
        <v>0</v>
      </c>
    </row>
    <row r="283" spans="1:8">
      <c r="A283" t="s">
        <v>2315</v>
      </c>
      <c r="B283" t="s">
        <v>2316</v>
      </c>
      <c r="C283" t="s">
        <v>2317</v>
      </c>
      <c r="D283" t="s">
        <v>2318</v>
      </c>
      <c r="E283" t="s">
        <v>2173</v>
      </c>
      <c r="F283">
        <v>202206</v>
      </c>
      <c r="G283" t="s">
        <v>230</v>
      </c>
      <c r="H283">
        <v>354028</v>
      </c>
    </row>
    <row r="284" spans="1:8">
      <c r="A284" t="s">
        <v>2315</v>
      </c>
      <c r="B284" t="s">
        <v>2316</v>
      </c>
      <c r="C284" t="s">
        <v>2317</v>
      </c>
      <c r="D284" t="s">
        <v>2318</v>
      </c>
      <c r="E284" t="s">
        <v>2173</v>
      </c>
      <c r="F284">
        <v>202206</v>
      </c>
      <c r="G284" t="s">
        <v>231</v>
      </c>
      <c r="H284">
        <v>50335</v>
      </c>
    </row>
    <row r="285" spans="1:8">
      <c r="A285" t="s">
        <v>2315</v>
      </c>
      <c r="B285" t="s">
        <v>2316</v>
      </c>
      <c r="C285" t="s">
        <v>2317</v>
      </c>
      <c r="D285" t="s">
        <v>2318</v>
      </c>
      <c r="E285" t="s">
        <v>2173</v>
      </c>
      <c r="F285">
        <v>202206</v>
      </c>
      <c r="G285" t="s">
        <v>221</v>
      </c>
      <c r="H285">
        <v>354028</v>
      </c>
    </row>
    <row r="286" spans="1:8">
      <c r="A286" t="s">
        <v>2315</v>
      </c>
      <c r="B286" t="s">
        <v>2316</v>
      </c>
      <c r="C286" t="s">
        <v>2317</v>
      </c>
      <c r="D286" t="s">
        <v>2318</v>
      </c>
      <c r="E286" t="s">
        <v>2173</v>
      </c>
      <c r="F286">
        <v>202206</v>
      </c>
      <c r="G286" t="s">
        <v>223</v>
      </c>
      <c r="H286">
        <v>50335</v>
      </c>
    </row>
    <row r="287" spans="1:8">
      <c r="A287" t="s">
        <v>2315</v>
      </c>
      <c r="B287" t="s">
        <v>2316</v>
      </c>
      <c r="C287" t="s">
        <v>2317</v>
      </c>
      <c r="D287" t="s">
        <v>2318</v>
      </c>
      <c r="E287" t="s">
        <v>2173</v>
      </c>
      <c r="F287">
        <v>202206</v>
      </c>
      <c r="G287" t="s">
        <v>225</v>
      </c>
      <c r="H287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C1" activePane="topRight" state="frozen"/>
      <selection activeCell="A7" sqref="A7"/>
      <selection pane="topRight" activeCell="H62" sqref="H6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2157</v>
      </c>
    </row>
    <row r="3" spans="1:50">
      <c r="A3" s="63" t="s">
        <v>235</v>
      </c>
      <c r="AI3" t="s">
        <v>2158</v>
      </c>
    </row>
    <row r="4" spans="1:50">
      <c r="A4" s="63" t="s">
        <v>236</v>
      </c>
    </row>
    <row r="7" spans="1:50">
      <c r="A7" s="656" t="s">
        <v>237</v>
      </c>
      <c r="M7" t="s">
        <v>2149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12" t="s">
        <v>238</v>
      </c>
      <c r="AS9" s="813" t="s">
        <v>278</v>
      </c>
    </row>
    <row r="10" spans="1:50" s="9" customFormat="1" ht="31.5" hidden="1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15">
        <v>0</v>
      </c>
      <c r="N10" s="1631"/>
      <c r="O10" s="1631" t="s">
        <v>2150</v>
      </c>
      <c r="P10" s="1628">
        <v>0.18360000000000001</v>
      </c>
      <c r="Q10" s="1631">
        <v>16758759.762993418</v>
      </c>
      <c r="R10" s="1639">
        <v>44531</v>
      </c>
      <c r="S10" s="1631" t="s">
        <v>2161</v>
      </c>
      <c r="T10" s="630" t="s">
        <v>286</v>
      </c>
      <c r="U10" s="741" t="s">
        <v>287</v>
      </c>
      <c r="V10" s="630">
        <v>2024</v>
      </c>
      <c r="W10" s="1626">
        <v>2974</v>
      </c>
      <c r="X10" s="1627" t="s">
        <v>2152</v>
      </c>
      <c r="Y10" s="1628">
        <v>1.15E-2</v>
      </c>
      <c r="Z10" s="1629">
        <v>0</v>
      </c>
      <c r="AA10" s="1629" t="s">
        <v>288</v>
      </c>
      <c r="AB10" s="491">
        <v>39.72</v>
      </c>
      <c r="AC10" s="491">
        <v>539.16</v>
      </c>
      <c r="AD10" s="491">
        <v>3502812.67</v>
      </c>
      <c r="AE10" s="1630">
        <v>42300</v>
      </c>
      <c r="AF10" s="1630">
        <v>42300</v>
      </c>
      <c r="AG10" s="1631">
        <v>0</v>
      </c>
      <c r="AH10" s="630"/>
      <c r="AI10" s="741">
        <v>41472</v>
      </c>
      <c r="AJ10" s="741">
        <v>42613</v>
      </c>
      <c r="AK10" s="741" t="s">
        <v>289</v>
      </c>
      <c r="AL10" s="741"/>
      <c r="AM10" s="741"/>
      <c r="AN10" s="864"/>
      <c r="AO10" s="235"/>
      <c r="AP10" s="17"/>
      <c r="AR10" s="818" t="s">
        <v>290</v>
      </c>
      <c r="AS10" s="235"/>
      <c r="AT10" s="235"/>
      <c r="AX10" s="235"/>
    </row>
    <row r="11" spans="1:50" s="9" customFormat="1" ht="31.5" hidden="1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5">
        <v>0</v>
      </c>
      <c r="N11" s="1631"/>
      <c r="O11" s="1631" t="str">
        <f>O10</f>
        <v>ReH 2.995/2021</v>
      </c>
      <c r="P11" s="1640">
        <v>8.7599999999999997E-2</v>
      </c>
      <c r="Q11" s="1631">
        <v>12051594.579145933</v>
      </c>
      <c r="R11" s="1639">
        <v>44531</v>
      </c>
      <c r="S11" s="1631" t="str">
        <f>S10</f>
        <v>Desp. 521/2022</v>
      </c>
      <c r="T11" s="630" t="s">
        <v>294</v>
      </c>
      <c r="U11" s="741" t="s">
        <v>295</v>
      </c>
      <c r="V11" s="630">
        <v>2024</v>
      </c>
      <c r="W11" s="1626">
        <v>2944</v>
      </c>
      <c r="X11" s="1627" t="s">
        <v>2156</v>
      </c>
      <c r="Y11" s="630"/>
      <c r="AA11" s="1629" t="s">
        <v>164</v>
      </c>
      <c r="AB11" s="1631">
        <v>39.799999999999997</v>
      </c>
      <c r="AC11" s="1632">
        <v>133.91999999999999</v>
      </c>
      <c r="AD11" s="1632">
        <v>2423958.41</v>
      </c>
      <c r="AE11" s="741">
        <v>43678</v>
      </c>
      <c r="AF11" s="741">
        <v>43678</v>
      </c>
      <c r="AG11" s="1631">
        <v>0</v>
      </c>
      <c r="AH11" s="630"/>
      <c r="AI11" s="741">
        <v>41472</v>
      </c>
      <c r="AJ11" s="741">
        <v>42613</v>
      </c>
      <c r="AK11" s="741" t="s">
        <v>289</v>
      </c>
      <c r="AL11" s="741"/>
      <c r="AM11" s="741"/>
      <c r="AN11" s="864"/>
      <c r="AO11" s="235"/>
      <c r="AP11" s="17"/>
      <c r="AR11" s="818" t="s">
        <v>279</v>
      </c>
      <c r="AS11" s="235"/>
      <c r="AT11" s="235"/>
      <c r="AX11" s="235"/>
    </row>
    <row r="12" spans="1:50" s="9" customFormat="1" ht="31.5" hidden="1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5">
        <v>0</v>
      </c>
      <c r="N12" s="1631"/>
      <c r="O12" s="1631" t="str">
        <f t="shared" ref="O12:O61" si="9">O11</f>
        <v>ReH 2.995/2021</v>
      </c>
      <c r="P12" s="1640">
        <v>0.1298</v>
      </c>
      <c r="Q12" s="1631">
        <v>17888427.870995689</v>
      </c>
      <c r="R12" s="1639">
        <v>44531</v>
      </c>
      <c r="S12" s="1631" t="str">
        <f t="shared" ref="S12:S61" si="10">S11</f>
        <v>Desp. 521/2022</v>
      </c>
      <c r="T12" s="630" t="s">
        <v>300</v>
      </c>
      <c r="U12" s="741" t="s">
        <v>295</v>
      </c>
      <c r="V12" s="630">
        <v>2024</v>
      </c>
      <c r="W12" s="1626">
        <v>2977</v>
      </c>
      <c r="X12" s="1627" t="s">
        <v>2152</v>
      </c>
      <c r="Y12" s="1628">
        <v>1.15E-2</v>
      </c>
      <c r="Z12" s="1629">
        <v>-0.02</v>
      </c>
      <c r="AA12" s="1629" t="s">
        <v>301</v>
      </c>
      <c r="AB12" s="1631">
        <v>45.63</v>
      </c>
      <c r="AC12" s="1632">
        <v>532.64</v>
      </c>
      <c r="AD12" s="1632">
        <v>5694629.8099999996</v>
      </c>
      <c r="AE12" s="741">
        <v>43739</v>
      </c>
      <c r="AF12" s="741">
        <v>43739</v>
      </c>
      <c r="AG12" s="1631">
        <v>0</v>
      </c>
      <c r="AH12" s="630"/>
      <c r="AI12" s="741">
        <v>41472</v>
      </c>
      <c r="AJ12" s="741">
        <v>42673</v>
      </c>
      <c r="AK12" s="741" t="s">
        <v>289</v>
      </c>
      <c r="AL12" s="741"/>
      <c r="AM12" s="741"/>
      <c r="AN12" s="864"/>
      <c r="AO12" s="235"/>
      <c r="AP12" s="17"/>
      <c r="AR12" s="818" t="s">
        <v>187</v>
      </c>
      <c r="AS12" s="235"/>
      <c r="AT12" s="235"/>
      <c r="AX12" s="235"/>
    </row>
    <row r="13" spans="1:50" s="9" customFormat="1" ht="31.5" hidden="1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5">
        <v>0</v>
      </c>
      <c r="N13" s="1631"/>
      <c r="O13" s="1631" t="str">
        <f t="shared" si="9"/>
        <v>ReH 2.995/2021</v>
      </c>
      <c r="P13" s="1640">
        <v>0.1832</v>
      </c>
      <c r="Q13" s="1631">
        <v>51573900.56414932</v>
      </c>
      <c r="R13" s="1639">
        <v>44531</v>
      </c>
      <c r="S13" s="1631" t="str">
        <f t="shared" si="10"/>
        <v>Desp. 521/2022</v>
      </c>
      <c r="T13" s="630" t="s">
        <v>306</v>
      </c>
      <c r="U13" s="741" t="s">
        <v>295</v>
      </c>
      <c r="V13" s="630">
        <v>2024</v>
      </c>
      <c r="W13" s="1626">
        <v>2863</v>
      </c>
      <c r="X13" s="1627" t="s">
        <v>2155</v>
      </c>
      <c r="Y13" s="630"/>
      <c r="AA13" s="1629" t="s">
        <v>307</v>
      </c>
      <c r="AB13" s="1631">
        <v>60.67</v>
      </c>
      <c r="AC13" s="1632">
        <v>128.56</v>
      </c>
      <c r="AD13" s="1632">
        <v>16751978.699999999</v>
      </c>
      <c r="AE13" s="741">
        <v>44256</v>
      </c>
      <c r="AF13" s="741">
        <v>44277</v>
      </c>
      <c r="AG13" s="1631">
        <v>0</v>
      </c>
      <c r="AH13" s="630"/>
      <c r="AI13" s="741">
        <v>41472</v>
      </c>
      <c r="AJ13" s="741">
        <v>42410</v>
      </c>
      <c r="AK13" s="741" t="s">
        <v>289</v>
      </c>
      <c r="AL13" s="741"/>
      <c r="AM13" s="741"/>
      <c r="AN13" s="864"/>
      <c r="AO13" s="235"/>
      <c r="AP13" s="17"/>
      <c r="AR13" s="818" t="s">
        <v>186</v>
      </c>
      <c r="AS13" s="235"/>
      <c r="AT13" s="235"/>
      <c r="AX13" s="235"/>
    </row>
    <row r="14" spans="1:50" s="9" customFormat="1" ht="31.5" hidden="1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15">
        <v>0</v>
      </c>
      <c r="N14" s="1631"/>
      <c r="O14" s="1631" t="str">
        <f t="shared" si="9"/>
        <v>ReH 2.995/2021</v>
      </c>
      <c r="P14" s="1640">
        <v>8.9499999999999996E-2</v>
      </c>
      <c r="Q14" s="1641">
        <v>8419443.0538159572</v>
      </c>
      <c r="R14" s="1639">
        <v>44531</v>
      </c>
      <c r="S14" s="1631" t="str">
        <f t="shared" si="10"/>
        <v>Desp. 521/2022</v>
      </c>
      <c r="T14" s="630" t="s">
        <v>313</v>
      </c>
      <c r="U14" s="741" t="s">
        <v>295</v>
      </c>
      <c r="V14" s="630">
        <v>2024</v>
      </c>
      <c r="W14" s="1626">
        <v>2910</v>
      </c>
      <c r="X14" s="1627" t="s">
        <v>2154</v>
      </c>
      <c r="Y14" s="1628">
        <v>1.15E-2</v>
      </c>
      <c r="Z14" s="1629">
        <v>0</v>
      </c>
      <c r="AA14" s="1629" t="s">
        <v>312</v>
      </c>
      <c r="AB14" s="1631">
        <v>33.24</v>
      </c>
      <c r="AC14" s="1632">
        <v>986.44</v>
      </c>
      <c r="AD14" s="1632">
        <v>2124774.87</v>
      </c>
      <c r="AE14" s="741">
        <v>43647</v>
      </c>
      <c r="AF14" s="741">
        <v>43647</v>
      </c>
      <c r="AG14" s="1631">
        <v>0</v>
      </c>
      <c r="AH14" s="630"/>
      <c r="AI14" s="741">
        <v>41472</v>
      </c>
      <c r="AJ14" s="741">
        <v>42562</v>
      </c>
      <c r="AK14" s="741" t="s">
        <v>289</v>
      </c>
      <c r="AL14" s="741"/>
      <c r="AM14" s="741"/>
      <c r="AN14" s="864"/>
      <c r="AO14" s="235"/>
      <c r="AP14" s="17"/>
      <c r="AR14" s="818" t="s">
        <v>314</v>
      </c>
      <c r="AS14" s="235"/>
      <c r="AT14" s="235"/>
      <c r="AX14" s="235"/>
    </row>
    <row r="15" spans="1:50" s="9" customFormat="1" ht="31.5" hidden="1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15">
        <v>0</v>
      </c>
      <c r="N15" s="1631"/>
      <c r="O15" s="1631" t="str">
        <f t="shared" si="9"/>
        <v>ReH 2.995/2021</v>
      </c>
      <c r="P15" s="1640">
        <v>0.14800000000000002</v>
      </c>
      <c r="Q15" s="1641">
        <v>5024282.8201926984</v>
      </c>
      <c r="R15" s="1639">
        <v>44531</v>
      </c>
      <c r="S15" s="1631" t="str">
        <f t="shared" si="10"/>
        <v>Desp. 521/2022</v>
      </c>
      <c r="T15" s="630" t="s">
        <v>319</v>
      </c>
      <c r="U15" s="741" t="s">
        <v>287</v>
      </c>
      <c r="V15" s="630">
        <v>2024</v>
      </c>
      <c r="W15" s="1626">
        <v>2978</v>
      </c>
      <c r="X15" s="1627" t="s">
        <v>2152</v>
      </c>
      <c r="Y15" s="630"/>
      <c r="AA15" s="1629" t="s">
        <v>288</v>
      </c>
      <c r="AB15" s="1631">
        <v>98.54</v>
      </c>
      <c r="AC15" s="1632">
        <v>492.16</v>
      </c>
      <c r="AD15" s="1632">
        <v>607256.85</v>
      </c>
      <c r="AE15" s="741">
        <v>43739</v>
      </c>
      <c r="AF15" s="741">
        <v>43739</v>
      </c>
      <c r="AG15" s="1631">
        <v>0</v>
      </c>
      <c r="AH15" s="630"/>
      <c r="AI15" s="741">
        <v>41472</v>
      </c>
      <c r="AJ15" s="741">
        <v>42673</v>
      </c>
      <c r="AK15" s="741" t="s">
        <v>289</v>
      </c>
      <c r="AL15" s="741"/>
      <c r="AM15" s="741"/>
      <c r="AN15" s="864"/>
      <c r="AO15" s="235"/>
      <c r="AP15" s="17"/>
      <c r="AR15" s="818" t="s">
        <v>320</v>
      </c>
      <c r="AS15" s="235"/>
      <c r="AT15" s="235"/>
      <c r="AX15" s="235"/>
    </row>
    <row r="16" spans="1:50" s="9" customFormat="1" ht="31.5" hidden="1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5">
        <v>0</v>
      </c>
      <c r="N16" s="1631"/>
      <c r="O16" s="1631" t="str">
        <f t="shared" si="9"/>
        <v>ReH 2.995/2021</v>
      </c>
      <c r="P16" s="1640">
        <v>0.1585</v>
      </c>
      <c r="Q16" s="1631">
        <v>13523024.849047249</v>
      </c>
      <c r="R16" s="1639">
        <v>44531</v>
      </c>
      <c r="S16" s="1631" t="str">
        <f t="shared" si="10"/>
        <v>Desp. 521/2022</v>
      </c>
      <c r="T16" s="630" t="s">
        <v>325</v>
      </c>
      <c r="U16" s="741" t="s">
        <v>326</v>
      </c>
      <c r="V16" s="630">
        <v>2024</v>
      </c>
      <c r="W16" s="1626">
        <v>2903</v>
      </c>
      <c r="X16" s="1627" t="s">
        <v>2154</v>
      </c>
      <c r="Y16" s="1628">
        <v>1.15E-2</v>
      </c>
      <c r="Z16" s="488">
        <v>0</v>
      </c>
      <c r="AA16" s="488" t="s">
        <v>125</v>
      </c>
      <c r="AB16" s="1631">
        <v>23.817216620837154</v>
      </c>
      <c r="AC16" s="1632">
        <v>102.39004092957872</v>
      </c>
      <c r="AD16" s="1632">
        <v>8424461.6320540309</v>
      </c>
      <c r="AE16" s="741">
        <v>44389</v>
      </c>
      <c r="AF16" s="741">
        <v>44389</v>
      </c>
      <c r="AG16" s="1631">
        <v>0</v>
      </c>
      <c r="AH16" s="630"/>
      <c r="AI16" s="741">
        <v>41472</v>
      </c>
      <c r="AJ16" s="741">
        <v>42507</v>
      </c>
      <c r="AK16" s="741" t="s">
        <v>289</v>
      </c>
      <c r="AL16" s="741"/>
      <c r="AM16" s="741"/>
      <c r="AN16" s="864"/>
      <c r="AO16" s="235"/>
      <c r="AP16" s="17"/>
      <c r="AR16" s="818" t="s">
        <v>327</v>
      </c>
      <c r="AS16" s="235"/>
      <c r="AT16" s="235"/>
      <c r="AX16" s="235"/>
    </row>
    <row r="17" spans="1:50" s="9" customFormat="1" ht="31.5" hidden="1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5">
        <v>0</v>
      </c>
      <c r="N17" s="1631"/>
      <c r="O17" s="1631" t="str">
        <f t="shared" si="9"/>
        <v>ReH 2.995/2021</v>
      </c>
      <c r="P17" s="1640">
        <v>0.36620000000000003</v>
      </c>
      <c r="Q17" s="1631">
        <v>10580562.183376934</v>
      </c>
      <c r="R17" s="1639">
        <v>44531</v>
      </c>
      <c r="S17" s="1631" t="str">
        <f t="shared" si="10"/>
        <v>Desp. 521/2022</v>
      </c>
      <c r="T17" s="630" t="s">
        <v>332</v>
      </c>
      <c r="U17" s="741" t="s">
        <v>295</v>
      </c>
      <c r="V17" s="630">
        <v>2024</v>
      </c>
      <c r="W17" s="1626">
        <v>2873</v>
      </c>
      <c r="X17" s="1627" t="s">
        <v>2153</v>
      </c>
      <c r="Y17" s="630"/>
      <c r="AA17" s="1629" t="s">
        <v>150</v>
      </c>
      <c r="AB17" s="1631">
        <v>90.43</v>
      </c>
      <c r="AC17" s="1632">
        <v>237.88</v>
      </c>
      <c r="AD17" s="1632">
        <v>1254128.21</v>
      </c>
      <c r="AE17" s="741">
        <v>43198</v>
      </c>
      <c r="AF17" s="741">
        <v>43198</v>
      </c>
      <c r="AG17" s="1631">
        <v>0</v>
      </c>
      <c r="AH17" s="630"/>
      <c r="AI17" s="741">
        <v>41472</v>
      </c>
      <c r="AJ17" s="741">
        <v>42475</v>
      </c>
      <c r="AK17" s="741" t="s">
        <v>289</v>
      </c>
      <c r="AL17" s="741"/>
      <c r="AM17" s="741"/>
      <c r="AN17" s="864"/>
      <c r="AO17" s="235"/>
      <c r="AP17" s="17"/>
      <c r="AR17" s="818" t="s">
        <v>9</v>
      </c>
      <c r="AS17" s="235"/>
      <c r="AT17" s="235"/>
      <c r="AX17" s="235"/>
    </row>
    <row r="18" spans="1:50" s="9" customFormat="1" ht="31.5" hidden="1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5">
        <v>0</v>
      </c>
      <c r="N18" s="1631"/>
      <c r="O18" s="1631" t="str">
        <f t="shared" si="9"/>
        <v>ReH 2.995/2021</v>
      </c>
      <c r="P18" s="1640">
        <v>0.18079999999999999</v>
      </c>
      <c r="Q18" s="1631">
        <v>19362081.83872563</v>
      </c>
      <c r="R18" s="1639">
        <v>44531</v>
      </c>
      <c r="S18" s="1631" t="str">
        <f t="shared" si="10"/>
        <v>Desp. 521/2022</v>
      </c>
      <c r="T18" s="630" t="s">
        <v>337</v>
      </c>
      <c r="U18" s="741" t="s">
        <v>326</v>
      </c>
      <c r="V18" s="630">
        <v>2024</v>
      </c>
      <c r="W18" s="1626">
        <v>2874</v>
      </c>
      <c r="X18" s="1627" t="s">
        <v>2153</v>
      </c>
      <c r="Y18" s="1628">
        <v>1.15E-2</v>
      </c>
      <c r="Z18" s="488">
        <v>-7.9000000000000008E-3</v>
      </c>
      <c r="AA18" s="488" t="s">
        <v>150</v>
      </c>
      <c r="AB18" s="1631">
        <v>70.27</v>
      </c>
      <c r="AC18" s="1632">
        <v>237.88</v>
      </c>
      <c r="AD18" s="1632">
        <v>3687472.37</v>
      </c>
      <c r="AE18" s="741">
        <v>43198</v>
      </c>
      <c r="AF18" s="741">
        <v>43198</v>
      </c>
      <c r="AG18" s="1631">
        <v>0</v>
      </c>
      <c r="AH18" s="630"/>
      <c r="AI18" s="741">
        <v>41472</v>
      </c>
      <c r="AJ18" s="741">
        <v>42475</v>
      </c>
      <c r="AK18" s="741" t="s">
        <v>289</v>
      </c>
      <c r="AL18" s="741"/>
      <c r="AM18" s="741"/>
      <c r="AN18" s="864"/>
      <c r="AO18" s="235"/>
      <c r="AP18" s="17"/>
      <c r="AR18" s="818" t="s">
        <v>338</v>
      </c>
      <c r="AS18" s="235"/>
      <c r="AT18" s="235"/>
      <c r="AX18" s="235"/>
    </row>
    <row r="19" spans="1:50" s="9" customFormat="1" ht="31.5" hidden="1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5">
        <v>0</v>
      </c>
      <c r="N19" s="1631"/>
      <c r="O19" s="1631" t="str">
        <f t="shared" si="9"/>
        <v>ReH 2.995/2021</v>
      </c>
      <c r="P19" s="1640">
        <v>0.1321</v>
      </c>
      <c r="Q19" s="1631">
        <v>39394175.109390005</v>
      </c>
      <c r="R19" s="1639">
        <v>44531</v>
      </c>
      <c r="S19" s="1631" t="str">
        <f t="shared" si="10"/>
        <v>Desp. 521/2022</v>
      </c>
      <c r="T19" s="630" t="s">
        <v>343</v>
      </c>
      <c r="U19" s="741" t="s">
        <v>295</v>
      </c>
      <c r="V19" s="630">
        <v>2024</v>
      </c>
      <c r="W19" s="1626">
        <v>2975</v>
      </c>
      <c r="X19" s="1627" t="s">
        <v>2152</v>
      </c>
      <c r="Y19" s="1628">
        <v>1.15E-2</v>
      </c>
      <c r="Z19" s="488">
        <v>0</v>
      </c>
      <c r="AA19" s="1629" t="s">
        <v>301</v>
      </c>
      <c r="AB19" s="1633">
        <v>39.53</v>
      </c>
      <c r="AC19" s="1632">
        <v>532.64</v>
      </c>
      <c r="AD19" s="1632">
        <v>12412486.630000001</v>
      </c>
      <c r="AE19" s="741">
        <v>43739</v>
      </c>
      <c r="AF19" s="741">
        <v>43739</v>
      </c>
      <c r="AG19" s="1631">
        <v>0</v>
      </c>
      <c r="AH19" s="630"/>
      <c r="AI19" s="741">
        <v>41472</v>
      </c>
      <c r="AJ19" s="741">
        <v>42673</v>
      </c>
      <c r="AK19" s="741" t="s">
        <v>289</v>
      </c>
      <c r="AL19" s="741"/>
      <c r="AM19" s="741"/>
      <c r="AN19" s="864"/>
      <c r="AO19" s="235"/>
      <c r="AP19" s="17"/>
      <c r="AR19" s="818" t="s">
        <v>184</v>
      </c>
      <c r="AS19" s="235"/>
      <c r="AT19" s="235"/>
      <c r="AX19" s="235"/>
    </row>
    <row r="20" spans="1:50" s="9" customFormat="1" ht="31.5" hidden="1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5">
        <v>0</v>
      </c>
      <c r="N20" s="1631"/>
      <c r="O20" s="1631" t="str">
        <f t="shared" si="9"/>
        <v>ReH 2.995/2021</v>
      </c>
      <c r="P20" s="1640">
        <v>0.1079</v>
      </c>
      <c r="Q20" s="1641">
        <v>9742223.1963606756</v>
      </c>
      <c r="R20" s="1639">
        <v>44531</v>
      </c>
      <c r="S20" s="1631" t="str">
        <f t="shared" si="10"/>
        <v>Desp. 521/2022</v>
      </c>
      <c r="T20" s="630" t="s">
        <v>348</v>
      </c>
      <c r="U20" s="741" t="s">
        <v>349</v>
      </c>
      <c r="V20" s="630">
        <v>2024</v>
      </c>
      <c r="W20" s="1626">
        <v>2946</v>
      </c>
      <c r="X20" s="1627" t="s">
        <v>2156</v>
      </c>
      <c r="Y20" s="630"/>
      <c r="AA20" s="1629" t="s">
        <v>189</v>
      </c>
      <c r="AB20" s="1631">
        <v>59.846956156846908</v>
      </c>
      <c r="AC20" s="1632">
        <v>180.36</v>
      </c>
      <c r="AD20" s="1632">
        <v>3290792.2979728933</v>
      </c>
      <c r="AE20" s="741">
        <v>44430</v>
      </c>
      <c r="AF20" s="741">
        <v>44430</v>
      </c>
      <c r="AG20" s="1631">
        <v>0</v>
      </c>
      <c r="AH20" s="630"/>
      <c r="AI20" s="741">
        <v>41472</v>
      </c>
      <c r="AJ20" s="741">
        <v>42641</v>
      </c>
      <c r="AK20" s="741" t="s">
        <v>289</v>
      </c>
      <c r="AL20" s="741"/>
      <c r="AM20" s="741"/>
      <c r="AN20" s="864"/>
      <c r="AO20" s="235"/>
      <c r="AP20" s="17"/>
      <c r="AR20" s="818" t="s">
        <v>196</v>
      </c>
      <c r="AS20" s="235"/>
      <c r="AT20" s="235"/>
      <c r="AX20" s="235"/>
    </row>
    <row r="21" spans="1:50" s="9" customFormat="1" ht="31.5" hidden="1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15">
        <v>0</v>
      </c>
      <c r="N21" s="1631"/>
      <c r="O21" s="1631" t="str">
        <f t="shared" si="9"/>
        <v>ReH 2.995/2021</v>
      </c>
      <c r="P21" s="1640">
        <v>8.7999999999999995E-2</v>
      </c>
      <c r="Q21" s="1631">
        <v>28257854.842311971</v>
      </c>
      <c r="R21" s="1639">
        <v>44531</v>
      </c>
      <c r="S21" s="1631" t="str">
        <f t="shared" si="10"/>
        <v>Desp. 521/2022</v>
      </c>
      <c r="T21" s="630" t="s">
        <v>354</v>
      </c>
      <c r="U21" s="741" t="s">
        <v>355</v>
      </c>
      <c r="V21" s="630">
        <v>2025</v>
      </c>
      <c r="W21" s="1626">
        <v>3000</v>
      </c>
      <c r="X21" s="1627" t="s">
        <v>2151</v>
      </c>
      <c r="Y21" s="630"/>
      <c r="AA21" s="1629" t="s">
        <v>189</v>
      </c>
      <c r="AB21" s="1631">
        <v>46.284812313198138</v>
      </c>
      <c r="AC21" s="1632">
        <v>180.36</v>
      </c>
      <c r="AD21" s="1632">
        <v>11703468.880194727</v>
      </c>
      <c r="AE21" s="741">
        <v>44430</v>
      </c>
      <c r="AF21" s="741">
        <v>44430</v>
      </c>
      <c r="AG21" s="1631">
        <v>0</v>
      </c>
      <c r="AH21" s="630"/>
      <c r="AI21" s="741">
        <v>41365</v>
      </c>
      <c r="AJ21" s="741">
        <v>42641</v>
      </c>
      <c r="AK21" s="741" t="s">
        <v>289</v>
      </c>
      <c r="AL21" s="741"/>
      <c r="AM21" s="741"/>
      <c r="AN21" s="864"/>
      <c r="AO21" s="235"/>
      <c r="AP21" s="17"/>
      <c r="AR21" s="818" t="s">
        <v>356</v>
      </c>
      <c r="AS21" s="235"/>
      <c r="AT21" s="235"/>
      <c r="AX21" s="235"/>
    </row>
    <row r="22" spans="1:50" s="9" customFormat="1" ht="31.5" hidden="1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5">
        <v>0</v>
      </c>
      <c r="N22" s="1631"/>
      <c r="O22" s="1631" t="str">
        <f t="shared" si="9"/>
        <v>ReH 2.995/2021</v>
      </c>
      <c r="P22" s="1640">
        <v>0.11210000000000001</v>
      </c>
      <c r="Q22" s="1631">
        <v>25814070.878469311</v>
      </c>
      <c r="R22" s="1639">
        <v>44531</v>
      </c>
      <c r="S22" s="1631" t="str">
        <f t="shared" si="10"/>
        <v>Desp. 521/2022</v>
      </c>
      <c r="T22" s="630" t="s">
        <v>360</v>
      </c>
      <c r="U22" s="741" t="s">
        <v>349</v>
      </c>
      <c r="V22" s="630">
        <v>2024</v>
      </c>
      <c r="W22" s="1626">
        <v>2939</v>
      </c>
      <c r="X22" s="1627" t="s">
        <v>2156</v>
      </c>
      <c r="Y22" s="630"/>
      <c r="AA22" s="1629" t="s">
        <v>189</v>
      </c>
      <c r="AB22" s="1631">
        <v>48.427014093503388</v>
      </c>
      <c r="AC22" s="1632">
        <v>180.36</v>
      </c>
      <c r="AD22" s="1632">
        <v>10692706.342225492</v>
      </c>
      <c r="AE22" s="741">
        <v>44430</v>
      </c>
      <c r="AF22" s="741">
        <v>44430</v>
      </c>
      <c r="AG22" s="1631">
        <v>0</v>
      </c>
      <c r="AH22" s="630"/>
      <c r="AI22" s="741">
        <v>41472</v>
      </c>
      <c r="AJ22" s="741">
        <v>42641</v>
      </c>
      <c r="AK22" s="741" t="s">
        <v>289</v>
      </c>
      <c r="AL22" s="741"/>
      <c r="AM22" s="741"/>
      <c r="AN22" s="864"/>
      <c r="AO22" s="235"/>
      <c r="AP22" s="17"/>
      <c r="AR22" s="818" t="s">
        <v>361</v>
      </c>
      <c r="AS22" s="235"/>
      <c r="AT22" s="235"/>
      <c r="AX22" s="235"/>
    </row>
    <row r="23" spans="1:50" s="9" customFormat="1" ht="31.5" hidden="1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15">
        <v>0</v>
      </c>
      <c r="N23" s="1631"/>
      <c r="O23" s="1631" t="str">
        <f t="shared" si="9"/>
        <v>ReH 2.995/2021</v>
      </c>
      <c r="P23" s="1640">
        <v>5.1200000000000002E-2</v>
      </c>
      <c r="Q23" s="1631">
        <v>6592780.5451776758</v>
      </c>
      <c r="R23" s="1639">
        <v>44531</v>
      </c>
      <c r="S23" s="1631" t="str">
        <f t="shared" si="10"/>
        <v>Desp. 521/2022</v>
      </c>
      <c r="T23" s="630" t="s">
        <v>365</v>
      </c>
      <c r="U23" s="741" t="s">
        <v>349</v>
      </c>
      <c r="V23" s="630">
        <v>2024</v>
      </c>
      <c r="W23" s="1626">
        <v>2976</v>
      </c>
      <c r="X23" s="1627" t="s">
        <v>2152</v>
      </c>
      <c r="Y23" s="630"/>
      <c r="AA23" s="1629" t="s">
        <v>189</v>
      </c>
      <c r="AB23" s="1631">
        <v>16.172212694965044</v>
      </c>
      <c r="AC23" s="1632">
        <v>180.36</v>
      </c>
      <c r="AD23" s="1632">
        <v>3766690.3356666476</v>
      </c>
      <c r="AE23" s="741">
        <v>44430</v>
      </c>
      <c r="AF23" s="741">
        <v>44430</v>
      </c>
      <c r="AG23" s="1631">
        <v>0</v>
      </c>
      <c r="AH23" s="630"/>
      <c r="AI23" s="741">
        <v>41472</v>
      </c>
      <c r="AJ23" s="741">
        <v>42641</v>
      </c>
      <c r="AK23" s="741" t="s">
        <v>289</v>
      </c>
      <c r="AL23" s="741"/>
      <c r="AM23" s="741"/>
      <c r="AN23" s="864">
        <v>415113.21</v>
      </c>
      <c r="AO23" s="235"/>
      <c r="AP23" s="17"/>
      <c r="AR23" s="818" t="s">
        <v>366</v>
      </c>
      <c r="AS23" s="235"/>
      <c r="AT23" s="235"/>
      <c r="AX23" s="235"/>
    </row>
    <row r="24" spans="1:50" s="9" customFormat="1" ht="31.5" hidden="1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5">
        <v>0</v>
      </c>
      <c r="N24" s="1631"/>
      <c r="O24" s="1631" t="str">
        <f t="shared" si="9"/>
        <v>ReH 2.995/2021</v>
      </c>
      <c r="P24" s="1640">
        <v>7.1800000000000003E-2</v>
      </c>
      <c r="Q24" s="1631">
        <v>32515799.777980469</v>
      </c>
      <c r="R24" s="1639">
        <v>44531</v>
      </c>
      <c r="S24" s="1631" t="str">
        <f t="shared" si="10"/>
        <v>Desp. 521/2022</v>
      </c>
      <c r="T24" s="630" t="s">
        <v>370</v>
      </c>
      <c r="U24" s="741" t="s">
        <v>349</v>
      </c>
      <c r="V24" s="630">
        <v>2024</v>
      </c>
      <c r="W24" s="1626">
        <v>2949</v>
      </c>
      <c r="X24" s="1627" t="s">
        <v>2156</v>
      </c>
      <c r="Y24" s="630"/>
      <c r="AA24" s="1629" t="s">
        <v>189</v>
      </c>
      <c r="AB24" s="1631">
        <v>77.349128723029523</v>
      </c>
      <c r="AC24" s="1632">
        <v>180.36</v>
      </c>
      <c r="AD24" s="1632">
        <v>9354913.9292200413</v>
      </c>
      <c r="AE24" s="741">
        <v>44430</v>
      </c>
      <c r="AF24" s="741">
        <v>44430</v>
      </c>
      <c r="AG24" s="1631">
        <v>0</v>
      </c>
      <c r="AH24" s="630"/>
      <c r="AI24" s="741">
        <v>41472</v>
      </c>
      <c r="AJ24" s="741">
        <v>42641</v>
      </c>
      <c r="AK24" s="741" t="s">
        <v>289</v>
      </c>
      <c r="AL24" s="741"/>
      <c r="AM24" s="741"/>
      <c r="AN24" s="864"/>
      <c r="AO24" s="235"/>
      <c r="AP24" s="17"/>
      <c r="AR24" s="818" t="s">
        <v>371</v>
      </c>
      <c r="AS24" s="235"/>
      <c r="AT24" s="235"/>
      <c r="AX24" s="235"/>
    </row>
    <row r="25" spans="1:50" s="9" customFormat="1" ht="31.5" hidden="1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5">
        <v>0</v>
      </c>
      <c r="N25" s="1631"/>
      <c r="O25" s="1631" t="str">
        <f t="shared" si="9"/>
        <v>ReH 2.995/2021</v>
      </c>
      <c r="P25" s="1640">
        <v>8.72E-2</v>
      </c>
      <c r="Q25" s="1631">
        <v>27692113.474028908</v>
      </c>
      <c r="R25" s="1639">
        <v>44531</v>
      </c>
      <c r="S25" s="1631" t="str">
        <f t="shared" si="10"/>
        <v>Desp. 521/2022</v>
      </c>
      <c r="T25" s="630" t="s">
        <v>376</v>
      </c>
      <c r="U25" s="741" t="s">
        <v>377</v>
      </c>
      <c r="V25" s="630">
        <v>2024</v>
      </c>
      <c r="W25" s="1626">
        <v>2940</v>
      </c>
      <c r="X25" s="1627" t="s">
        <v>2156</v>
      </c>
      <c r="Y25" s="630"/>
      <c r="AA25" s="1629" t="s">
        <v>189</v>
      </c>
      <c r="AB25" s="1631">
        <v>22.580552842543515</v>
      </c>
      <c r="AC25" s="1632">
        <v>180.36</v>
      </c>
      <c r="AD25" s="1632">
        <v>16232843.86472071</v>
      </c>
      <c r="AE25" s="741">
        <v>44430</v>
      </c>
      <c r="AF25" s="741">
        <v>44430</v>
      </c>
      <c r="AG25" s="1631">
        <v>0</v>
      </c>
      <c r="AH25" s="630"/>
      <c r="AI25" s="741">
        <v>41472</v>
      </c>
      <c r="AJ25" s="741">
        <v>42641</v>
      </c>
      <c r="AK25" s="741" t="s">
        <v>289</v>
      </c>
      <c r="AL25" s="741"/>
      <c r="AM25" s="741"/>
      <c r="AN25" s="864"/>
      <c r="AO25" s="235"/>
      <c r="AP25" s="17"/>
      <c r="AR25" s="818" t="s">
        <v>372</v>
      </c>
      <c r="AS25" s="235"/>
      <c r="AT25" s="235"/>
      <c r="AX25" s="235"/>
    </row>
    <row r="26" spans="1:50" s="9" customFormat="1" ht="31.5" hidden="1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5">
        <v>0</v>
      </c>
      <c r="N26" s="1631"/>
      <c r="O26" s="1631" t="str">
        <f t="shared" si="9"/>
        <v>ReH 2.995/2021</v>
      </c>
      <c r="P26" s="1640">
        <v>5.5899999999999998E-2</v>
      </c>
      <c r="Q26" s="1641">
        <v>21470201.670165978</v>
      </c>
      <c r="R26" s="1639">
        <v>44531</v>
      </c>
      <c r="S26" s="1631" t="str">
        <f t="shared" si="10"/>
        <v>Desp. 521/2022</v>
      </c>
      <c r="T26" s="630" t="s">
        <v>381</v>
      </c>
      <c r="U26" s="741" t="s">
        <v>382</v>
      </c>
      <c r="V26" s="630">
        <v>2024</v>
      </c>
      <c r="W26" s="1626">
        <v>2950</v>
      </c>
      <c r="X26" s="1627" t="s">
        <v>2156</v>
      </c>
      <c r="Y26" s="630"/>
      <c r="AA26" s="1629" t="s">
        <v>189</v>
      </c>
      <c r="AB26" s="1631">
        <v>133.2436333697292</v>
      </c>
      <c r="AC26" s="1632">
        <v>180.36</v>
      </c>
      <c r="AD26" s="1632">
        <v>755772.02907041553</v>
      </c>
      <c r="AE26" s="741">
        <v>44430</v>
      </c>
      <c r="AF26" s="741">
        <v>44430</v>
      </c>
      <c r="AG26" s="1631">
        <v>0</v>
      </c>
      <c r="AH26" s="630"/>
      <c r="AI26" s="741">
        <v>41472</v>
      </c>
      <c r="AJ26" s="741">
        <v>42641</v>
      </c>
      <c r="AK26" s="741" t="s">
        <v>289</v>
      </c>
      <c r="AL26" s="741"/>
      <c r="AM26" s="741"/>
      <c r="AN26" s="864">
        <v>1175911.3899999999</v>
      </c>
      <c r="AO26" s="235"/>
      <c r="AP26" s="17"/>
      <c r="AR26" s="818" t="s">
        <v>182</v>
      </c>
      <c r="AS26" s="235"/>
      <c r="AT26" s="235"/>
      <c r="AX26" s="235"/>
    </row>
    <row r="27" spans="1:50" s="9" customFormat="1" ht="31.5" hidden="1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5">
        <v>0</v>
      </c>
      <c r="N27" s="1631"/>
      <c r="O27" s="1631" t="str">
        <f t="shared" si="9"/>
        <v>ReH 2.995/2021</v>
      </c>
      <c r="P27" s="1640">
        <v>9.4600000000000004E-2</v>
      </c>
      <c r="Q27" s="1631">
        <v>8199512.497046981</v>
      </c>
      <c r="R27" s="1639">
        <v>44531</v>
      </c>
      <c r="S27" s="1631" t="str">
        <f t="shared" si="10"/>
        <v>Desp. 521/2022</v>
      </c>
      <c r="T27" s="630" t="s">
        <v>387</v>
      </c>
      <c r="U27" s="741" t="s">
        <v>388</v>
      </c>
      <c r="V27" s="630">
        <v>2025</v>
      </c>
      <c r="W27" s="1626">
        <v>2957</v>
      </c>
      <c r="X27" s="1627" t="s">
        <v>2156</v>
      </c>
      <c r="Y27" s="630"/>
      <c r="AA27" s="1629" t="s">
        <v>189</v>
      </c>
      <c r="AB27" s="1631">
        <v>52.855625463016914</v>
      </c>
      <c r="AC27" s="1632">
        <v>180.36</v>
      </c>
      <c r="AD27" s="1632">
        <v>3264076.527192608</v>
      </c>
      <c r="AE27" s="741">
        <v>44430</v>
      </c>
      <c r="AF27" s="741">
        <v>44430</v>
      </c>
      <c r="AG27" s="1631">
        <v>0</v>
      </c>
      <c r="AH27" s="630"/>
      <c r="AI27" s="741">
        <v>41365</v>
      </c>
      <c r="AJ27" s="741">
        <v>42641</v>
      </c>
      <c r="AK27" s="741" t="s">
        <v>289</v>
      </c>
      <c r="AL27" s="741"/>
      <c r="AM27" s="741"/>
      <c r="AN27" s="864"/>
      <c r="AO27" s="235"/>
      <c r="AP27" s="17"/>
      <c r="AR27" s="818" t="s">
        <v>389</v>
      </c>
      <c r="AS27" s="235"/>
      <c r="AT27" s="235"/>
      <c r="AX27" s="235"/>
    </row>
    <row r="28" spans="1:50" s="9" customFormat="1" ht="31.5" hidden="1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5">
        <v>0</v>
      </c>
      <c r="N28" s="1631"/>
      <c r="O28" s="1631" t="str">
        <f t="shared" si="9"/>
        <v>ReH 2.995/2021</v>
      </c>
      <c r="P28" s="1640">
        <v>8.7799999999999989E-2</v>
      </c>
      <c r="Q28" s="1631">
        <v>9453809.4927214365</v>
      </c>
      <c r="R28" s="1639">
        <v>44531</v>
      </c>
      <c r="S28" s="1631" t="str">
        <f t="shared" si="10"/>
        <v>Desp. 521/2022</v>
      </c>
      <c r="T28" s="630" t="s">
        <v>394</v>
      </c>
      <c r="U28" s="741" t="s">
        <v>349</v>
      </c>
      <c r="V28" s="630">
        <v>2024</v>
      </c>
      <c r="W28" s="1626">
        <v>2947</v>
      </c>
      <c r="X28" s="1627" t="s">
        <v>2156</v>
      </c>
      <c r="Y28" s="630"/>
      <c r="AA28" s="1629" t="s">
        <v>189</v>
      </c>
      <c r="AB28" s="1631">
        <v>58.247314361695402</v>
      </c>
      <c r="AC28" s="1632">
        <v>180.36</v>
      </c>
      <c r="AD28" s="1632">
        <v>2499952.1881573107</v>
      </c>
      <c r="AE28" s="741">
        <v>44430</v>
      </c>
      <c r="AF28" s="741">
        <v>44430</v>
      </c>
      <c r="AG28" s="1631">
        <v>0</v>
      </c>
      <c r="AH28" s="630"/>
      <c r="AI28" s="741">
        <v>41472</v>
      </c>
      <c r="AJ28" s="741">
        <v>42641</v>
      </c>
      <c r="AK28" s="741" t="s">
        <v>289</v>
      </c>
      <c r="AL28" s="741"/>
      <c r="AM28" s="741"/>
      <c r="AN28" s="864"/>
      <c r="AO28" s="235"/>
      <c r="AP28" s="17"/>
      <c r="AR28" s="818" t="s">
        <v>185</v>
      </c>
      <c r="AS28" s="235"/>
      <c r="AT28" s="235"/>
      <c r="AX28" s="235"/>
    </row>
    <row r="29" spans="1:50" s="9" customFormat="1" ht="31.5" hidden="1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5">
        <v>0</v>
      </c>
      <c r="N29" s="1631"/>
      <c r="O29" s="1631" t="str">
        <f t="shared" si="9"/>
        <v>ReH 2.995/2021</v>
      </c>
      <c r="P29" s="1640">
        <v>8.8100000000000012E-2</v>
      </c>
      <c r="Q29" s="1631">
        <v>28651980.425397582</v>
      </c>
      <c r="R29" s="1639">
        <v>44531</v>
      </c>
      <c r="S29" s="1631" t="str">
        <f t="shared" si="10"/>
        <v>Desp. 521/2022</v>
      </c>
      <c r="T29" s="630" t="s">
        <v>399</v>
      </c>
      <c r="U29" s="741" t="s">
        <v>400</v>
      </c>
      <c r="V29" s="630">
        <v>2022</v>
      </c>
      <c r="W29" s="1626">
        <v>2951</v>
      </c>
      <c r="X29" s="1627" t="s">
        <v>2156</v>
      </c>
      <c r="Y29" s="630"/>
      <c r="AA29" s="1629" t="s">
        <v>189</v>
      </c>
      <c r="AB29" s="1631">
        <v>179.67819908532709</v>
      </c>
      <c r="AC29" s="1632">
        <v>180.36</v>
      </c>
      <c r="AD29" s="1632">
        <v>1205667.8282342954</v>
      </c>
      <c r="AE29" s="741">
        <v>44430</v>
      </c>
      <c r="AF29" s="741">
        <v>44430</v>
      </c>
      <c r="AG29" s="1631">
        <v>0</v>
      </c>
      <c r="AH29" s="630"/>
      <c r="AI29" s="741">
        <v>41365</v>
      </c>
      <c r="AJ29" s="741">
        <v>42641</v>
      </c>
      <c r="AK29" s="741" t="s">
        <v>289</v>
      </c>
      <c r="AL29" s="741"/>
      <c r="AM29" s="741"/>
      <c r="AN29" s="864"/>
      <c r="AO29" s="235"/>
      <c r="AP29" s="17"/>
      <c r="AR29" s="818" t="s">
        <v>383</v>
      </c>
      <c r="AS29" s="235"/>
      <c r="AT29" s="235"/>
      <c r="AX29" s="235"/>
    </row>
    <row r="30" spans="1:50" s="9" customFormat="1" ht="31.5" hidden="1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5">
        <v>0</v>
      </c>
      <c r="N30" s="1631"/>
      <c r="O30" s="1631" t="str">
        <f t="shared" si="9"/>
        <v>ReH 2.995/2021</v>
      </c>
      <c r="P30" s="1640">
        <v>8.5999999999999993E-2</v>
      </c>
      <c r="Q30" s="1631">
        <v>22196667.859687008</v>
      </c>
      <c r="R30" s="1639">
        <v>44531</v>
      </c>
      <c r="S30" s="1631" t="str">
        <f t="shared" si="10"/>
        <v>Desp. 521/2022</v>
      </c>
      <c r="T30" s="630" t="s">
        <v>405</v>
      </c>
      <c r="U30" s="741" t="s">
        <v>349</v>
      </c>
      <c r="V30" s="630">
        <v>2024</v>
      </c>
      <c r="W30" s="1626">
        <v>2941</v>
      </c>
      <c r="X30" s="1627" t="s">
        <v>2156</v>
      </c>
      <c r="Y30" s="630"/>
      <c r="AA30" s="1629" t="s">
        <v>189</v>
      </c>
      <c r="AB30" s="1631">
        <v>91.699587599428298</v>
      </c>
      <c r="AC30" s="1632">
        <v>180.36</v>
      </c>
      <c r="AD30" s="1632">
        <v>3495955.8527844017</v>
      </c>
      <c r="AE30" s="741">
        <v>44430</v>
      </c>
      <c r="AF30" s="741">
        <v>44430</v>
      </c>
      <c r="AG30" s="1631">
        <v>0</v>
      </c>
      <c r="AH30" s="630"/>
      <c r="AI30" s="741">
        <v>41472</v>
      </c>
      <c r="AJ30" s="741">
        <v>42641</v>
      </c>
      <c r="AK30" s="741" t="s">
        <v>289</v>
      </c>
      <c r="AL30" s="741"/>
      <c r="AM30" s="741"/>
      <c r="AN30" s="864"/>
      <c r="AO30" s="235"/>
      <c r="AP30" s="17"/>
      <c r="AR30" s="818" t="s">
        <v>390</v>
      </c>
      <c r="AS30" s="235"/>
      <c r="AT30" s="235"/>
      <c r="AX30" s="235"/>
    </row>
    <row r="31" spans="1:50" s="9" customFormat="1" ht="31.5" hidden="1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5">
        <v>0</v>
      </c>
      <c r="N31" s="1631"/>
      <c r="O31" s="1631" t="str">
        <f t="shared" si="9"/>
        <v>ReH 2.995/2021</v>
      </c>
      <c r="P31" s="1640">
        <v>0.15049999999999999</v>
      </c>
      <c r="Q31" s="1641">
        <v>35954089.405949146</v>
      </c>
      <c r="R31" s="1639">
        <v>44531</v>
      </c>
      <c r="S31" s="1631" t="str">
        <f t="shared" si="10"/>
        <v>Desp. 521/2022</v>
      </c>
      <c r="T31" s="630" t="s">
        <v>410</v>
      </c>
      <c r="U31" s="741" t="s">
        <v>349</v>
      </c>
      <c r="V31" s="630">
        <v>2024</v>
      </c>
      <c r="W31" s="1626">
        <v>2953</v>
      </c>
      <c r="X31" s="1627" t="s">
        <v>2156</v>
      </c>
      <c r="Y31" s="630"/>
      <c r="AA31" s="1629" t="s">
        <v>189</v>
      </c>
      <c r="AB31" s="1631">
        <v>61.746716264073157</v>
      </c>
      <c r="AC31" s="1632">
        <v>180.36</v>
      </c>
      <c r="AD31" s="1632">
        <v>18151717.219335504</v>
      </c>
      <c r="AE31" s="741">
        <v>44430</v>
      </c>
      <c r="AF31" s="741">
        <v>44430</v>
      </c>
      <c r="AG31" s="1631">
        <v>0</v>
      </c>
      <c r="AH31" s="630"/>
      <c r="AI31" s="741">
        <v>41472</v>
      </c>
      <c r="AJ31" s="741">
        <v>42641</v>
      </c>
      <c r="AK31" s="741" t="s">
        <v>289</v>
      </c>
      <c r="AL31" s="741"/>
      <c r="AM31" s="741"/>
      <c r="AN31" s="864"/>
      <c r="AO31" s="235"/>
      <c r="AP31" s="17"/>
      <c r="AR31" s="818" t="s">
        <v>175</v>
      </c>
      <c r="AS31" s="235"/>
      <c r="AT31" s="235"/>
      <c r="AX31" s="235"/>
    </row>
    <row r="32" spans="1:50" s="9" customFormat="1" ht="31.5" hidden="1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5">
        <v>0</v>
      </c>
      <c r="N32" s="1631"/>
      <c r="O32" s="1631" t="str">
        <f t="shared" si="9"/>
        <v>ReH 2.995/2021</v>
      </c>
      <c r="P32" s="1640">
        <v>8.4100000000000008E-2</v>
      </c>
      <c r="Q32" s="1641">
        <v>13590865.443045003</v>
      </c>
      <c r="R32" s="1639">
        <v>44531</v>
      </c>
      <c r="S32" s="1631" t="str">
        <f t="shared" si="10"/>
        <v>Desp. 521/2022</v>
      </c>
      <c r="T32" s="630" t="s">
        <v>415</v>
      </c>
      <c r="U32" s="741" t="s">
        <v>388</v>
      </c>
      <c r="V32" s="630">
        <v>2025</v>
      </c>
      <c r="W32" s="1626">
        <v>2943</v>
      </c>
      <c r="X32" s="1627" t="s">
        <v>2156</v>
      </c>
      <c r="Y32" s="630"/>
      <c r="AA32" s="1629" t="s">
        <v>189</v>
      </c>
      <c r="AB32" s="1631">
        <v>81.509152888329083</v>
      </c>
      <c r="AC32" s="1632">
        <v>180.36</v>
      </c>
      <c r="AD32" s="1632">
        <v>2315515.5721165724</v>
      </c>
      <c r="AE32" s="741">
        <v>44430</v>
      </c>
      <c r="AF32" s="741">
        <v>44430</v>
      </c>
      <c r="AG32" s="1631">
        <v>0</v>
      </c>
      <c r="AH32" s="630"/>
      <c r="AI32" s="741">
        <v>41365</v>
      </c>
      <c r="AJ32" s="741">
        <v>42641</v>
      </c>
      <c r="AK32" s="741" t="s">
        <v>289</v>
      </c>
      <c r="AL32" s="741"/>
      <c r="AM32" s="741"/>
      <c r="AN32" s="864"/>
      <c r="AO32" s="235"/>
      <c r="AP32" s="17"/>
      <c r="AR32" s="818" t="s">
        <v>296</v>
      </c>
      <c r="AS32" s="235"/>
      <c r="AT32" s="235"/>
      <c r="AX32" s="235"/>
    </row>
    <row r="33" spans="1:50" s="9" customFormat="1" ht="31.5" hidden="1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5">
        <v>0</v>
      </c>
      <c r="N33" s="1631"/>
      <c r="O33" s="1631" t="str">
        <f t="shared" si="9"/>
        <v>ReH 2.995/2021</v>
      </c>
      <c r="P33" s="1640">
        <v>0.1076</v>
      </c>
      <c r="Q33" s="1641">
        <v>60899756.095931061</v>
      </c>
      <c r="R33" s="1639">
        <v>44531</v>
      </c>
      <c r="S33" s="1631" t="str">
        <f t="shared" si="10"/>
        <v>Desp. 521/2022</v>
      </c>
      <c r="T33" s="630" t="s">
        <v>419</v>
      </c>
      <c r="U33" s="741" t="s">
        <v>349</v>
      </c>
      <c r="V33" s="630">
        <v>2024</v>
      </c>
      <c r="W33" s="1626">
        <v>2937</v>
      </c>
      <c r="X33" s="1627" t="s">
        <v>2156</v>
      </c>
      <c r="Y33" s="630"/>
      <c r="AA33" s="1629" t="s">
        <v>189</v>
      </c>
      <c r="AB33" s="1631">
        <v>214.41662426644362</v>
      </c>
      <c r="AC33" s="1632">
        <v>180.36</v>
      </c>
      <c r="AD33" s="1632">
        <v>0</v>
      </c>
      <c r="AE33" s="741">
        <v>44430</v>
      </c>
      <c r="AF33" s="741">
        <v>44430</v>
      </c>
      <c r="AG33" s="1631">
        <v>0</v>
      </c>
      <c r="AH33" s="630"/>
      <c r="AI33" s="741">
        <v>41472</v>
      </c>
      <c r="AJ33" s="741">
        <v>42641</v>
      </c>
      <c r="AK33" s="741" t="s">
        <v>289</v>
      </c>
      <c r="AL33" s="741"/>
      <c r="AM33" s="741"/>
      <c r="AN33" s="864">
        <v>9419991.3800000008</v>
      </c>
      <c r="AO33" s="235"/>
      <c r="AP33" s="17"/>
      <c r="AR33" s="818" t="s">
        <v>302</v>
      </c>
      <c r="AS33" s="235"/>
      <c r="AT33" s="235"/>
      <c r="AX33" s="235"/>
    </row>
    <row r="34" spans="1:50" s="9" customFormat="1" ht="31.5" hidden="1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15">
        <v>0</v>
      </c>
      <c r="N34" s="1631"/>
      <c r="O34" s="1631" t="str">
        <f t="shared" si="9"/>
        <v>ReH 2.995/2021</v>
      </c>
      <c r="P34" s="1640">
        <v>9.5000000000000001E-2</v>
      </c>
      <c r="Q34" s="1631">
        <v>19126030.720523704</v>
      </c>
      <c r="R34" s="1639">
        <v>44531</v>
      </c>
      <c r="S34" s="1631" t="str">
        <f t="shared" si="10"/>
        <v>Desp. 521/2022</v>
      </c>
      <c r="T34" s="630" t="s">
        <v>425</v>
      </c>
      <c r="U34" s="741" t="s">
        <v>426</v>
      </c>
      <c r="V34" s="630">
        <v>2022</v>
      </c>
      <c r="W34" s="1626">
        <v>2948</v>
      </c>
      <c r="X34" s="1627" t="s">
        <v>2156</v>
      </c>
      <c r="Y34" s="630"/>
      <c r="AA34" s="1629" t="s">
        <v>189</v>
      </c>
      <c r="AB34" s="1631">
        <v>144.17854635765113</v>
      </c>
      <c r="AC34" s="1632">
        <v>180.36</v>
      </c>
      <c r="AD34" s="1632">
        <v>3162343.6648914311</v>
      </c>
      <c r="AE34" s="741">
        <v>44430</v>
      </c>
      <c r="AF34" s="741">
        <v>44430</v>
      </c>
      <c r="AG34" s="1631">
        <v>0</v>
      </c>
      <c r="AH34" s="630"/>
      <c r="AI34" s="741">
        <v>41365</v>
      </c>
      <c r="AJ34" s="741">
        <v>42641</v>
      </c>
      <c r="AK34" s="741" t="s">
        <v>289</v>
      </c>
      <c r="AL34" s="741"/>
      <c r="AM34" s="741"/>
      <c r="AN34" s="864"/>
      <c r="AO34" s="235"/>
      <c r="AP34" s="17"/>
      <c r="AR34" s="818" t="s">
        <v>308</v>
      </c>
      <c r="AS34" s="235"/>
      <c r="AT34" s="235"/>
      <c r="AX34" s="235"/>
    </row>
    <row r="35" spans="1:50" s="9" customFormat="1" ht="31.5" hidden="1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5">
        <v>0</v>
      </c>
      <c r="N35" s="1631"/>
      <c r="O35" s="1631" t="str">
        <f t="shared" si="9"/>
        <v>ReH 2.995/2021</v>
      </c>
      <c r="P35" s="1640">
        <v>0.1487</v>
      </c>
      <c r="Q35" s="1631">
        <v>2738505.6826723199</v>
      </c>
      <c r="R35" s="1639">
        <v>44531</v>
      </c>
      <c r="S35" s="1631" t="str">
        <f t="shared" si="10"/>
        <v>Desp. 521/2022</v>
      </c>
      <c r="T35" s="630" t="s">
        <v>431</v>
      </c>
      <c r="U35" s="741" t="s">
        <v>382</v>
      </c>
      <c r="V35" s="630">
        <v>2024</v>
      </c>
      <c r="W35" s="1626">
        <v>2942</v>
      </c>
      <c r="X35" s="1627" t="s">
        <v>2156</v>
      </c>
      <c r="Y35" s="630"/>
      <c r="AA35" s="1629" t="s">
        <v>189</v>
      </c>
      <c r="AB35" s="1631">
        <v>63.276120153090822</v>
      </c>
      <c r="AC35" s="1632">
        <v>180.36</v>
      </c>
      <c r="AD35" s="1632">
        <v>1357439.1316492993</v>
      </c>
      <c r="AE35" s="741">
        <v>44430</v>
      </c>
      <c r="AF35" s="741">
        <v>44430</v>
      </c>
      <c r="AG35" s="1631">
        <v>0</v>
      </c>
      <c r="AH35" s="630"/>
      <c r="AI35" s="741">
        <v>41472</v>
      </c>
      <c r="AJ35" s="741">
        <v>42641</v>
      </c>
      <c r="AK35" s="741" t="s">
        <v>289</v>
      </c>
      <c r="AL35" s="741"/>
      <c r="AM35" s="741"/>
      <c r="AN35" s="864"/>
      <c r="AO35" s="235"/>
      <c r="AP35" s="17"/>
      <c r="AR35" s="818" t="s">
        <v>315</v>
      </c>
      <c r="AS35" s="235"/>
      <c r="AT35" s="235"/>
      <c r="AX35" s="235"/>
    </row>
    <row r="36" spans="1:50" s="9" customFormat="1" ht="31.5" hidden="1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5">
        <v>0</v>
      </c>
      <c r="N36" s="1631"/>
      <c r="O36" s="1631" t="str">
        <f t="shared" si="9"/>
        <v>ReH 2.995/2021</v>
      </c>
      <c r="P36" s="1640">
        <v>0.14050000000000001</v>
      </c>
      <c r="Q36" s="1641">
        <v>17300202.805932775</v>
      </c>
      <c r="R36" s="1639">
        <v>44531</v>
      </c>
      <c r="S36" s="1631" t="str">
        <f t="shared" si="10"/>
        <v>Desp. 521/2022</v>
      </c>
      <c r="T36" s="630" t="s">
        <v>436</v>
      </c>
      <c r="U36" s="741" t="s">
        <v>349</v>
      </c>
      <c r="V36" s="630">
        <v>2024</v>
      </c>
      <c r="W36" s="1626">
        <v>2956</v>
      </c>
      <c r="X36" s="1627" t="s">
        <v>2156</v>
      </c>
      <c r="Y36" s="630"/>
      <c r="AA36" s="1629" t="s">
        <v>189</v>
      </c>
      <c r="AB36" s="1631">
        <v>49.410527393388534</v>
      </c>
      <c r="AC36" s="1632">
        <v>180.36</v>
      </c>
      <c r="AD36" s="1632">
        <v>6872759.7273220662</v>
      </c>
      <c r="AE36" s="741">
        <v>44430</v>
      </c>
      <c r="AF36" s="741">
        <v>44430</v>
      </c>
      <c r="AG36" s="1631">
        <v>0</v>
      </c>
      <c r="AH36" s="630"/>
      <c r="AI36" s="741">
        <v>41472</v>
      </c>
      <c r="AJ36" s="741">
        <v>42641</v>
      </c>
      <c r="AK36" s="741" t="s">
        <v>289</v>
      </c>
      <c r="AL36" s="741"/>
      <c r="AM36" s="741"/>
      <c r="AN36" s="864"/>
      <c r="AO36" s="235"/>
      <c r="AP36" s="17"/>
      <c r="AR36" s="818" t="s">
        <v>437</v>
      </c>
      <c r="AS36" s="235"/>
      <c r="AT36" s="235"/>
      <c r="AX36" s="235"/>
    </row>
    <row r="37" spans="1:50" s="9" customFormat="1" ht="31.5" hidden="1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5">
        <v>0</v>
      </c>
      <c r="N37" s="1631"/>
      <c r="O37" s="1631" t="str">
        <f t="shared" si="9"/>
        <v>ReH 2.995/2021</v>
      </c>
      <c r="P37" s="1640">
        <v>0.21060000000000001</v>
      </c>
      <c r="Q37" s="1631">
        <v>40296212.128956385</v>
      </c>
      <c r="R37" s="1639">
        <v>44531</v>
      </c>
      <c r="S37" s="1631" t="str">
        <f t="shared" si="10"/>
        <v>Desp. 521/2022</v>
      </c>
      <c r="T37" s="630" t="s">
        <v>442</v>
      </c>
      <c r="U37" s="741" t="s">
        <v>443</v>
      </c>
      <c r="V37" s="630">
        <v>2022</v>
      </c>
      <c r="W37" s="1626">
        <v>2917</v>
      </c>
      <c r="X37" s="1627" t="s">
        <v>2154</v>
      </c>
      <c r="Y37" s="630"/>
      <c r="AA37" s="1629" t="s">
        <v>206</v>
      </c>
      <c r="AB37" s="1631">
        <v>29.55</v>
      </c>
      <c r="AC37" s="1632">
        <v>108.15</v>
      </c>
      <c r="AD37" s="1632">
        <v>14515437.369999999</v>
      </c>
      <c r="AE37" s="741">
        <v>43270</v>
      </c>
      <c r="AF37" s="741">
        <v>43270</v>
      </c>
      <c r="AG37" s="1631">
        <v>0</v>
      </c>
      <c r="AH37" s="630"/>
      <c r="AI37" s="741">
        <v>41365</v>
      </c>
      <c r="AJ37" s="741">
        <v>42551</v>
      </c>
      <c r="AK37" s="741" t="s">
        <v>289</v>
      </c>
      <c r="AL37" s="741"/>
      <c r="AM37" s="741"/>
      <c r="AN37" s="864">
        <v>2202975.46</v>
      </c>
      <c r="AO37" s="235"/>
      <c r="AP37" s="17"/>
      <c r="AR37" s="818" t="s">
        <v>395</v>
      </c>
      <c r="AS37" s="235"/>
      <c r="AT37" s="235"/>
      <c r="AX37" s="235"/>
    </row>
    <row r="38" spans="1:50" s="9" customFormat="1" ht="31.5" hidden="1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5">
        <v>0</v>
      </c>
      <c r="N38" s="1631"/>
      <c r="O38" s="1631" t="str">
        <f t="shared" si="9"/>
        <v>ReH 2.995/2021</v>
      </c>
      <c r="P38" s="1640">
        <v>0.1535</v>
      </c>
      <c r="Q38" s="1631">
        <v>57163108.857696883</v>
      </c>
      <c r="R38" s="1639">
        <v>44531</v>
      </c>
      <c r="S38" s="1631" t="str">
        <f t="shared" si="10"/>
        <v>Desp. 521/2022</v>
      </c>
      <c r="T38" s="630" t="s">
        <v>447</v>
      </c>
      <c r="U38" s="741" t="s">
        <v>448</v>
      </c>
      <c r="V38" s="630">
        <v>2025</v>
      </c>
      <c r="W38" s="1626">
        <v>2904</v>
      </c>
      <c r="X38" s="1627" t="s">
        <v>2154</v>
      </c>
      <c r="Y38" s="630"/>
      <c r="AA38" s="1629" t="s">
        <v>206</v>
      </c>
      <c r="AB38" s="1631">
        <v>18.75</v>
      </c>
      <c r="AC38" s="1632">
        <v>108.15</v>
      </c>
      <c r="AD38" s="1632">
        <v>22607799.66</v>
      </c>
      <c r="AE38" s="741">
        <v>43270</v>
      </c>
      <c r="AF38" s="741">
        <v>43270</v>
      </c>
      <c r="AG38" s="1631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864"/>
      <c r="AO38" s="235"/>
      <c r="AP38" s="17"/>
      <c r="AR38" s="818" t="s">
        <v>321</v>
      </c>
      <c r="AS38" s="235"/>
      <c r="AT38" s="235"/>
      <c r="AX38" s="235"/>
    </row>
    <row r="39" spans="1:50" s="9" customFormat="1" ht="31.5" hidden="1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15">
        <v>0</v>
      </c>
      <c r="N39" s="1631"/>
      <c r="O39" s="1631" t="str">
        <f t="shared" si="9"/>
        <v>ReH 2.995/2021</v>
      </c>
      <c r="P39" s="1640">
        <v>0.1507</v>
      </c>
      <c r="Q39" s="1631">
        <v>44907656.56835518</v>
      </c>
      <c r="R39" s="1639">
        <v>44531</v>
      </c>
      <c r="S39" s="1631" t="str">
        <f t="shared" si="10"/>
        <v>Desp. 521/2022</v>
      </c>
      <c r="T39" s="630" t="s">
        <v>453</v>
      </c>
      <c r="U39" s="741" t="s">
        <v>454</v>
      </c>
      <c r="V39" s="630">
        <v>2025</v>
      </c>
      <c r="W39" s="1626">
        <v>2914</v>
      </c>
      <c r="X39" s="1627" t="s">
        <v>2154</v>
      </c>
      <c r="Y39" s="630"/>
      <c r="AA39" s="1629" t="s">
        <v>206</v>
      </c>
      <c r="AB39" s="1631">
        <v>23.94</v>
      </c>
      <c r="AC39" s="1632">
        <v>131.34</v>
      </c>
      <c r="AD39" s="1632">
        <v>17583006.989999998</v>
      </c>
      <c r="AE39" s="741">
        <v>43209</v>
      </c>
      <c r="AF39" s="741">
        <v>43270</v>
      </c>
      <c r="AG39" s="1631">
        <v>0</v>
      </c>
      <c r="AH39" s="630"/>
      <c r="AI39" s="741">
        <v>41472</v>
      </c>
      <c r="AJ39" s="741">
        <v>42486</v>
      </c>
      <c r="AK39" s="741" t="s">
        <v>289</v>
      </c>
      <c r="AL39" s="741"/>
      <c r="AM39" s="741"/>
      <c r="AN39" s="864"/>
      <c r="AO39" s="235"/>
      <c r="AP39" s="17"/>
      <c r="AR39" s="818" t="s">
        <v>401</v>
      </c>
      <c r="AS39" s="235"/>
      <c r="AT39" s="235"/>
      <c r="AX39" s="235"/>
    </row>
    <row r="40" spans="1:50" s="9" customFormat="1" ht="31.5" hidden="1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5">
        <v>0</v>
      </c>
      <c r="N40" s="1631"/>
      <c r="O40" s="1631" t="str">
        <f t="shared" si="9"/>
        <v>ReH 2.995/2021</v>
      </c>
      <c r="P40" s="1640">
        <v>0.15609999999999999</v>
      </c>
      <c r="Q40" s="1631">
        <v>93567555.592848957</v>
      </c>
      <c r="R40" s="1639">
        <v>44531</v>
      </c>
      <c r="S40" s="1631" t="str">
        <f t="shared" si="10"/>
        <v>Desp. 521/2022</v>
      </c>
      <c r="T40" s="630" t="s">
        <v>458</v>
      </c>
      <c r="U40" s="741" t="s">
        <v>459</v>
      </c>
      <c r="V40" s="630">
        <v>2022</v>
      </c>
      <c r="W40" s="1626">
        <v>2916</v>
      </c>
      <c r="X40" s="1627" t="s">
        <v>2154</v>
      </c>
      <c r="Y40" s="630"/>
      <c r="AA40" s="1629" t="s">
        <v>206</v>
      </c>
      <c r="AB40" s="1631">
        <v>68.319999999999993</v>
      </c>
      <c r="AC40" s="1632">
        <v>131.34</v>
      </c>
      <c r="AD40" s="1632">
        <v>13728441.029999999</v>
      </c>
      <c r="AE40" s="741">
        <v>43209</v>
      </c>
      <c r="AF40" s="741">
        <v>43270</v>
      </c>
      <c r="AG40" s="1631">
        <v>0</v>
      </c>
      <c r="AH40" s="630"/>
      <c r="AI40" s="741">
        <v>41365</v>
      </c>
      <c r="AJ40" s="741">
        <v>42547</v>
      </c>
      <c r="AK40" s="741" t="s">
        <v>289</v>
      </c>
      <c r="AL40" s="741"/>
      <c r="AM40" s="741"/>
      <c r="AN40" s="864">
        <v>6350526.4100000001</v>
      </c>
      <c r="AO40" s="235"/>
      <c r="AP40" s="17"/>
      <c r="AR40" s="818" t="s">
        <v>328</v>
      </c>
      <c r="AS40" s="235"/>
      <c r="AT40" s="235"/>
      <c r="AX40" s="235"/>
    </row>
    <row r="41" spans="1:50" s="9" customFormat="1" ht="31.5" hidden="1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5">
        <v>0</v>
      </c>
      <c r="N41" s="1631"/>
      <c r="O41" s="1631" t="str">
        <f t="shared" si="9"/>
        <v>ReH 2.995/2021</v>
      </c>
      <c r="P41" s="1640">
        <v>0.1338</v>
      </c>
      <c r="Q41" s="1631">
        <v>35123897.452622667</v>
      </c>
      <c r="R41" s="1639">
        <v>44531</v>
      </c>
      <c r="S41" s="1631" t="str">
        <f t="shared" si="10"/>
        <v>Desp. 521/2022</v>
      </c>
      <c r="T41" s="630" t="s">
        <v>464</v>
      </c>
      <c r="U41" s="741" t="s">
        <v>459</v>
      </c>
      <c r="V41" s="630">
        <v>2025</v>
      </c>
      <c r="W41" s="1626">
        <v>2909</v>
      </c>
      <c r="X41" s="1627" t="s">
        <v>2154</v>
      </c>
      <c r="Y41" s="630"/>
      <c r="AA41" s="1629" t="s">
        <v>206</v>
      </c>
      <c r="AB41" s="1631">
        <v>13.93</v>
      </c>
      <c r="AC41" s="1632">
        <v>108.15</v>
      </c>
      <c r="AD41" s="1632">
        <v>18556964.23</v>
      </c>
      <c r="AE41" s="741">
        <v>43270</v>
      </c>
      <c r="AF41" s="741">
        <v>43270</v>
      </c>
      <c r="AG41" s="1631">
        <v>0</v>
      </c>
      <c r="AH41" s="630"/>
      <c r="AI41" s="741">
        <v>41365</v>
      </c>
      <c r="AJ41" s="741">
        <v>42551</v>
      </c>
      <c r="AK41" s="741" t="s">
        <v>289</v>
      </c>
      <c r="AL41" s="741"/>
      <c r="AM41" s="741"/>
      <c r="AN41" s="864"/>
      <c r="AO41" s="235"/>
      <c r="AP41" s="17"/>
      <c r="AR41" s="818" t="s">
        <v>333</v>
      </c>
      <c r="AS41" s="235"/>
      <c r="AT41" s="235"/>
      <c r="AX41" s="235"/>
    </row>
    <row r="42" spans="1:50" s="9" customFormat="1" ht="31.5" hidden="1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5">
        <v>0</v>
      </c>
      <c r="N42" s="1631"/>
      <c r="O42" s="1631" t="str">
        <f t="shared" si="9"/>
        <v>ReH 2.995/2021</v>
      </c>
      <c r="P42" s="1640">
        <v>0.1832</v>
      </c>
      <c r="Q42" s="1631">
        <v>118984269.89510354</v>
      </c>
      <c r="R42" s="1639">
        <v>44531</v>
      </c>
      <c r="S42" s="1631" t="str">
        <f t="shared" si="10"/>
        <v>Desp. 521/2022</v>
      </c>
      <c r="T42" s="630" t="s">
        <v>469</v>
      </c>
      <c r="U42" s="741" t="s">
        <v>470</v>
      </c>
      <c r="V42" s="630">
        <v>2025</v>
      </c>
      <c r="W42" s="1626">
        <v>2912</v>
      </c>
      <c r="X42" s="1627" t="s">
        <v>2154</v>
      </c>
      <c r="Y42" s="630"/>
      <c r="AA42" s="1629" t="s">
        <v>206</v>
      </c>
      <c r="AB42" s="1631">
        <v>22.64</v>
      </c>
      <c r="AC42" s="1632">
        <v>108.15</v>
      </c>
      <c r="AD42" s="1632">
        <v>55770868.960000001</v>
      </c>
      <c r="AE42" s="741">
        <v>43270</v>
      </c>
      <c r="AF42" s="741">
        <v>43270</v>
      </c>
      <c r="AG42" s="1631">
        <v>0</v>
      </c>
      <c r="AH42" s="630"/>
      <c r="AI42" s="741">
        <v>41365</v>
      </c>
      <c r="AJ42" s="741">
        <v>42551</v>
      </c>
      <c r="AK42" s="741" t="s">
        <v>289</v>
      </c>
      <c r="AL42" s="741"/>
      <c r="AM42" s="741"/>
      <c r="AN42" s="864"/>
      <c r="AO42" s="235"/>
      <c r="AP42" s="17"/>
      <c r="AR42" s="818" t="s">
        <v>471</v>
      </c>
      <c r="AS42" s="235"/>
      <c r="AT42" s="235"/>
      <c r="AX42" s="235"/>
    </row>
    <row r="43" spans="1:50" s="9" customFormat="1" ht="31.5" hidden="1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5">
        <v>0</v>
      </c>
      <c r="N43" s="1631"/>
      <c r="O43" s="1631" t="str">
        <f t="shared" si="9"/>
        <v>ReH 2.995/2021</v>
      </c>
      <c r="P43" s="1640">
        <v>0.4078</v>
      </c>
      <c r="Q43" s="1631">
        <v>48668444.767228298</v>
      </c>
      <c r="R43" s="1639">
        <v>44531</v>
      </c>
      <c r="S43" s="1631" t="str">
        <f t="shared" si="10"/>
        <v>Desp. 521/2022</v>
      </c>
      <c r="T43" s="630" t="s">
        <v>475</v>
      </c>
      <c r="U43" s="741" t="s">
        <v>459</v>
      </c>
      <c r="V43" s="630">
        <v>2022</v>
      </c>
      <c r="W43" s="1626">
        <v>2917</v>
      </c>
      <c r="X43" s="1627" t="s">
        <v>2154</v>
      </c>
      <c r="Y43" s="630"/>
      <c r="AA43" s="1629" t="s">
        <v>206</v>
      </c>
      <c r="AB43" s="1631">
        <v>20.55</v>
      </c>
      <c r="AC43" s="1632">
        <v>108.15</v>
      </c>
      <c r="AD43" s="1632">
        <v>16127887.460000001</v>
      </c>
      <c r="AE43" s="741">
        <v>43270</v>
      </c>
      <c r="AF43" s="741">
        <v>43270</v>
      </c>
      <c r="AG43" s="1631">
        <v>0</v>
      </c>
      <c r="AH43" s="630"/>
      <c r="AI43" s="741">
        <v>41365</v>
      </c>
      <c r="AJ43" s="741">
        <v>42551</v>
      </c>
      <c r="AK43" s="741" t="s">
        <v>289</v>
      </c>
      <c r="AL43" s="741"/>
      <c r="AM43" s="741"/>
      <c r="AN43" s="864">
        <v>3110206.14</v>
      </c>
      <c r="AO43" s="235"/>
      <c r="AP43" s="17"/>
      <c r="AR43" s="818" t="s">
        <v>406</v>
      </c>
      <c r="AS43" s="235"/>
      <c r="AT43" s="235"/>
      <c r="AX43" s="235"/>
    </row>
    <row r="44" spans="1:50" s="9" customFormat="1" ht="31.5" hidden="1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5">
        <v>0</v>
      </c>
      <c r="N44" s="1631"/>
      <c r="O44" s="1631" t="str">
        <f t="shared" si="9"/>
        <v>ReH 2.995/2021</v>
      </c>
      <c r="P44" s="1640">
        <v>0.17430000000000001</v>
      </c>
      <c r="Q44" s="1631">
        <v>23632870.756335247</v>
      </c>
      <c r="R44" s="1639">
        <v>44531</v>
      </c>
      <c r="S44" s="1631" t="str">
        <f t="shared" si="10"/>
        <v>Desp. 521/2022</v>
      </c>
      <c r="T44" s="630" t="s">
        <v>480</v>
      </c>
      <c r="U44" s="741" t="s">
        <v>459</v>
      </c>
      <c r="V44" s="630">
        <v>2022</v>
      </c>
      <c r="W44" s="1626">
        <v>2911</v>
      </c>
      <c r="X44" s="1627" t="s">
        <v>2154</v>
      </c>
      <c r="Y44" s="630"/>
      <c r="AA44" s="1629" t="s">
        <v>206</v>
      </c>
      <c r="AB44" s="1631">
        <v>26.42</v>
      </c>
      <c r="AC44" s="1632">
        <v>108.15</v>
      </c>
      <c r="AD44" s="1632">
        <v>7627285.8200000003</v>
      </c>
      <c r="AE44" s="741">
        <v>43270</v>
      </c>
      <c r="AF44" s="741">
        <v>43270</v>
      </c>
      <c r="AG44" s="1631">
        <v>0</v>
      </c>
      <c r="AH44" s="630"/>
      <c r="AI44" s="741">
        <v>41365</v>
      </c>
      <c r="AJ44" s="741">
        <v>42551</v>
      </c>
      <c r="AK44" s="741" t="s">
        <v>289</v>
      </c>
      <c r="AL44" s="741"/>
      <c r="AM44" s="741"/>
      <c r="AN44" s="864"/>
      <c r="AO44" s="235"/>
      <c r="AP44" s="17"/>
      <c r="AR44" s="818" t="s">
        <v>449</v>
      </c>
      <c r="AS44" s="235"/>
      <c r="AT44" s="235"/>
      <c r="AX44" s="235"/>
    </row>
    <row r="45" spans="1:50" s="9" customFormat="1" ht="31.5" hidden="1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15">
        <v>0</v>
      </c>
      <c r="N45" s="1631"/>
      <c r="O45" s="1631" t="str">
        <f t="shared" si="9"/>
        <v>ReH 2.995/2021</v>
      </c>
      <c r="P45" s="1640">
        <v>0.2072</v>
      </c>
      <c r="Q45" s="1631">
        <v>5741724.6974191396</v>
      </c>
      <c r="R45" s="1639">
        <v>44531</v>
      </c>
      <c r="S45" s="1631" t="str">
        <f t="shared" si="10"/>
        <v>Desp. 521/2022</v>
      </c>
      <c r="T45" s="630" t="s">
        <v>486</v>
      </c>
      <c r="U45" s="741" t="s">
        <v>349</v>
      </c>
      <c r="V45" s="630">
        <v>2024</v>
      </c>
      <c r="W45" s="1626">
        <v>2908</v>
      </c>
      <c r="X45" s="1627" t="s">
        <v>2154</v>
      </c>
      <c r="Y45" s="630"/>
      <c r="AA45" s="1629" t="s">
        <v>485</v>
      </c>
      <c r="AB45" s="1631">
        <v>58.392923981821539</v>
      </c>
      <c r="AC45" s="1632">
        <v>117.43916412021785</v>
      </c>
      <c r="AD45" s="1632">
        <v>1371216.9263933776</v>
      </c>
      <c r="AE45" s="741">
        <v>44371</v>
      </c>
      <c r="AF45" s="741">
        <v>44371</v>
      </c>
      <c r="AG45" s="1631">
        <v>0</v>
      </c>
      <c r="AH45" s="630"/>
      <c r="AI45" s="741">
        <v>41472</v>
      </c>
      <c r="AJ45" s="741">
        <v>42551</v>
      </c>
      <c r="AK45" s="741" t="s">
        <v>289</v>
      </c>
      <c r="AL45" s="741"/>
      <c r="AM45" s="741"/>
      <c r="AN45" s="864"/>
      <c r="AO45" s="235"/>
      <c r="AP45" s="17"/>
      <c r="AR45" s="818" t="s">
        <v>201</v>
      </c>
      <c r="AS45" s="235"/>
      <c r="AT45" s="235"/>
      <c r="AX45" s="235"/>
    </row>
    <row r="46" spans="1:50" s="9" customFormat="1" ht="31.5" hidden="1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5">
        <v>0.128</v>
      </c>
      <c r="N46" s="1631"/>
      <c r="O46" s="1631" t="str">
        <f t="shared" si="9"/>
        <v>ReH 2.995/2021</v>
      </c>
      <c r="P46" s="1640">
        <v>7.9699999999999993E-2</v>
      </c>
      <c r="Q46" s="1641">
        <v>9559924.0871568415</v>
      </c>
      <c r="R46" s="1639">
        <v>44531</v>
      </c>
      <c r="S46" s="1631" t="str">
        <f t="shared" si="10"/>
        <v>Desp. 521/2022</v>
      </c>
      <c r="T46" s="630" t="s">
        <v>492</v>
      </c>
      <c r="U46" s="741" t="s">
        <v>287</v>
      </c>
      <c r="V46" s="630">
        <v>2024</v>
      </c>
      <c r="W46" s="1626">
        <v>2865</v>
      </c>
      <c r="X46" s="1627" t="s">
        <v>2155</v>
      </c>
      <c r="Y46" s="630"/>
      <c r="AA46" s="1629" t="s">
        <v>506</v>
      </c>
      <c r="AB46" s="1631">
        <v>49.06</v>
      </c>
      <c r="AC46" s="1632">
        <v>187.05</v>
      </c>
      <c r="AD46" s="1632">
        <v>95315.39</v>
      </c>
      <c r="AE46" s="741">
        <v>43174</v>
      </c>
      <c r="AF46" s="741">
        <v>43174</v>
      </c>
      <c r="AG46" s="1631">
        <v>0</v>
      </c>
      <c r="AH46" s="630"/>
      <c r="AI46" s="741">
        <v>41472</v>
      </c>
      <c r="AJ46" s="741">
        <v>42451</v>
      </c>
      <c r="AK46" s="741" t="s">
        <v>289</v>
      </c>
      <c r="AL46" s="741"/>
      <c r="AM46" s="741"/>
      <c r="AN46" s="864">
        <v>940401.96</v>
      </c>
      <c r="AO46" s="235"/>
      <c r="AP46" s="17"/>
      <c r="AR46" s="818" t="s">
        <v>493</v>
      </c>
      <c r="AS46" s="235"/>
      <c r="AT46" s="235"/>
      <c r="AX46" s="235"/>
    </row>
    <row r="47" spans="1:50" s="9" customFormat="1" ht="31.5" hidden="1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15">
        <v>0</v>
      </c>
      <c r="N47" s="1631"/>
      <c r="O47" s="1631" t="str">
        <f t="shared" si="9"/>
        <v>ReH 2.995/2021</v>
      </c>
      <c r="P47" s="1640">
        <v>6.2799999999999995E-2</v>
      </c>
      <c r="Q47" s="1631">
        <v>5170019.3743311316</v>
      </c>
      <c r="R47" s="1639">
        <v>44531</v>
      </c>
      <c r="S47" s="1631" t="str">
        <f t="shared" si="10"/>
        <v>Desp. 521/2022</v>
      </c>
      <c r="T47" s="630" t="s">
        <v>499</v>
      </c>
      <c r="U47" s="741" t="s">
        <v>500</v>
      </c>
      <c r="V47" s="630">
        <v>2024</v>
      </c>
      <c r="W47" s="1626">
        <v>2872</v>
      </c>
      <c r="X47" s="1627" t="s">
        <v>2153</v>
      </c>
      <c r="Y47" s="1628">
        <v>1.15E-2</v>
      </c>
      <c r="Z47" s="1629">
        <v>-0.02</v>
      </c>
      <c r="AA47" s="1629" t="s">
        <v>194</v>
      </c>
      <c r="AB47" s="1631">
        <v>43</v>
      </c>
      <c r="AC47" s="1632">
        <v>122.01</v>
      </c>
      <c r="AD47" s="1632">
        <v>807332.96</v>
      </c>
      <c r="AE47" s="741">
        <v>43212</v>
      </c>
      <c r="AF47" s="741">
        <v>43212</v>
      </c>
      <c r="AG47" s="1631">
        <v>0</v>
      </c>
      <c r="AH47" s="630"/>
      <c r="AI47" s="741">
        <v>41472</v>
      </c>
      <c r="AJ47" s="741">
        <v>42489</v>
      </c>
      <c r="AK47" s="741" t="s">
        <v>289</v>
      </c>
      <c r="AL47" s="741"/>
      <c r="AM47" s="741"/>
      <c r="AN47" s="864"/>
      <c r="AO47" s="235"/>
      <c r="AP47" s="17"/>
      <c r="AR47" s="818" t="s">
        <v>411</v>
      </c>
      <c r="AS47" s="235"/>
      <c r="AT47" s="235"/>
      <c r="AX47" s="235"/>
    </row>
    <row r="48" spans="1:50" s="9" customFormat="1" ht="31.5" hidden="1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5">
        <v>0.1166</v>
      </c>
      <c r="N48" s="1631"/>
      <c r="O48" s="1631" t="str">
        <f t="shared" si="9"/>
        <v>ReH 2.995/2021</v>
      </c>
      <c r="P48" s="1628">
        <v>0.4052</v>
      </c>
      <c r="Q48" s="1631">
        <v>25601019.68723011</v>
      </c>
      <c r="R48" s="1639">
        <v>44531</v>
      </c>
      <c r="S48" s="1631" t="str">
        <f t="shared" si="10"/>
        <v>Desp. 521/2022</v>
      </c>
      <c r="T48" s="1642" t="s">
        <v>504</v>
      </c>
      <c r="U48" s="741" t="s">
        <v>505</v>
      </c>
      <c r="V48" s="630">
        <v>2022</v>
      </c>
      <c r="W48" s="1626">
        <v>2866</v>
      </c>
      <c r="X48" s="1627" t="s">
        <v>2155</v>
      </c>
      <c r="Y48" s="1628"/>
      <c r="AA48" s="1629" t="s">
        <v>506</v>
      </c>
      <c r="AB48" s="1633">
        <v>29.23</v>
      </c>
      <c r="AC48" s="1632">
        <v>183.67</v>
      </c>
      <c r="AD48" s="1632">
        <v>3906806.73</v>
      </c>
      <c r="AE48" s="741">
        <v>42809</v>
      </c>
      <c r="AF48" s="741">
        <v>42809</v>
      </c>
      <c r="AG48" s="741" t="s">
        <v>507</v>
      </c>
      <c r="AH48" s="630"/>
      <c r="AI48" s="741"/>
      <c r="AJ48" s="741"/>
      <c r="AK48" s="741" t="s">
        <v>508</v>
      </c>
      <c r="AL48" s="741">
        <v>43374</v>
      </c>
      <c r="AM48" s="1628">
        <v>0.2465</v>
      </c>
      <c r="AN48" s="864">
        <v>939575.3</v>
      </c>
      <c r="AO48" s="235"/>
      <c r="AP48" s="17"/>
      <c r="AR48" s="818" t="s">
        <v>509</v>
      </c>
      <c r="AS48" s="235"/>
      <c r="AT48" s="235"/>
      <c r="AX48" s="235"/>
    </row>
    <row r="49" spans="1:50" s="9" customFormat="1" ht="31.5" hidden="1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5">
        <v>0</v>
      </c>
      <c r="N49" s="1631"/>
      <c r="O49" s="1631" t="str">
        <f t="shared" si="9"/>
        <v>ReH 2.995/2021</v>
      </c>
      <c r="P49" s="1628">
        <v>0.4052</v>
      </c>
      <c r="Q49" s="1631">
        <v>10809195.059114244</v>
      </c>
      <c r="R49" s="1639">
        <v>44531</v>
      </c>
      <c r="S49" s="1631" t="str">
        <f t="shared" si="10"/>
        <v>Desp. 521/2022</v>
      </c>
      <c r="T49" s="1642" t="s">
        <v>513</v>
      </c>
      <c r="U49" s="741" t="s">
        <v>514</v>
      </c>
      <c r="V49" s="630">
        <v>2022</v>
      </c>
      <c r="W49" s="1626">
        <v>2867</v>
      </c>
      <c r="X49" s="1627" t="s">
        <v>2155</v>
      </c>
      <c r="Y49" s="1628"/>
      <c r="AA49" s="1629" t="s">
        <v>506</v>
      </c>
      <c r="AB49" s="1633">
        <v>30.78</v>
      </c>
      <c r="AC49" s="1632">
        <v>183.67</v>
      </c>
      <c r="AD49" s="1632">
        <v>1224360.38437886</v>
      </c>
      <c r="AE49" s="741">
        <v>42809</v>
      </c>
      <c r="AF49" s="741">
        <v>42809</v>
      </c>
      <c r="AG49" s="741" t="s">
        <v>507</v>
      </c>
      <c r="AH49" s="630"/>
      <c r="AI49" s="741"/>
      <c r="AJ49" s="741"/>
      <c r="AK49" s="741" t="s">
        <v>508</v>
      </c>
      <c r="AL49" s="741">
        <v>43405</v>
      </c>
      <c r="AM49" s="1634">
        <v>0</v>
      </c>
      <c r="AN49" s="864">
        <v>234949.9</v>
      </c>
      <c r="AO49" s="235"/>
      <c r="AP49" s="17"/>
      <c r="AR49" s="818" t="s">
        <v>339</v>
      </c>
      <c r="AS49" s="235"/>
      <c r="AT49" s="235"/>
      <c r="AX49" s="235"/>
    </row>
    <row r="50" spans="1:50" s="9" customFormat="1" ht="31.5" hidden="1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5">
        <v>0</v>
      </c>
      <c r="N50" s="1631"/>
      <c r="O50" s="1631" t="str">
        <f t="shared" si="9"/>
        <v>ReH 2.995/2021</v>
      </c>
      <c r="P50" s="1628">
        <v>0.36820000000000003</v>
      </c>
      <c r="Q50" s="1631">
        <v>34114621.739632338</v>
      </c>
      <c r="R50" s="1639">
        <v>44531</v>
      </c>
      <c r="S50" s="1631" t="str">
        <f t="shared" si="10"/>
        <v>Desp. 521/2022</v>
      </c>
      <c r="T50" s="1642" t="s">
        <v>518</v>
      </c>
      <c r="U50" s="741" t="s">
        <v>519</v>
      </c>
      <c r="V50" s="630">
        <v>2022</v>
      </c>
      <c r="W50" s="1626">
        <v>2906</v>
      </c>
      <c r="X50" s="1627" t="s">
        <v>2154</v>
      </c>
      <c r="Y50" s="1628"/>
      <c r="AA50" s="1629" t="s">
        <v>206</v>
      </c>
      <c r="AB50" s="1633">
        <v>13.9</v>
      </c>
      <c r="AC50" s="1632">
        <v>108.15</v>
      </c>
      <c r="AD50" s="1632">
        <v>16697250.359999999</v>
      </c>
      <c r="AE50" s="741">
        <v>43270</v>
      </c>
      <c r="AF50" s="741">
        <v>43270</v>
      </c>
      <c r="AG50" s="741" t="s">
        <v>507</v>
      </c>
      <c r="AH50" s="630"/>
      <c r="AI50" s="741"/>
      <c r="AJ50" s="741"/>
      <c r="AK50" s="741" t="s">
        <v>508</v>
      </c>
      <c r="AL50" s="741">
        <v>43405</v>
      </c>
      <c r="AM50" s="741"/>
      <c r="AN50" s="864"/>
      <c r="AO50" s="235"/>
      <c r="AP50" s="17"/>
      <c r="AR50" s="818" t="s">
        <v>520</v>
      </c>
      <c r="AS50" s="235"/>
      <c r="AT50" s="235"/>
      <c r="AX50" s="235"/>
    </row>
    <row r="51" spans="1:50" s="9" customFormat="1" ht="31.5" hidden="1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5">
        <v>0</v>
      </c>
      <c r="N51" s="1631"/>
      <c r="O51" s="1631" t="str">
        <f t="shared" si="9"/>
        <v>ReH 2.995/2021</v>
      </c>
      <c r="P51" s="1628">
        <v>0.36820000000000003</v>
      </c>
      <c r="Q51" s="1631">
        <v>19676334.273381419</v>
      </c>
      <c r="R51" s="1639">
        <v>44531</v>
      </c>
      <c r="S51" s="1631" t="str">
        <f t="shared" si="10"/>
        <v>Desp. 521/2022</v>
      </c>
      <c r="T51" s="1642" t="s">
        <v>524</v>
      </c>
      <c r="U51" s="741" t="s">
        <v>525</v>
      </c>
      <c r="V51" s="630">
        <v>2022</v>
      </c>
      <c r="W51" s="1626">
        <v>2907</v>
      </c>
      <c r="X51" s="1627" t="s">
        <v>2154</v>
      </c>
      <c r="Y51" s="1628"/>
      <c r="AA51" s="1629" t="s">
        <v>206</v>
      </c>
      <c r="AB51" s="1633">
        <v>17.5</v>
      </c>
      <c r="AC51" s="1632">
        <v>108.15</v>
      </c>
      <c r="AD51" s="1632">
        <v>8473358.1899999995</v>
      </c>
      <c r="AE51" s="741">
        <v>43270</v>
      </c>
      <c r="AF51" s="741">
        <v>43270</v>
      </c>
      <c r="AG51" s="741" t="s">
        <v>507</v>
      </c>
      <c r="AH51" s="630"/>
      <c r="AI51" s="741"/>
      <c r="AJ51" s="741"/>
      <c r="AK51" s="741" t="s">
        <v>508</v>
      </c>
      <c r="AL51" s="741">
        <v>43405</v>
      </c>
      <c r="AM51" s="741"/>
      <c r="AN51" s="864"/>
      <c r="AO51" s="235"/>
      <c r="AP51" s="17"/>
      <c r="AR51" s="818" t="s">
        <v>188</v>
      </c>
      <c r="AS51" s="235"/>
      <c r="AT51" s="235"/>
      <c r="AX51" s="235"/>
    </row>
    <row r="52" spans="1:50" s="9" customFormat="1" ht="31.5" hidden="1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9.9699999999999997E-2</v>
      </c>
      <c r="I52" s="630" t="s">
        <v>529</v>
      </c>
      <c r="J52" s="630">
        <v>132</v>
      </c>
      <c r="K52" s="630"/>
      <c r="L52" s="630"/>
      <c r="M52" s="817">
        <v>0</v>
      </c>
      <c r="N52" s="1631"/>
      <c r="O52" s="1631" t="str">
        <f t="shared" si="9"/>
        <v>ReH 2.995/2021</v>
      </c>
      <c r="P52" s="1628">
        <v>0.30030000000000001</v>
      </c>
      <c r="Q52" s="1631">
        <v>3990174.7268110593</v>
      </c>
      <c r="R52" s="1639">
        <v>44531</v>
      </c>
      <c r="S52" s="1631" t="str">
        <f t="shared" si="10"/>
        <v>Desp. 521/2022</v>
      </c>
      <c r="T52" s="1642" t="s">
        <v>530</v>
      </c>
      <c r="U52" s="741" t="s">
        <v>531</v>
      </c>
      <c r="V52" s="630">
        <v>2022</v>
      </c>
      <c r="W52" s="1626">
        <v>2905</v>
      </c>
      <c r="X52" s="1627" t="s">
        <v>2154</v>
      </c>
      <c r="Y52" s="1628"/>
      <c r="AA52" s="1629" t="s">
        <v>485</v>
      </c>
      <c r="AB52" s="1633">
        <v>108.32837360722637</v>
      </c>
      <c r="AC52" s="1632">
        <v>117.43916412021785</v>
      </c>
      <c r="AD52" s="1632">
        <v>0</v>
      </c>
      <c r="AE52" s="741">
        <v>44371</v>
      </c>
      <c r="AF52" s="741">
        <v>44371</v>
      </c>
      <c r="AG52" s="741" t="s">
        <v>507</v>
      </c>
      <c r="AH52" s="630"/>
      <c r="AI52" s="741"/>
      <c r="AJ52" s="741"/>
      <c r="AK52" s="741" t="s">
        <v>508</v>
      </c>
      <c r="AL52" s="741">
        <v>43405</v>
      </c>
      <c r="AM52" s="741"/>
      <c r="AN52" s="864"/>
      <c r="AO52" s="235"/>
      <c r="AP52" s="17"/>
      <c r="AR52" s="818" t="s">
        <v>420</v>
      </c>
      <c r="AS52" s="235"/>
      <c r="AT52" s="235"/>
      <c r="AX52" s="235"/>
    </row>
    <row r="53" spans="1:50" s="9" customFormat="1" ht="31.5" hidden="1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7">
        <v>0</v>
      </c>
      <c r="N53" s="1631"/>
      <c r="O53" s="1631" t="str">
        <f t="shared" si="9"/>
        <v>ReH 2.995/2021</v>
      </c>
      <c r="P53" s="1628">
        <v>0.26960000000000001</v>
      </c>
      <c r="Q53" s="1631">
        <v>9179104.7891964447</v>
      </c>
      <c r="R53" s="1639">
        <v>44531</v>
      </c>
      <c r="S53" s="1631" t="str">
        <f t="shared" si="10"/>
        <v>Desp. 521/2022</v>
      </c>
      <c r="T53" s="1642" t="s">
        <v>537</v>
      </c>
      <c r="U53" s="741" t="s">
        <v>538</v>
      </c>
      <c r="V53" s="630">
        <v>2022</v>
      </c>
      <c r="W53" s="1626">
        <v>2945</v>
      </c>
      <c r="X53" s="1627" t="s">
        <v>2156</v>
      </c>
      <c r="Y53" s="1628"/>
      <c r="AA53" s="1629" t="s">
        <v>535</v>
      </c>
      <c r="AB53" s="1633">
        <v>56.75</v>
      </c>
      <c r="AC53" s="1632">
        <v>133.91999999999999</v>
      </c>
      <c r="AD53" s="1632">
        <v>1818143.6</v>
      </c>
      <c r="AE53" s="741">
        <v>43678</v>
      </c>
      <c r="AF53" s="741">
        <v>43678</v>
      </c>
      <c r="AG53" s="741" t="s">
        <v>507</v>
      </c>
      <c r="AH53" s="630"/>
      <c r="AI53" s="741"/>
      <c r="AJ53" s="741"/>
      <c r="AK53" s="741" t="s">
        <v>508</v>
      </c>
      <c r="AL53" s="741">
        <v>43466</v>
      </c>
      <c r="AM53" s="741"/>
      <c r="AN53" s="864"/>
      <c r="AO53" s="235"/>
      <c r="AP53" s="17"/>
      <c r="AR53" s="818" t="s">
        <v>460</v>
      </c>
      <c r="AS53" s="235"/>
      <c r="AT53" s="235"/>
      <c r="AX53" s="235"/>
    </row>
    <row r="54" spans="1:50" s="9" customFormat="1" ht="31.5" hidden="1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7">
        <v>0</v>
      </c>
      <c r="N54" s="1631"/>
      <c r="O54" s="1631" t="str">
        <f t="shared" si="9"/>
        <v>ReH 2.995/2021</v>
      </c>
      <c r="P54" s="1628">
        <v>0.26719999999999999</v>
      </c>
      <c r="Q54" s="1631">
        <v>12311896.529185077</v>
      </c>
      <c r="R54" s="1639">
        <v>44531</v>
      </c>
      <c r="S54" s="1631" t="str">
        <f t="shared" si="10"/>
        <v>Desp. 521/2022</v>
      </c>
      <c r="T54" s="1642" t="s">
        <v>543</v>
      </c>
      <c r="U54" s="741" t="s">
        <v>544</v>
      </c>
      <c r="V54" s="630">
        <v>2022</v>
      </c>
      <c r="W54" s="1626">
        <v>2938</v>
      </c>
      <c r="X54" s="1627" t="s">
        <v>2156</v>
      </c>
      <c r="Y54" s="1628"/>
      <c r="AA54" s="1629" t="s">
        <v>542</v>
      </c>
      <c r="AB54" s="1633">
        <v>349.3569320960537</v>
      </c>
      <c r="AC54" s="1632">
        <v>180.36</v>
      </c>
      <c r="AD54" s="1632">
        <v>0</v>
      </c>
      <c r="AE54" s="741">
        <v>44430</v>
      </c>
      <c r="AF54" s="741">
        <v>44430</v>
      </c>
      <c r="AG54" s="741" t="s">
        <v>507</v>
      </c>
      <c r="AH54" s="630"/>
      <c r="AI54" s="741"/>
      <c r="AJ54" s="741"/>
      <c r="AK54" s="741" t="s">
        <v>508</v>
      </c>
      <c r="AL54" s="741">
        <v>43435</v>
      </c>
      <c r="AM54" s="741"/>
      <c r="AN54" s="864"/>
      <c r="AO54" s="235"/>
      <c r="AP54" s="17"/>
      <c r="AR54" s="818" t="s">
        <v>427</v>
      </c>
      <c r="AS54" s="235"/>
      <c r="AT54" s="235"/>
      <c r="AX54" s="235"/>
    </row>
    <row r="55" spans="1:50" s="9" customFormat="1" ht="31.5" hidden="1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7">
        <v>0</v>
      </c>
      <c r="N55" s="1631"/>
      <c r="O55" s="1631" t="str">
        <f t="shared" si="9"/>
        <v>ReH 2.995/2021</v>
      </c>
      <c r="P55" s="1628">
        <v>0.26719999999999999</v>
      </c>
      <c r="Q55" s="1631">
        <v>2747645.1312338929</v>
      </c>
      <c r="R55" s="1639">
        <v>44531</v>
      </c>
      <c r="S55" s="1631" t="str">
        <f t="shared" si="10"/>
        <v>Desp. 521/2022</v>
      </c>
      <c r="T55" s="1642" t="s">
        <v>548</v>
      </c>
      <c r="U55" s="741" t="s">
        <v>549</v>
      </c>
      <c r="V55" s="630">
        <v>2022</v>
      </c>
      <c r="W55" s="1626">
        <v>2952</v>
      </c>
      <c r="X55" s="1627" t="s">
        <v>2156</v>
      </c>
      <c r="Y55" s="1628"/>
      <c r="AA55" s="1629" t="s">
        <v>542</v>
      </c>
      <c r="AB55" s="1633">
        <v>66.75041888804266</v>
      </c>
      <c r="AC55" s="1632">
        <v>180.36</v>
      </c>
      <c r="AD55" s="1632">
        <v>1128622.9917918474</v>
      </c>
      <c r="AE55" s="741">
        <v>44430</v>
      </c>
      <c r="AF55" s="741">
        <v>44430</v>
      </c>
      <c r="AG55" s="741" t="s">
        <v>507</v>
      </c>
      <c r="AH55" s="630"/>
      <c r="AI55" s="741"/>
      <c r="AJ55" s="741"/>
      <c r="AK55" s="741" t="s">
        <v>508</v>
      </c>
      <c r="AL55" s="741">
        <v>43435</v>
      </c>
      <c r="AM55" s="741"/>
      <c r="AN55" s="864"/>
      <c r="AO55" s="235"/>
      <c r="AP55" s="17"/>
      <c r="AR55" s="818" t="s">
        <v>11</v>
      </c>
      <c r="AS55" s="235"/>
      <c r="AT55" s="235"/>
      <c r="AX55" s="235"/>
    </row>
    <row r="56" spans="1:50" s="9" customFormat="1" ht="31.5" hidden="1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7">
        <v>0</v>
      </c>
      <c r="N56" s="1631"/>
      <c r="O56" s="1631" t="str">
        <f t="shared" si="9"/>
        <v>ReH 2.995/2021</v>
      </c>
      <c r="P56" s="1628">
        <v>0.26719999999999999</v>
      </c>
      <c r="Q56" s="1631">
        <v>4273903.2129018996</v>
      </c>
      <c r="R56" s="1639">
        <v>44531</v>
      </c>
      <c r="S56" s="1631" t="str">
        <f t="shared" si="10"/>
        <v>Desp. 521/2022</v>
      </c>
      <c r="T56" s="1642" t="s">
        <v>553</v>
      </c>
      <c r="U56" s="741" t="s">
        <v>554</v>
      </c>
      <c r="V56" s="630">
        <v>2022</v>
      </c>
      <c r="W56" s="1626">
        <v>2954</v>
      </c>
      <c r="X56" s="1627" t="s">
        <v>2156</v>
      </c>
      <c r="Y56" s="1628"/>
      <c r="AA56" s="1629" t="s">
        <v>542</v>
      </c>
      <c r="AB56" s="1633">
        <v>340.16724180581309</v>
      </c>
      <c r="AC56" s="1632">
        <v>180.36</v>
      </c>
      <c r="AD56" s="1632">
        <v>0</v>
      </c>
      <c r="AE56" s="741">
        <v>44430</v>
      </c>
      <c r="AF56" s="741">
        <v>44430</v>
      </c>
      <c r="AG56" s="741" t="s">
        <v>507</v>
      </c>
      <c r="AH56" s="630"/>
      <c r="AI56" s="741"/>
      <c r="AJ56" s="741"/>
      <c r="AK56" s="741" t="s">
        <v>508</v>
      </c>
      <c r="AL56" s="741">
        <v>43466</v>
      </c>
      <c r="AM56" s="741"/>
      <c r="AN56" s="864"/>
      <c r="AO56" s="235"/>
      <c r="AP56" s="17"/>
      <c r="AR56" s="630" t="s">
        <v>10</v>
      </c>
      <c r="AS56" s="235"/>
      <c r="AT56" s="235"/>
      <c r="AX56" s="235"/>
    </row>
    <row r="57" spans="1:50" s="9" customFormat="1" ht="31.5" hidden="1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7">
        <v>0</v>
      </c>
      <c r="N57" s="1631"/>
      <c r="O57" s="1631" t="str">
        <f t="shared" si="9"/>
        <v>ReH 2.995/2021</v>
      </c>
      <c r="P57" s="1628">
        <v>0.26719999999999999</v>
      </c>
      <c r="Q57" s="1631">
        <v>14887159.462181535</v>
      </c>
      <c r="R57" s="1639">
        <v>44531</v>
      </c>
      <c r="S57" s="1631" t="str">
        <f t="shared" si="10"/>
        <v>Desp. 521/2022</v>
      </c>
      <c r="T57" s="1642" t="s">
        <v>559</v>
      </c>
      <c r="U57" s="741" t="s">
        <v>560</v>
      </c>
      <c r="V57" s="630">
        <v>2022</v>
      </c>
      <c r="W57" s="1626">
        <v>2955</v>
      </c>
      <c r="X57" s="1627" t="s">
        <v>2156</v>
      </c>
      <c r="Y57" s="1628"/>
      <c r="AA57" s="1629" t="s">
        <v>542</v>
      </c>
      <c r="AB57" s="1633">
        <v>42.479589945809131</v>
      </c>
      <c r="AC57" s="1632">
        <v>180.36</v>
      </c>
      <c r="AD57" s="1632">
        <v>4958818.1676888634</v>
      </c>
      <c r="AE57" s="741">
        <v>44430</v>
      </c>
      <c r="AF57" s="741">
        <v>44430</v>
      </c>
      <c r="AG57" s="741" t="s">
        <v>507</v>
      </c>
      <c r="AH57" s="630"/>
      <c r="AI57" s="741"/>
      <c r="AJ57" s="741"/>
      <c r="AK57" s="741" t="s">
        <v>508</v>
      </c>
      <c r="AL57" s="741">
        <v>43435</v>
      </c>
      <c r="AM57" s="741"/>
      <c r="AN57" s="864"/>
      <c r="AO57" s="235"/>
      <c r="AP57" s="17"/>
      <c r="AR57" s="892" t="s">
        <v>561</v>
      </c>
      <c r="AS57" s="235"/>
      <c r="AT57" s="235"/>
      <c r="AX57" s="235"/>
    </row>
    <row r="58" spans="1:50" s="9" customFormat="1" ht="31.5" hidden="1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7">
        <v>0</v>
      </c>
      <c r="N58" s="1631"/>
      <c r="O58" s="1631" t="str">
        <f t="shared" si="9"/>
        <v>ReH 2.995/2021</v>
      </c>
      <c r="P58" s="1628">
        <v>0.29220000000000002</v>
      </c>
      <c r="Q58" s="1631">
        <v>12150493.896013878</v>
      </c>
      <c r="R58" s="1639">
        <v>44531</v>
      </c>
      <c r="S58" s="1631" t="str">
        <f t="shared" si="10"/>
        <v>Desp. 521/2022</v>
      </c>
      <c r="T58" s="630" t="s">
        <v>565</v>
      </c>
      <c r="U58" s="741" t="s">
        <v>566</v>
      </c>
      <c r="V58" s="630">
        <v>2022</v>
      </c>
      <c r="W58" s="1626">
        <v>2993</v>
      </c>
      <c r="X58" s="1627" t="s">
        <v>2151</v>
      </c>
      <c r="Y58" s="630"/>
      <c r="AA58" s="1629" t="s">
        <v>353</v>
      </c>
      <c r="AB58" s="1631">
        <v>12.14</v>
      </c>
      <c r="AC58" s="1632">
        <v>127.47</v>
      </c>
      <c r="AD58" s="1632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508</v>
      </c>
      <c r="AL58" s="741">
        <v>43525</v>
      </c>
      <c r="AM58" s="741"/>
      <c r="AN58" s="864"/>
      <c r="AO58" s="235"/>
      <c r="AP58" s="17"/>
      <c r="AR58" s="818" t="s">
        <v>432</v>
      </c>
      <c r="AS58" s="235"/>
      <c r="AT58" s="235"/>
      <c r="AX58" s="235"/>
    </row>
    <row r="59" spans="1:50" s="9" customFormat="1" ht="31.5" hidden="1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7">
        <v>0</v>
      </c>
      <c r="N59" s="1631"/>
      <c r="O59" s="1631" t="str">
        <f t="shared" si="9"/>
        <v>ReH 2.995/2021</v>
      </c>
      <c r="P59" s="1628">
        <v>0.29220000000000002</v>
      </c>
      <c r="Q59" s="1631">
        <v>12126674.039789611</v>
      </c>
      <c r="R59" s="1639">
        <v>44531</v>
      </c>
      <c r="S59" s="1631" t="str">
        <f t="shared" si="10"/>
        <v>Desp. 521/2022</v>
      </c>
      <c r="T59" s="630" t="s">
        <v>570</v>
      </c>
      <c r="U59" s="741" t="s">
        <v>571</v>
      </c>
      <c r="V59" s="630">
        <v>2022</v>
      </c>
      <c r="W59" s="1626">
        <v>2999</v>
      </c>
      <c r="X59" s="1627" t="s">
        <v>2151</v>
      </c>
      <c r="Y59" s="630"/>
      <c r="AA59" s="1629" t="s">
        <v>353</v>
      </c>
      <c r="AB59" s="1631">
        <v>24.63</v>
      </c>
      <c r="AC59" s="1632">
        <v>127.47</v>
      </c>
      <c r="AD59" s="1632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508</v>
      </c>
      <c r="AL59" s="741">
        <v>43525</v>
      </c>
      <c r="AM59" s="741"/>
      <c r="AN59" s="864"/>
      <c r="AO59" s="235"/>
      <c r="AP59" s="17"/>
      <c r="AR59" s="818" t="s">
        <v>465</v>
      </c>
      <c r="AS59" s="235"/>
      <c r="AT59" s="235"/>
      <c r="AX59" s="235"/>
    </row>
    <row r="60" spans="1:50" s="9" customFormat="1" ht="31.5" hidden="1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7">
        <v>0</v>
      </c>
      <c r="N60" s="1631"/>
      <c r="O60" s="1631" t="str">
        <f t="shared" si="9"/>
        <v>ReH 2.995/2021</v>
      </c>
      <c r="P60" s="1628">
        <v>0.31130000000000002</v>
      </c>
      <c r="Q60" s="1631">
        <v>26138615.684229702</v>
      </c>
      <c r="R60" s="1639">
        <v>44531</v>
      </c>
      <c r="S60" s="1631" t="str">
        <f t="shared" si="10"/>
        <v>Desp. 521/2022</v>
      </c>
      <c r="T60" s="630" t="s">
        <v>575</v>
      </c>
      <c r="U60" s="741" t="s">
        <v>576</v>
      </c>
      <c r="V60" s="630">
        <v>2023</v>
      </c>
      <c r="W60" s="1626">
        <v>2871</v>
      </c>
      <c r="X60" s="1627" t="s">
        <v>2153</v>
      </c>
      <c r="Y60" s="630"/>
      <c r="AA60" s="1629" t="s">
        <v>150</v>
      </c>
      <c r="AB60" s="1631">
        <v>109.7</v>
      </c>
      <c r="AC60" s="1632">
        <v>237.88</v>
      </c>
      <c r="AD60" s="1632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508</v>
      </c>
      <c r="AL60" s="741">
        <v>43614</v>
      </c>
      <c r="AM60" s="1635">
        <v>0</v>
      </c>
      <c r="AN60" s="864"/>
      <c r="AR60" s="818" t="s">
        <v>174</v>
      </c>
      <c r="AS60" s="235"/>
      <c r="AT60" s="235"/>
      <c r="AX60" s="235"/>
    </row>
    <row r="61" spans="1:50" ht="31.5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8.1942000000000001E-2</v>
      </c>
      <c r="I61" s="509" t="s">
        <v>206</v>
      </c>
      <c r="J61" s="509">
        <v>167</v>
      </c>
      <c r="K61" s="509" t="s">
        <v>580</v>
      </c>
      <c r="L61" s="509">
        <v>164</v>
      </c>
      <c r="M61" s="865">
        <v>0</v>
      </c>
      <c r="N61" s="864"/>
      <c r="O61" s="1631" t="str">
        <f t="shared" si="9"/>
        <v>ReH 2.995/2021</v>
      </c>
      <c r="P61" s="1643">
        <v>0.3589</v>
      </c>
      <c r="Q61" s="864">
        <v>45272621.042895459</v>
      </c>
      <c r="R61" s="1639">
        <v>44531</v>
      </c>
      <c r="S61" s="1631" t="str">
        <f t="shared" si="10"/>
        <v>Desp. 521/2022</v>
      </c>
      <c r="T61" s="741">
        <v>43831</v>
      </c>
      <c r="U61" s="866" t="s">
        <v>581</v>
      </c>
      <c r="V61" s="509">
        <v>2022</v>
      </c>
      <c r="W61" s="1636">
        <v>2913</v>
      </c>
      <c r="X61" s="509" t="s">
        <v>2154</v>
      </c>
      <c r="Y61" s="509"/>
      <c r="AA61" s="1637" t="s">
        <v>206</v>
      </c>
      <c r="AB61" s="864">
        <v>16.32</v>
      </c>
      <c r="AC61" s="1638">
        <v>131.34</v>
      </c>
      <c r="AD61" s="1638">
        <v>22619960.88284716</v>
      </c>
      <c r="AE61" s="866">
        <v>43209</v>
      </c>
      <c r="AF61" s="866">
        <v>43270</v>
      </c>
      <c r="AG61" s="509"/>
      <c r="AH61" s="866"/>
      <c r="AI61" s="866"/>
      <c r="AJ61" s="866"/>
      <c r="AK61" s="741" t="s">
        <v>582</v>
      </c>
      <c r="AL61" s="866">
        <v>44105</v>
      </c>
      <c r="AM61" s="866"/>
      <c r="AN61" s="864"/>
      <c r="AR61" s="630" t="s">
        <v>476</v>
      </c>
      <c r="AS61" s="859"/>
      <c r="AX61" s="859"/>
    </row>
    <row r="62" spans="1:50">
      <c r="AD62" s="784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2162</v>
      </c>
    </row>
    <row r="69" spans="1:14" hidden="1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7">
        <v>0</v>
      </c>
      <c r="M69" s="867">
        <v>0</v>
      </c>
    </row>
    <row r="70" spans="1:14" hidden="1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7">
        <v>0</v>
      </c>
      <c r="M70" s="867">
        <v>0</v>
      </c>
    </row>
    <row r="71" spans="1:14" hidden="1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7">
        <v>0</v>
      </c>
      <c r="M71" s="867">
        <v>0</v>
      </c>
    </row>
    <row r="72" spans="1:14" hidden="1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7">
        <v>0</v>
      </c>
      <c r="M72" s="867">
        <v>0</v>
      </c>
    </row>
    <row r="73" spans="1:14" hidden="1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7">
        <v>0</v>
      </c>
      <c r="M73" s="867">
        <v>0</v>
      </c>
    </row>
    <row r="74" spans="1:14" hidden="1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7">
        <v>0</v>
      </c>
      <c r="M74" s="1603">
        <v>0</v>
      </c>
    </row>
    <row r="75" spans="1:14" hidden="1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7">
        <v>0.29099999999999998</v>
      </c>
      <c r="M75" s="1604">
        <v>0</v>
      </c>
    </row>
    <row r="76" spans="1:14" hidden="1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7">
        <v>0.56379999999999997</v>
      </c>
      <c r="M76" s="1604">
        <v>0.54410000000000003</v>
      </c>
    </row>
    <row r="77" spans="1:14" hidden="1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7">
        <v>0</v>
      </c>
      <c r="M77" s="867">
        <v>0</v>
      </c>
    </row>
    <row r="78" spans="1:14" hidden="1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7">
        <v>0.2326</v>
      </c>
      <c r="M78" s="1604">
        <v>0.2326</v>
      </c>
    </row>
    <row r="79" spans="1:14" hidden="1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7">
        <v>0.2326</v>
      </c>
      <c r="M79" s="1604">
        <v>0.2326</v>
      </c>
    </row>
    <row r="80" spans="1:14" hidden="1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7">
        <v>9.9400000000000002E-2</v>
      </c>
      <c r="M80" s="1604">
        <v>0</v>
      </c>
    </row>
    <row r="81" spans="1:14" hidden="1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7">
        <v>9.9400000000000002E-2</v>
      </c>
      <c r="M81" s="1604">
        <v>0</v>
      </c>
    </row>
    <row r="82" spans="1:14" hidden="1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7">
        <v>0</v>
      </c>
      <c r="M82" s="867">
        <v>0</v>
      </c>
    </row>
    <row r="83" spans="1:14" hidden="1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7">
        <v>0.63749999999999996</v>
      </c>
      <c r="M83" s="1604">
        <v>0.41699999999999998</v>
      </c>
    </row>
    <row r="84" spans="1:14" hidden="1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7">
        <f>DescontosTE[[#This Row],[2019]]</f>
        <v>0.43730000000000002</v>
      </c>
      <c r="M84" s="1605">
        <f>DescontosTE[[#This Row],[2020]]</f>
        <v>0.43730000000000002</v>
      </c>
      <c r="N84" s="1605">
        <f>DescontosTE[[#This Row],[2020]]</f>
        <v>0.43730000000000002</v>
      </c>
    </row>
    <row r="85" spans="1:14" hidden="1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7">
        <v>0.25619999999999998</v>
      </c>
      <c r="M85" s="1604">
        <v>0.25619999999999998</v>
      </c>
    </row>
    <row r="86" spans="1:14" hidden="1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7">
        <v>0.37969999999999998</v>
      </c>
      <c r="M86" s="1604">
        <v>0.36749999999999999</v>
      </c>
    </row>
    <row r="87" spans="1:14" hidden="1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7">
        <v>0.55110000000000003</v>
      </c>
      <c r="M87" s="1604">
        <v>0.48010000000000003</v>
      </c>
    </row>
    <row r="88" spans="1:14" hidden="1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7">
        <v>0.2132</v>
      </c>
      <c r="M88" s="1604">
        <v>0.2132</v>
      </c>
    </row>
    <row r="89" spans="1:14" hidden="1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7">
        <v>0.2132</v>
      </c>
      <c r="M89" s="1604">
        <v>0.2132</v>
      </c>
    </row>
    <row r="90" spans="1:14" hidden="1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7">
        <v>0.2132</v>
      </c>
      <c r="M90" s="1604">
        <v>0.2132</v>
      </c>
    </row>
    <row r="91" spans="1:14" hidden="1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11">
        <v>5.0599999999999999E-2</v>
      </c>
      <c r="L91" s="867">
        <v>0</v>
      </c>
      <c r="M91" s="867">
        <v>0</v>
      </c>
    </row>
    <row r="92" spans="1:14" hidden="1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6">
        <v>1.2E-2</v>
      </c>
      <c r="L92" s="867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 hidden="1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6">
        <v>1.2E-2</v>
      </c>
      <c r="L93" s="867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 hidden="1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6">
        <v>1.2E-2</v>
      </c>
      <c r="L94" s="867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 hidden="1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6">
        <v>1.2E-2</v>
      </c>
      <c r="L95" s="867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 hidden="1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6">
        <v>1.2E-2</v>
      </c>
      <c r="L96" s="867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 hidden="1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7">
        <v>0.58150000000000002</v>
      </c>
      <c r="M97" s="1604">
        <v>0.58150000000000002</v>
      </c>
    </row>
    <row r="98" spans="1:13" hidden="1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7">
        <v>0</v>
      </c>
      <c r="M98" s="867">
        <v>0</v>
      </c>
    </row>
    <row r="99" spans="1:13" hidden="1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7">
        <v>0</v>
      </c>
      <c r="M99" s="867">
        <v>0</v>
      </c>
    </row>
    <row r="100" spans="1:13" hidden="1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7">
        <v>0</v>
      </c>
      <c r="M100" s="867">
        <v>0</v>
      </c>
    </row>
    <row r="101" spans="1:13" hidden="1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7">
        <v>0</v>
      </c>
      <c r="M101" s="867">
        <v>0</v>
      </c>
    </row>
    <row r="102" spans="1:13" hidden="1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7">
        <v>0.55579999999999996</v>
      </c>
      <c r="M102" s="1604">
        <v>0.53969999999999996</v>
      </c>
    </row>
    <row r="103" spans="1:13" hidden="1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7">
        <v>0.55579999999999996</v>
      </c>
      <c r="M103" s="1604">
        <v>0.53969999999999996</v>
      </c>
    </row>
    <row r="104" spans="1:13" hidden="1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7">
        <v>0</v>
      </c>
      <c r="M104" s="867">
        <v>0</v>
      </c>
    </row>
    <row r="105" spans="1:13" hidden="1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7">
        <v>0.44540000000000002</v>
      </c>
      <c r="M105" s="1604">
        <v>0.31740000000000002</v>
      </c>
    </row>
    <row r="106" spans="1:13" hidden="1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7">
        <v>0</v>
      </c>
      <c r="M106" s="867">
        <v>0</v>
      </c>
    </row>
    <row r="107" spans="1:13" hidden="1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7">
        <v>7.5600000000000001E-2</v>
      </c>
      <c r="M107" s="1604">
        <v>6.0199999999999997E-2</v>
      </c>
    </row>
    <row r="108" spans="1:13" hidden="1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7">
        <v>7.5600000000000001E-2</v>
      </c>
      <c r="M108" s="1604">
        <v>6.0199999999999997E-2</v>
      </c>
    </row>
    <row r="109" spans="1:13" hidden="1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7">
        <v>0.48139999999999999</v>
      </c>
      <c r="M109" s="1604">
        <v>0.48139999999999999</v>
      </c>
    </row>
    <row r="110" spans="1:13" hidden="1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7">
        <v>0.55869999999999997</v>
      </c>
      <c r="M110" s="1604">
        <v>0.55869999999999997</v>
      </c>
    </row>
    <row r="111" spans="1:13" hidden="1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7">
        <v>0</v>
      </c>
      <c r="M111" s="867">
        <v>0</v>
      </c>
    </row>
    <row r="112" spans="1:13" hidden="1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7">
        <v>0</v>
      </c>
      <c r="M112" s="867">
        <v>0</v>
      </c>
    </row>
    <row r="113" spans="1:13" hidden="1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7">
        <v>0</v>
      </c>
      <c r="M113" s="867">
        <v>0</v>
      </c>
    </row>
    <row r="114" spans="1:13" hidden="1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7">
        <v>0.35730000000000001</v>
      </c>
      <c r="M114" s="1604">
        <v>0.32969999999999999</v>
      </c>
    </row>
    <row r="115" spans="1:13" hidden="1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7">
        <v>0.35730000000000001</v>
      </c>
      <c r="M115" s="1604">
        <v>0.32969999999999999</v>
      </c>
    </row>
    <row r="116" spans="1:13" hidden="1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7">
        <v>0.81359999999999999</v>
      </c>
      <c r="M116" s="1604">
        <v>0.61460000000000004</v>
      </c>
    </row>
    <row r="117" spans="1:13" hidden="1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7">
        <v>0</v>
      </c>
      <c r="M117" s="867">
        <v>0</v>
      </c>
    </row>
    <row r="118" spans="1:13" hidden="1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7">
        <v>0</v>
      </c>
      <c r="M118" s="867">
        <v>0</v>
      </c>
    </row>
    <row r="119" spans="1:13" hidden="1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7">
        <v>0.59</v>
      </c>
      <c r="M119" s="1604">
        <v>0.59</v>
      </c>
    </row>
    <row r="120" spans="1:13" hidden="1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7">
        <v>0.42730000000000001</v>
      </c>
      <c r="M120" s="1604">
        <v>0.42730000000000001</v>
      </c>
    </row>
    <row r="121" spans="1:13" hidden="1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7">
        <v>0.42730000000000001</v>
      </c>
      <c r="M121" s="1604">
        <v>0.42730000000000001</v>
      </c>
    </row>
    <row r="122" spans="1:13" hidden="1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7">
        <v>0.42730000000000001</v>
      </c>
      <c r="M122" s="1604">
        <v>0.42730000000000001</v>
      </c>
    </row>
    <row r="123" spans="1:13" hidden="1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7">
        <v>0</v>
      </c>
      <c r="M123" s="867">
        <v>0</v>
      </c>
    </row>
    <row r="124" spans="1:13" hidden="1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7">
        <v>0</v>
      </c>
      <c r="M124" s="867">
        <v>0</v>
      </c>
    </row>
    <row r="125" spans="1:13" hidden="1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7">
        <v>3.3399999999999999E-2</v>
      </c>
      <c r="M125" s="1604">
        <v>3.3399999999999999E-2</v>
      </c>
    </row>
    <row r="126" spans="1:13" hidden="1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7">
        <v>0</v>
      </c>
      <c r="M126" s="867">
        <v>0</v>
      </c>
    </row>
    <row r="127" spans="1:13" hidden="1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7">
        <v>0</v>
      </c>
      <c r="M127" s="867">
        <v>0</v>
      </c>
    </row>
    <row r="128" spans="1:13" hidden="1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7">
        <v>0</v>
      </c>
      <c r="M128" s="867">
        <v>0</v>
      </c>
    </row>
    <row r="129" spans="1:14" hidden="1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7">
        <v>0</v>
      </c>
      <c r="M129" s="867">
        <v>0</v>
      </c>
    </row>
    <row r="130" spans="1:14" hidden="1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7">
        <v>0.28499999999999998</v>
      </c>
      <c r="M130" s="1604">
        <v>0.28499999999999998</v>
      </c>
    </row>
    <row r="131" spans="1:14" hidden="1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7">
        <v>0.214</v>
      </c>
      <c r="M131" s="1604">
        <v>0.214</v>
      </c>
    </row>
    <row r="132" spans="1:14" hidden="1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7">
        <v>2.07E-2</v>
      </c>
      <c r="M132" s="1604">
        <v>2.07E-2</v>
      </c>
    </row>
    <row r="133" spans="1:14" hidden="1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6">
        <v>0.38529999999999998</v>
      </c>
      <c r="L133" s="867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 hidden="1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6">
        <v>0.38030000000000003</v>
      </c>
      <c r="L134" s="867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 hidden="1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6">
        <v>0.1401</v>
      </c>
      <c r="L135" s="867">
        <v>0.1401</v>
      </c>
      <c r="M135" s="1604">
        <v>0.1401</v>
      </c>
    </row>
    <row r="136" spans="1:14" hidden="1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6">
        <v>0.22370000000000001</v>
      </c>
      <c r="L136" s="867">
        <v>0.1273</v>
      </c>
      <c r="M136" s="1604">
        <v>0</v>
      </c>
    </row>
    <row r="137" spans="1:14" hidden="1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6">
        <v>0.42030000000000001</v>
      </c>
      <c r="L137" s="867">
        <v>0.33839999999999998</v>
      </c>
      <c r="M137" s="1604">
        <v>0.33839999999999998</v>
      </c>
    </row>
    <row r="138" spans="1:14" hidden="1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6">
        <v>0.4153</v>
      </c>
      <c r="L138" s="867">
        <v>0.33839999999999998</v>
      </c>
      <c r="M138" s="1604">
        <v>0.33839999999999998</v>
      </c>
    </row>
    <row r="139" spans="1:14" hidden="1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6">
        <v>4.3299999999999998E-2</v>
      </c>
      <c r="L139" s="867">
        <v>0</v>
      </c>
      <c r="M139" s="867">
        <v>0</v>
      </c>
    </row>
    <row r="140" spans="1:14" hidden="1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6">
        <v>4.3299999999999998E-2</v>
      </c>
      <c r="L140" s="867">
        <v>0</v>
      </c>
      <c r="M140" s="867">
        <v>0</v>
      </c>
    </row>
    <row r="141" spans="1:14" hidden="1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6">
        <v>0.3735</v>
      </c>
      <c r="L141" s="867">
        <v>0.29289999999999999</v>
      </c>
      <c r="M141" s="1604">
        <v>0.29289999999999999</v>
      </c>
    </row>
    <row r="142" spans="1:14" hidden="1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6">
        <v>0.34079999999999999</v>
      </c>
      <c r="L142" s="867">
        <v>0.25679999999999997</v>
      </c>
      <c r="M142" s="1604">
        <v>0</v>
      </c>
    </row>
    <row r="143" spans="1:14" hidden="1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6">
        <v>0.28170000000000001</v>
      </c>
      <c r="L143" s="867">
        <v>0.25019999999999998</v>
      </c>
      <c r="M143" s="1604">
        <v>0.25019999999999998</v>
      </c>
    </row>
    <row r="144" spans="1:14" hidden="1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6">
        <v>0.16650000000000001</v>
      </c>
      <c r="L144" s="867">
        <v>0.1057</v>
      </c>
      <c r="M144" s="1604">
        <v>0.1057</v>
      </c>
    </row>
    <row r="145" spans="1:50" hidden="1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6">
        <v>0.33779999999999999</v>
      </c>
      <c r="L145" s="867">
        <v>0.20419999999999999</v>
      </c>
      <c r="M145" s="1604">
        <v>9.0499999999999997E-2</v>
      </c>
    </row>
    <row r="146" spans="1:50" hidden="1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6">
        <v>0.48630000000000001</v>
      </c>
      <c r="L146" s="867">
        <v>0.37609999999999999</v>
      </c>
      <c r="M146" s="1604">
        <v>0.37609999999999999</v>
      </c>
    </row>
    <row r="147" spans="1:50" hidden="1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6">
        <v>0.18690000000000001</v>
      </c>
      <c r="L147" s="867">
        <v>0.1603</v>
      </c>
      <c r="M147" s="511">
        <v>0</v>
      </c>
    </row>
    <row r="148" spans="1:50" hidden="1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6">
        <v>0.18690000000000001</v>
      </c>
      <c r="L148" s="867">
        <v>0.1603</v>
      </c>
      <c r="M148" s="511">
        <v>0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68"/>
      <c r="H149" s="868"/>
      <c r="I149" s="868"/>
      <c r="J149" s="513"/>
      <c r="K149" s="816"/>
      <c r="L149" s="867">
        <v>0.1426</v>
      </c>
      <c r="M149" s="1604">
        <v>0.1426</v>
      </c>
      <c r="AS149" s="859"/>
      <c r="AX149" s="859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604">
        <v>0.1426</v>
      </c>
      <c r="AS150" s="859"/>
      <c r="AX150" s="859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2162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4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4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4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4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4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4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4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4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4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4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4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4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4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4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4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4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4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4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4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4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4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4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4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4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4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4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4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4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4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4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4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4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4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4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4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4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4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4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4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4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4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4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4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4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4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4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4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4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4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4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10" t="s">
        <v>327</v>
      </c>
      <c r="C207" s="234"/>
      <c r="D207" s="234"/>
      <c r="E207" s="234"/>
      <c r="F207" s="234"/>
      <c r="G207" s="234"/>
      <c r="H207" s="234"/>
      <c r="K207" s="814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10" t="s">
        <v>320</v>
      </c>
      <c r="C208" s="234"/>
      <c r="D208" s="234"/>
      <c r="E208" s="234"/>
      <c r="F208" s="234"/>
      <c r="G208" s="234"/>
      <c r="H208" s="234"/>
      <c r="K208" s="814"/>
      <c r="L208">
        <f>357.76+231.81</f>
        <v>589.56999999999994</v>
      </c>
      <c r="M208" s="417">
        <v>677.96999999999991</v>
      </c>
      <c r="O208" s="854" t="s">
        <v>615</v>
      </c>
      <c r="P208" s="855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4">
        <f>397.32+270.9</f>
        <v>668.22</v>
      </c>
      <c r="L209">
        <v>683.67</v>
      </c>
      <c r="M209" s="520">
        <v>714.43999999999994</v>
      </c>
      <c r="N209">
        <v>838.02</v>
      </c>
      <c r="O209" s="854" t="s">
        <v>616</v>
      </c>
      <c r="P209" s="855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4">
        <v>469.78</v>
      </c>
      <c r="L210">
        <v>505.99000000000007</v>
      </c>
      <c r="M210" s="417">
        <v>532.24</v>
      </c>
      <c r="O210" s="854" t="s">
        <v>617</v>
      </c>
      <c r="P210" s="855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4" t="s">
        <v>618</v>
      </c>
      <c r="P211" s="855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4">
        <v>517.61</v>
      </c>
      <c r="L212">
        <v>512.77</v>
      </c>
      <c r="M212" s="417">
        <v>558.81000000000006</v>
      </c>
      <c r="O212" s="854" t="s">
        <v>619</v>
      </c>
      <c r="P212" s="855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4">
        <v>523.02</v>
      </c>
      <c r="L213">
        <v>550.20000000000005</v>
      </c>
      <c r="M213">
        <v>595.66</v>
      </c>
      <c r="N213">
        <v>678.65</v>
      </c>
      <c r="O213" s="854" t="s">
        <v>620</v>
      </c>
      <c r="P213" s="855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4">
        <v>490.18</v>
      </c>
      <c r="L214">
        <v>533.54999999999995</v>
      </c>
      <c r="M214" s="417">
        <v>619.94000000000005</v>
      </c>
      <c r="O214" s="854" t="s">
        <v>621</v>
      </c>
      <c r="P214" s="855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4">
        <f>303.99+243.7</f>
        <v>547.69000000000005</v>
      </c>
      <c r="L215">
        <v>541.15</v>
      </c>
      <c r="M215" s="860">
        <v>564.97</v>
      </c>
      <c r="N215">
        <v>606.77</v>
      </c>
      <c r="O215" s="854" t="s">
        <v>622</v>
      </c>
      <c r="P215" s="855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4">
        <v>525.73</v>
      </c>
      <c r="L216" s="661">
        <v>546.10945347732809</v>
      </c>
      <c r="M216" s="417">
        <v>635.92000000000007</v>
      </c>
      <c r="N216" s="852"/>
      <c r="O216" s="854" t="s">
        <v>623</v>
      </c>
      <c r="P216" s="855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4">
        <v>531.87</v>
      </c>
      <c r="L217" s="661">
        <v>555.04999999999995</v>
      </c>
      <c r="M217" s="417">
        <v>622.58000000000004</v>
      </c>
      <c r="O217" s="854" t="s">
        <v>624</v>
      </c>
      <c r="P217" s="855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4">
        <v>515.59</v>
      </c>
      <c r="L218" s="661">
        <v>534.19000000000005</v>
      </c>
      <c r="M218" s="417">
        <v>594.49</v>
      </c>
      <c r="O218" s="854" t="s">
        <v>625</v>
      </c>
      <c r="P218" s="855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4">
        <v>530.72</v>
      </c>
      <c r="L219" s="661">
        <v>535.51</v>
      </c>
      <c r="M219" s="234">
        <v>580.43681504518099</v>
      </c>
      <c r="N219">
        <v>677.99</v>
      </c>
      <c r="O219" s="854" t="s">
        <v>626</v>
      </c>
      <c r="P219" s="855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4">
        <v>560.27</v>
      </c>
      <c r="L220" s="661">
        <v>589.57000000000005</v>
      </c>
      <c r="M220" s="417">
        <v>643.09</v>
      </c>
      <c r="O220" s="854" t="s">
        <v>627</v>
      </c>
      <c r="P220" s="855" t="e">
        <v>#N/A</v>
      </c>
    </row>
    <row r="221" spans="1:50">
      <c r="A221" t="s">
        <v>27</v>
      </c>
      <c r="B221" s="481" t="s">
        <v>353</v>
      </c>
      <c r="J221">
        <v>547.6</v>
      </c>
      <c r="K221" s="814">
        <v>515.07000000000005</v>
      </c>
      <c r="L221">
        <v>548.96999999999991</v>
      </c>
      <c r="M221" s="417">
        <v>629.70000000000005</v>
      </c>
      <c r="O221" s="854" t="s">
        <v>628</v>
      </c>
      <c r="P221" s="855" t="e">
        <v>#N/A</v>
      </c>
    </row>
    <row r="222" spans="1:50">
      <c r="A222" t="s">
        <v>27</v>
      </c>
      <c r="B222" s="481" t="s">
        <v>608</v>
      </c>
      <c r="K222" s="814"/>
      <c r="L222">
        <v>571.71</v>
      </c>
      <c r="M222" s="417">
        <v>605.55000000000007</v>
      </c>
      <c r="O222" s="854" t="s">
        <v>629</v>
      </c>
      <c r="P222" s="869" t="e">
        <v>#N/A</v>
      </c>
      <c r="AS222" s="859"/>
      <c r="AX222" s="859"/>
    </row>
    <row r="223" spans="1:50">
      <c r="O223" s="854" t="s">
        <v>630</v>
      </c>
      <c r="P223" s="855" t="e">
        <v>#N/A</v>
      </c>
    </row>
    <row r="224" spans="1:50">
      <c r="O224" s="854" t="s">
        <v>631</v>
      </c>
      <c r="P224" s="855" t="e">
        <v>#N/A</v>
      </c>
    </row>
    <row r="225" spans="11:16">
      <c r="K225" s="855">
        <v>547.69000000000005</v>
      </c>
      <c r="O225" s="854" t="s">
        <v>632</v>
      </c>
      <c r="P225" s="855" t="e">
        <v>#N/A</v>
      </c>
    </row>
    <row r="226" spans="11:16">
      <c r="O226" s="854" t="s">
        <v>633</v>
      </c>
      <c r="P226" s="855" t="e">
        <v>#N/A</v>
      </c>
    </row>
    <row r="227" spans="11:16">
      <c r="O227" s="854" t="s">
        <v>634</v>
      </c>
      <c r="P227" s="856" t="e">
        <v>#N/A</v>
      </c>
    </row>
    <row r="228" spans="11:16">
      <c r="O228" s="854" t="s">
        <v>635</v>
      </c>
      <c r="P228" s="856" t="e">
        <v>#N/A</v>
      </c>
    </row>
    <row r="229" spans="11:16">
      <c r="O229" s="854" t="s">
        <v>636</v>
      </c>
      <c r="P229" s="856" t="e">
        <v>#N/A</v>
      </c>
    </row>
    <row r="230" spans="11:16">
      <c r="O230" s="854" t="s">
        <v>637</v>
      </c>
      <c r="P230" s="856" t="e">
        <v>#N/A</v>
      </c>
    </row>
    <row r="231" spans="11:16">
      <c r="O231" s="854" t="s">
        <v>638</v>
      </c>
      <c r="P231" s="856" t="e">
        <v>#N/A</v>
      </c>
    </row>
    <row r="232" spans="11:16">
      <c r="O232" s="854" t="s">
        <v>639</v>
      </c>
      <c r="P232" s="856" t="e">
        <v>#N/A</v>
      </c>
    </row>
    <row r="233" spans="11:16">
      <c r="O233" s="854" t="s">
        <v>640</v>
      </c>
      <c r="P233" s="856" t="e">
        <v>#N/A</v>
      </c>
    </row>
    <row r="234" spans="11:16">
      <c r="O234" s="854" t="s">
        <v>641</v>
      </c>
      <c r="P234" s="856" t="e">
        <v>#N/A</v>
      </c>
    </row>
    <row r="235" spans="11:16">
      <c r="O235" s="854" t="s">
        <v>642</v>
      </c>
      <c r="P235" s="856">
        <v>979.23</v>
      </c>
    </row>
    <row r="236" spans="11:16">
      <c r="O236" s="854" t="s">
        <v>643</v>
      </c>
      <c r="P236" s="856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abSelected="1" zoomScale="91" zoomScaleNormal="91" workbookViewId="0">
      <selection activeCell="H3" sqref="H3:H4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68" t="s">
        <v>2185</v>
      </c>
      <c r="C1" s="1069"/>
      <c r="D1" s="1069"/>
      <c r="M1" s="547"/>
      <c r="P1" s="892" t="str">
        <f>IF((VLOOKUP(LnkTXTSigla,Informacoes[],5,FALSE))="8.4","VERDADEIRO","FALSO")</f>
        <v>VERDADEIRO</v>
      </c>
      <c r="Q1" s="892" t="s">
        <v>644</v>
      </c>
      <c r="BA1" s="485"/>
      <c r="BB1" s="485"/>
      <c r="BC1" s="485"/>
      <c r="BD1" s="485"/>
    </row>
    <row r="2" spans="1:84" ht="25.5">
      <c r="B2" s="548" t="str">
        <f>CAPA!C9</f>
        <v>Celetro</v>
      </c>
      <c r="C2" s="638"/>
      <c r="D2" s="549"/>
      <c r="E2" s="589" t="s">
        <v>645</v>
      </c>
      <c r="F2" s="589"/>
      <c r="G2" s="589"/>
      <c r="H2" s="616" t="s">
        <v>2304</v>
      </c>
      <c r="M2" s="547"/>
      <c r="AK2" s="486"/>
      <c r="AZ2" s="1713" t="s">
        <v>646</v>
      </c>
      <c r="BA2" s="1714"/>
      <c r="BB2" s="1714"/>
      <c r="BC2" s="1714"/>
      <c r="BD2" s="1714"/>
      <c r="BE2" s="1714"/>
      <c r="BF2" s="1714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2159</v>
      </c>
      <c r="F3" s="584"/>
      <c r="G3" s="584"/>
      <c r="H3" s="537" t="s">
        <v>2328</v>
      </c>
      <c r="M3" s="547"/>
      <c r="O3" s="381">
        <f>VALUE(RIGHT(P3,2))</f>
        <v>65</v>
      </c>
      <c r="P3" s="1070" t="str">
        <f>VLOOKUP($C$9,Informacoes[],4,FALSE)</f>
        <v>C65</v>
      </c>
      <c r="Q3" s="1070" t="str">
        <f>VLOOKUP($C$9,Informacoes[],2,FALSE)</f>
        <v>Cooperativa de Eletrificação Centro Jacuí Ltda. - CELETRO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6" t="s">
        <v>2160</v>
      </c>
      <c r="F4" s="776"/>
      <c r="G4" s="776"/>
      <c r="H4" s="804" t="s">
        <v>2329</v>
      </c>
      <c r="I4" s="550"/>
      <c r="M4" s="547"/>
      <c r="AZ4" s="892"/>
      <c r="BA4" s="1071">
        <v>40940</v>
      </c>
      <c r="BB4" s="1071" t="s">
        <v>611</v>
      </c>
      <c r="BC4" s="1071">
        <v>41306</v>
      </c>
      <c r="BD4" s="1071">
        <v>41671</v>
      </c>
      <c r="BE4" s="1072">
        <v>42036</v>
      </c>
      <c r="BF4" s="1073">
        <v>42401</v>
      </c>
      <c r="BG4" s="1073">
        <v>42767</v>
      </c>
      <c r="BI4" s="1074"/>
      <c r="BJ4" s="1074"/>
      <c r="BK4" s="1074"/>
      <c r="BL4" s="1074"/>
      <c r="BM4" s="1075"/>
      <c r="BN4" s="1075"/>
      <c r="BO4" s="1075"/>
      <c r="BP4" s="1075"/>
      <c r="BQ4" s="1075"/>
      <c r="BR4" s="1075"/>
      <c r="BS4" s="1075"/>
      <c r="BT4" s="1075"/>
      <c r="BU4" s="1075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6" t="s">
        <v>647</v>
      </c>
      <c r="F5" s="776"/>
      <c r="G5" s="776"/>
      <c r="H5" s="787" t="s">
        <v>2305</v>
      </c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5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76" t="s">
        <v>320</v>
      </c>
      <c r="D9" s="9"/>
      <c r="E9" s="1715" t="s">
        <v>649</v>
      </c>
      <c r="F9" s="1716"/>
      <c r="G9" s="1716"/>
      <c r="H9" s="1716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77" t="s">
        <v>651</v>
      </c>
      <c r="C10" s="1078" t="str">
        <f>IF(C9="Cercos","N/NE","S/SE/CO")</f>
        <v>S/SE/CO</v>
      </c>
      <c r="D10" s="9"/>
      <c r="E10" s="611"/>
      <c r="F10" s="612" t="s">
        <v>652</v>
      </c>
      <c r="G10" s="613">
        <v>44755.475312499999</v>
      </c>
      <c r="H10" s="1079"/>
      <c r="I10" s="608"/>
      <c r="J10" s="775" t="s">
        <v>653</v>
      </c>
      <c r="K10" s="1080">
        <f>IFERROR(O3+200,0)</f>
        <v>265</v>
      </c>
      <c r="L10" s="597"/>
      <c r="M10" s="560"/>
      <c r="N10" s="552"/>
      <c r="O10" s="9"/>
      <c r="P10" s="9" t="s">
        <v>2303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44755.475462962961</v>
      </c>
      <c r="H11" s="609"/>
      <c r="I11" s="610"/>
      <c r="J11" s="584" t="s">
        <v>655</v>
      </c>
      <c r="K11" s="615">
        <v>5343</v>
      </c>
      <c r="L11" s="597"/>
      <c r="M11" s="560"/>
      <c r="N11" s="552"/>
      <c r="O11" s="9"/>
      <c r="P11" s="275">
        <v>238</v>
      </c>
      <c r="Q11" s="785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822</v>
      </c>
      <c r="G12" s="613">
        <v>44755.477083333331</v>
      </c>
      <c r="H12" s="609"/>
      <c r="I12" s="610"/>
      <c r="J12" s="776" t="s">
        <v>657</v>
      </c>
      <c r="K12" s="786">
        <f>IF(idsreag=P11,Q11,idagente)</f>
        <v>5343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081">
        <f ca="1">YEAR(TODAY())</f>
        <v>2022</v>
      </c>
      <c r="D13" s="266"/>
      <c r="E13" s="611"/>
      <c r="F13" s="612" t="s">
        <v>659</v>
      </c>
      <c r="G13" s="613">
        <v>44762.49050925926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44407</v>
      </c>
      <c r="D14" s="266"/>
      <c r="E14" s="611"/>
      <c r="F14" s="612" t="s">
        <v>662</v>
      </c>
      <c r="G14" s="613">
        <v>44762.491342592592</v>
      </c>
      <c r="H14" s="609"/>
      <c r="I14" s="9"/>
      <c r="J14" s="775" t="s">
        <v>663</v>
      </c>
      <c r="K14" s="1080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44772</v>
      </c>
      <c r="D15" s="266"/>
      <c r="E15" s="611"/>
      <c r="F15" s="612" t="s">
        <v>665</v>
      </c>
      <c r="G15" s="613">
        <v>44755.597627314812</v>
      </c>
      <c r="H15" s="614"/>
      <c r="I15" s="9"/>
      <c r="J15" s="584" t="s">
        <v>666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44378</v>
      </c>
      <c r="D16" s="266"/>
      <c r="E16" s="611"/>
      <c r="F16" s="612" t="s">
        <v>667</v>
      </c>
      <c r="G16" s="613">
        <v>44755.483182870368</v>
      </c>
      <c r="H16" s="1082"/>
      <c r="I16" s="9"/>
      <c r="J16" s="584" t="s">
        <v>668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44713</v>
      </c>
      <c r="D17" s="266"/>
      <c r="E17" s="611"/>
      <c r="F17" s="612" t="s">
        <v>669</v>
      </c>
      <c r="G17" s="613">
        <v>44755.483414351853</v>
      </c>
      <c r="H17" s="9"/>
      <c r="I17" s="375"/>
      <c r="J17" s="584" t="s">
        <v>670</v>
      </c>
      <c r="K17" s="1083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53" t="str">
        <f ca="1">C110</f>
        <v>REVISÃO</v>
      </c>
      <c r="D18" s="266"/>
      <c r="E18" s="611"/>
      <c r="F18" s="612" t="s">
        <v>2301</v>
      </c>
      <c r="G18" s="613"/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5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6"/>
      <c r="D26" s="1084"/>
      <c r="E26" s="1085"/>
      <c r="F26" s="1086"/>
      <c r="G26" s="1087"/>
      <c r="H26" s="1084"/>
      <c r="I26" s="1084"/>
      <c r="J26" s="1084"/>
      <c r="K26" s="1088"/>
      <c r="L26" s="1089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36" t="s">
        <v>2306</v>
      </c>
      <c r="D28" s="1736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5" t="s">
        <v>678</v>
      </c>
      <c r="G29" s="775"/>
      <c r="H29" s="1090">
        <v>9.7000000000000003E-2</v>
      </c>
      <c r="I29" s="9"/>
      <c r="J29" s="775" t="s">
        <v>679</v>
      </c>
      <c r="K29" s="1091">
        <f>BD!C26</f>
        <v>42767969.536457799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6" t="s">
        <v>680</v>
      </c>
      <c r="G30" s="776"/>
      <c r="H30" s="1092"/>
      <c r="I30" s="9"/>
      <c r="J30" s="584" t="s">
        <v>681</v>
      </c>
      <c r="K30" s="598">
        <f>IFERROR(VLOOKUP(LnkTXTSigla,Informacoes[],17,FALSE)*(1+K18),0)</f>
        <v>47785171.072514139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39" t="s">
        <v>682</v>
      </c>
      <c r="C31" s="1739"/>
      <c r="D31" s="809"/>
      <c r="E31" s="9"/>
      <c r="F31" s="1093"/>
      <c r="G31" s="1093"/>
      <c r="H31" s="1094"/>
      <c r="I31" s="9"/>
      <c r="J31" s="776" t="s">
        <v>683</v>
      </c>
      <c r="K31" s="1095">
        <f>D32+D33+D34</f>
        <v>47785171.07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96" t="s">
        <v>686</v>
      </c>
      <c r="C32" s="1096"/>
      <c r="D32" s="820">
        <v>25052847.16</v>
      </c>
      <c r="E32" s="9"/>
      <c r="F32" s="1097" t="s">
        <v>687</v>
      </c>
      <c r="G32" s="1098"/>
      <c r="H32" s="1098"/>
      <c r="I32" s="9"/>
      <c r="J32" s="775" t="s">
        <v>688</v>
      </c>
      <c r="K32" s="1099">
        <f ca="1">VLOOKUP(C9,Informacoes[],30,FALSE)*(VLOOKUP(DATE(AnoRefTar,MONTH(M32)-1,1),Índices!B6:F500,3,FALSE)/VLOOKUP(DATE(YEAR(M32),MONTH(L32)-1,1),Índices!B6:F500,3,FALSE))</f>
        <v>29299244.538198307</v>
      </c>
      <c r="L32" s="17">
        <f>VLOOKUP(C9,Informacoes[],31,FALSE)</f>
        <v>43209</v>
      </c>
      <c r="M32" s="850">
        <f>VLOOKUP(C9,Informacoes[],32,FALSE)</f>
        <v>43270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96" t="s">
        <v>689</v>
      </c>
      <c r="C33" s="1096"/>
      <c r="D33" s="821">
        <v>22732323.91</v>
      </c>
      <c r="E33" s="9"/>
      <c r="F33" s="584" t="s">
        <v>690</v>
      </c>
      <c r="G33" s="584"/>
      <c r="H33" s="500"/>
      <c r="I33" s="9"/>
      <c r="J33" s="776" t="s">
        <v>691</v>
      </c>
      <c r="K33" s="1100">
        <f ca="1">LnkTXTISubvencaoPB/12</f>
        <v>2441603.7115165256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01"/>
      <c r="C34" s="1101"/>
      <c r="D34" s="1102"/>
      <c r="E34" s="9"/>
      <c r="F34" s="776" t="s">
        <v>692</v>
      </c>
      <c r="G34" s="776"/>
      <c r="H34" s="1103"/>
      <c r="I34" s="9"/>
      <c r="J34" s="775" t="s">
        <v>693</v>
      </c>
      <c r="K34" s="1104">
        <f>LinkTXTPR</f>
        <v>0.11088586848758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05"/>
      <c r="E35" s="9"/>
      <c r="F35" s="600"/>
      <c r="G35" s="1106"/>
      <c r="H35" s="475"/>
      <c r="I35" s="9"/>
      <c r="J35" s="584" t="s">
        <v>694</v>
      </c>
      <c r="K35" s="599">
        <f ca="1">IFERROR(Energia!L20/((Energia!L5+Energia!L6-Energia!L7+Energia!M16)+Energia!L20),0)</f>
        <v>9.728270491000747E-2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9"/>
      <c r="D36" s="822"/>
      <c r="E36" s="9"/>
      <c r="F36" s="600"/>
      <c r="G36" s="600"/>
      <c r="H36" s="475"/>
      <c r="I36" s="9"/>
      <c r="J36" s="776" t="s">
        <v>695</v>
      </c>
      <c r="K36" s="1107">
        <f ca="1">IFERROR(LNKTXTPercperdas,0)</f>
        <v>9.6999687647931793E-2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91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29" t="s">
        <v>697</v>
      </c>
      <c r="G39" s="1729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30" t="s">
        <v>698</v>
      </c>
      <c r="G40" s="1730"/>
      <c r="H40" s="592"/>
      <c r="I40" s="9"/>
      <c r="J40" s="1717" t="str">
        <f ca="1">"Variação processo anterior e "&amp;AnoRevRea</f>
        <v>Variação processo anterior e 2022</v>
      </c>
      <c r="K40" s="1717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08">
        <f>BD!C5</f>
        <v>86134.504999999903</v>
      </c>
      <c r="E41" s="9"/>
      <c r="F41" s="1721" t="s">
        <v>700</v>
      </c>
      <c r="G41" s="1721"/>
      <c r="H41" s="1109">
        <f>LinkTXTPR</f>
        <v>0.11088586848758</v>
      </c>
      <c r="I41" s="9"/>
      <c r="J41" s="589" t="s">
        <v>699</v>
      </c>
      <c r="K41" s="1110">
        <f ca="1">IFERROR(Calc_Mercado!J15,0)</f>
        <v>7.2180364883969839E-2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197673.645121712</v>
      </c>
      <c r="E42" s="9"/>
      <c r="F42" s="1722" t="s">
        <v>701</v>
      </c>
      <c r="G42" s="1722"/>
      <c r="H42" s="593">
        <f>SUM(H43:H44)</f>
        <v>0</v>
      </c>
      <c r="I42" s="9"/>
      <c r="J42" s="584" t="s">
        <v>40</v>
      </c>
      <c r="K42" s="1110">
        <f ca="1">LnkTxtVarTFSEE</f>
        <v>5.6987458081235953E-2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5059594.8226600001</v>
      </c>
      <c r="E43" s="9"/>
      <c r="F43" s="1722" t="s">
        <v>702</v>
      </c>
      <c r="G43" s="1722"/>
      <c r="H43" s="593">
        <f>VLOOKUP(B2,Informacoes[#Data],25,FALSE)</f>
        <v>0</v>
      </c>
      <c r="I43" s="9"/>
      <c r="J43" s="584" t="s">
        <v>41</v>
      </c>
      <c r="K43" s="591">
        <f ca="1">LnkTxtVarCDE</f>
        <v>0.47277708031830712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18" t="s">
        <v>263</v>
      </c>
      <c r="G44" s="1718"/>
      <c r="H44" s="1111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0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800079.28643999901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0.51384274612459424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2170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5" t="s">
        <v>704</v>
      </c>
      <c r="C49" s="775"/>
      <c r="D49" s="1112">
        <f>BD!C18</f>
        <v>0</v>
      </c>
      <c r="E49" s="9"/>
      <c r="F49" s="718" t="s">
        <v>705</v>
      </c>
      <c r="G49" s="720"/>
      <c r="I49" s="400"/>
      <c r="J49" s="775" t="s">
        <v>704</v>
      </c>
      <c r="K49" s="1110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0</v>
      </c>
      <c r="E50" s="9"/>
      <c r="I50" s="400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6" t="s">
        <v>707</v>
      </c>
      <c r="C51" s="776"/>
      <c r="D51" s="1113"/>
      <c r="E51" s="9"/>
      <c r="I51" s="9"/>
      <c r="J51" s="776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14">
        <f>BD!C25</f>
        <v>12160512.7984225</v>
      </c>
      <c r="E52" s="9"/>
      <c r="F52" s="9"/>
      <c r="G52" s="9"/>
      <c r="H52" s="9"/>
      <c r="I52" s="9"/>
      <c r="J52" s="589" t="s">
        <v>708</v>
      </c>
      <c r="K52" s="594">
        <f ca="1">Resultado!F32</f>
        <v>0.14542340842173873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14">
        <f>BD!C26</f>
        <v>42767969.536457799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15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16" t="s">
        <v>270</v>
      </c>
      <c r="C58" s="1117"/>
      <c r="D58" s="805"/>
      <c r="E58" s="1735">
        <v>0</v>
      </c>
      <c r="F58" s="1735"/>
      <c r="G58" s="381"/>
      <c r="L58" s="792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3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71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737" t="s">
        <v>717</v>
      </c>
      <c r="F62" s="1738"/>
      <c r="G62" s="748" t="s">
        <v>718</v>
      </c>
      <c r="H62" s="749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759">
        <v>0</v>
      </c>
      <c r="D63" s="759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23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24"/>
      <c r="G63" s="759">
        <f>IFERROR(VLOOKUP(B63,transmissorapiscofins[#All],2,FALSE),0)</f>
        <v>0</v>
      </c>
      <c r="H63" s="760"/>
      <c r="I63" s="9" t="s">
        <v>2321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765">
        <v>0</v>
      </c>
      <c r="D64" s="765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25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26"/>
      <c r="G64" s="765">
        <f>IFERROR(VLOOKUP(B64,transmissorapiscofins[#All],2,FALSE),0)</f>
        <v>0</v>
      </c>
      <c r="H64" s="751">
        <f>SUMIF(BD!$A$41:$A$57,B64,BD!$C$41:$C$57)</f>
        <v>0</v>
      </c>
      <c r="I64" s="9"/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766">
        <f>IF($C$113="Não",SUMIFS(Faturas!H:H,Faturas!A:A,$K$12,Faturas!G:G,"PisConfins",Faturas!F:F,YEAR(CAPA!B65)*100+MONTH(CAPA!B65)),IF(B65&lt;$C$114,0,SUMIFS(Faturas!H:H,Faturas!A:A,$K$12,Faturas!G:G,"PisConfins",Faturas!F:F,YEAR(CAPA!B65)*100+MONTH(CAPA!B65))))-143601.89</f>
        <v>106076.78999999998</v>
      </c>
      <c r="D65" s="766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27">
        <v>0</v>
      </c>
      <c r="F65" s="1728"/>
      <c r="G65" s="766">
        <f>IFERROR(VLOOKUP(B65,transmissorapiscofins[#All],2,FALSE),0)</f>
        <v>0</v>
      </c>
      <c r="H65" s="774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7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149965.02000000002</v>
      </c>
      <c r="D66" s="768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19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-22996.390000000003</v>
      </c>
      <c r="F66" s="1720"/>
      <c r="G66" s="768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7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165982.99</v>
      </c>
      <c r="D67" s="767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33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-5054.17</v>
      </c>
      <c r="F67" s="1734"/>
      <c r="G67" s="767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69"/>
      <c r="N67" s="773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7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165289.4</v>
      </c>
      <c r="D68" s="767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33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-33283.06</v>
      </c>
      <c r="F68" s="1734"/>
      <c r="G68" s="767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7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191427.09</v>
      </c>
      <c r="D69" s="767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33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-31501.03</v>
      </c>
      <c r="F69" s="1734"/>
      <c r="G69" s="767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7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198995.82</v>
      </c>
      <c r="D70" s="767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33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-63112.78</v>
      </c>
      <c r="F70" s="1734"/>
      <c r="G70" s="767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7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136755.35999999999</v>
      </c>
      <c r="D71" s="767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33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-3544.91</v>
      </c>
      <c r="F71" s="1734"/>
      <c r="G71" s="767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7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28323.42</v>
      </c>
      <c r="D72" s="767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33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-224425.97999999998</v>
      </c>
      <c r="F72" s="1734"/>
      <c r="G72" s="767">
        <f>IFERROR(VLOOKUP(B72,transmissorapiscofins[#All],2,FALSE),0)</f>
        <v>0</v>
      </c>
      <c r="H72" s="751">
        <f>SUMIF(BD!$A$41:$A$57,B72,BD!$C$41:$C$57)</f>
        <v>0</v>
      </c>
      <c r="J72" s="487" t="s">
        <v>720</v>
      </c>
      <c r="K72" s="487" t="s">
        <v>721</v>
      </c>
      <c r="L72" s="607" t="s">
        <v>721</v>
      </c>
      <c r="M72" s="607" t="s">
        <v>722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7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66341.36</v>
      </c>
      <c r="D73" s="767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33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-164248.04</v>
      </c>
      <c r="F73" s="1734"/>
      <c r="G73" s="767">
        <f>IFERROR(VLOOKUP(B73,transmissorapiscofins[#All],2,FALSE),0)</f>
        <v>0</v>
      </c>
      <c r="H73" s="751">
        <f>SUMIF(BD!$A$41:$A$57,B73,BD!$C$41:$C$57)</f>
        <v>0</v>
      </c>
      <c r="J73" s="1118" t="str">
        <f ca="1">IFERROR(VLOOKUP(TRUE,BD!D41:F56,3,FALSE),"todos os meses")</f>
        <v>todos os meses</v>
      </c>
      <c r="K73" s="1119" t="s">
        <v>723</v>
      </c>
      <c r="L73" s="1120">
        <f ca="1">IF(Energia!F23*2/3=0,0.0000001,Energia!F23*2/3)</f>
        <v>15600681.324841129</v>
      </c>
      <c r="M73" s="1121">
        <f ca="1">IFERROR(-LnkTXTBandeira/Energia!F23," ")</f>
        <v>3.1998644179922944E-2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7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239055.59999999998</v>
      </c>
      <c r="D74" s="767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33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-75792.05</v>
      </c>
      <c r="F74" s="1734"/>
      <c r="G74" s="767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7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216163.43</v>
      </c>
      <c r="D75" s="767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33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-77764.28</v>
      </c>
      <c r="F75" s="1734"/>
      <c r="G75" s="767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7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168551.81</v>
      </c>
      <c r="D76" s="767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33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-12200.33</v>
      </c>
      <c r="F76" s="1734"/>
      <c r="G76" s="767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9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6347.33</v>
      </c>
      <c r="D77" s="88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31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32"/>
      <c r="G77" s="881">
        <f>IFERROR(VLOOKUP(B77,transmissorapiscofins[#All],2,FALSE),0)</f>
        <v>0</v>
      </c>
      <c r="H77" s="870">
        <f>SUMIF(BD!$A$41:$A$57,B77,BD!$C$41:$C$57)</f>
        <v>741274.69830000005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B79" s="381">
        <v>249678.68</v>
      </c>
      <c r="C79" s="381">
        <v>-143601.89000000001</v>
      </c>
      <c r="F79" s="531"/>
      <c r="G79" s="532"/>
      <c r="H79" s="533"/>
      <c r="I79" s="527"/>
      <c r="J79" s="527"/>
      <c r="K79" s="528"/>
      <c r="L79" s="794"/>
      <c r="M79" s="772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724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3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5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725</v>
      </c>
      <c r="C82" s="1122" t="str">
        <f>H5</f>
        <v xml:space="preserve"> 48500.004968/2021-33</v>
      </c>
      <c r="D82" s="1123"/>
      <c r="E82" s="1123"/>
      <c r="F82" s="1123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5" t="s">
        <v>726</v>
      </c>
      <c r="C83" s="1124">
        <f>VLOOKUP(LnkTXTSigla,Informacoes[],23,FALSE)</f>
        <v>2913</v>
      </c>
      <c r="D83" s="1125"/>
      <c r="E83" s="1125"/>
      <c r="F83" s="1125"/>
      <c r="G83" s="381"/>
      <c r="H83" s="568"/>
      <c r="I83" s="788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727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5" t="s">
        <v>728</v>
      </c>
      <c r="C85" s="1126"/>
      <c r="D85" s="1127"/>
      <c r="E85" s="1127"/>
      <c r="F85" s="1127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729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6" t="s">
        <v>730</v>
      </c>
      <c r="C87" s="1128"/>
      <c r="D87" s="1129"/>
      <c r="E87" s="1129"/>
      <c r="F87" s="1129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731</v>
      </c>
      <c r="C88" s="620">
        <f>VLOOKUP(LnkTXTSigla,Informacoes[],20,FALSE)</f>
        <v>43831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732</v>
      </c>
      <c r="C89" s="620" t="str">
        <f>VLOOKUP(LnkTXTSigla,Informacoes[],21,FALSE)</f>
        <v>30 de julho de 2020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733</v>
      </c>
      <c r="C90" s="622" t="str">
        <f>Q3</f>
        <v>Cooperativa de Eletrificação Centro Jacuí Ltda. - CELETRO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734</v>
      </c>
      <c r="C91" s="622" t="str">
        <f>C9</f>
        <v>Celetro</v>
      </c>
      <c r="D91" s="540"/>
      <c r="E91" s="541"/>
      <c r="F91" s="540"/>
      <c r="H91" s="788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735</v>
      </c>
      <c r="C92" s="620" t="str">
        <f>D92&amp;" - "&amp;E92</f>
        <v>Jacuí - RS</v>
      </c>
      <c r="D92" s="542" t="str">
        <f>VLOOKUP(LnkTXTSigla,Informacoes[],6,FALSE)</f>
        <v>Jacuí</v>
      </c>
      <c r="E92" s="542" t="str">
        <f>VLOOKUP(LnkTXTSigla,Informacoes[],7,FALSE)</f>
        <v>RS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736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737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738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739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740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741</v>
      </c>
      <c r="C99" s="619">
        <f ca="1">IF(P1="verdadeiro",K36,H41)</f>
        <v>9.6999687647931793E-2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742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743</v>
      </c>
      <c r="C102" s="627">
        <f ca="1">Resultado!D33</f>
        <v>23401021.987261694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744</v>
      </c>
      <c r="C103" s="627">
        <f>Resultado!D32</f>
        <v>14682368.972575199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745</v>
      </c>
      <c r="C104" s="627">
        <f>SUM(Resultado!D25:D29)</f>
        <v>0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746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747</v>
      </c>
      <c r="C106" s="628">
        <f>ROUND(Calc_Mercado!J18/1000,0)</f>
        <v>24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748</v>
      </c>
      <c r="C107" s="628">
        <f ca="1">ROUND(Mercado_RA0_Reais/1000000,0)</f>
        <v>90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>RGE</v>
      </c>
      <c r="D108" s="540"/>
      <c r="E108" s="540" t="str">
        <f>VLOOKUP(LnkTXTSigla,Informacoes[],11,FALSE)</f>
        <v>Nova Palma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6" t="s">
        <v>248</v>
      </c>
      <c r="C109" s="1130" t="str">
        <f>IF(E109=0,"!vazio!"," e "&amp;E109)</f>
        <v xml:space="preserve"> e Nova Palma</v>
      </c>
      <c r="D109" s="1131" t="str">
        <f>IF(Energia!B29=Energia!B28,IF(Energia!B30=Energia!B28,Energia!B31,Energia!B29),Energia!B29)</f>
        <v>NOVA PALMA ENERGIA LTDA</v>
      </c>
      <c r="E109" s="1131" t="str">
        <f>VLOOKUP(LnkTXTSigla,Informacoes[],11,FALSE)</f>
        <v>Nova Palma</v>
      </c>
      <c r="F109" s="1131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6" t="s">
        <v>749</v>
      </c>
      <c r="C110" s="1130" t="str">
        <f ca="1">IF(AnoRevRea=VLOOKUP(LnkTXTSigla,Informacoes[],22,FALSE),"REVISÃO","REAJUSTE")</f>
        <v>REVISÃO</v>
      </c>
      <c r="D110" s="1131"/>
      <c r="E110" s="1131"/>
      <c r="F110" s="1131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6" t="s">
        <v>750</v>
      </c>
      <c r="C111" s="1130" t="str">
        <f ca="1">IF(C110="Reajuste", "Reajuste Tarifário Anual - RTA", "Revisão Tarifária Periódica - RTP")</f>
        <v>Revisão Tarifária Periódica - RTP</v>
      </c>
      <c r="D111" s="1130"/>
      <c r="E111" s="1130"/>
      <c r="F111" s="1130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6" t="s">
        <v>751</v>
      </c>
      <c r="C112" s="780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0"/>
      <c r="E112" s="780"/>
      <c r="F112" s="780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5" t="s">
        <v>752</v>
      </c>
      <c r="C113" s="778" t="str">
        <f>VLOOKUP(C9,Informacoes[],37,FALSE)</f>
        <v xml:space="preserve">sim </v>
      </c>
      <c r="D113" s="778"/>
      <c r="E113" s="778"/>
      <c r="F113" s="778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6" t="s">
        <v>753</v>
      </c>
      <c r="C114" s="779">
        <f>VLOOKUP(C9,Informacoes[],38,FALSE)</f>
        <v>44105</v>
      </c>
      <c r="D114" s="779"/>
      <c r="E114" s="779"/>
      <c r="F114" s="779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754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32" t="s">
        <v>238</v>
      </c>
      <c r="C119" s="1132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33" t="str">
        <f>LnkTXTSigla</f>
        <v>Celetro</v>
      </c>
      <c r="C120" s="1134" t="str">
        <f>LnkTXTSuprid1</f>
        <v>RGE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B7" zoomScale="70" zoomScaleNormal="70" workbookViewId="0">
      <selection activeCell="J13" sqref="J13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4" width="21.5703125" style="68" bestFit="1" customWidth="1"/>
    <col min="5" max="5" width="12.85546875" style="68" customWidth="1"/>
    <col min="6" max="6" width="15.5703125" style="68" bestFit="1" customWidth="1"/>
    <col min="7" max="7" width="14.28515625" style="68" bestFit="1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35" t="s">
        <v>755</v>
      </c>
      <c r="C1" s="1136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Celetro - REVISÃO 2022</v>
      </c>
      <c r="C2" s="70"/>
      <c r="D2" s="70"/>
      <c r="E2" s="70"/>
      <c r="F2" s="70"/>
      <c r="G2" s="75"/>
      <c r="H2" s="381" t="s">
        <v>756</v>
      </c>
      <c r="I2" s="688">
        <v>44762.658773148149</v>
      </c>
      <c r="K2" s="723" t="s">
        <v>757</v>
      </c>
      <c r="L2" s="724"/>
    </row>
    <row r="3" spans="1:15" ht="16.5" customHeight="1">
      <c r="A3" s="139"/>
      <c r="B3" s="1043" t="s">
        <v>758</v>
      </c>
      <c r="C3" s="824"/>
      <c r="D3" s="75"/>
      <c r="E3" s="75"/>
      <c r="F3" s="75"/>
      <c r="G3" s="75"/>
      <c r="H3" s="689" t="s">
        <v>759</v>
      </c>
      <c r="I3" s="689">
        <v>13</v>
      </c>
      <c r="K3" s="725" t="s">
        <v>760</v>
      </c>
      <c r="L3" s="686">
        <v>0.1122626795192927</v>
      </c>
    </row>
    <row r="4" spans="1:15" ht="16.5">
      <c r="A4" s="139"/>
      <c r="G4" s="75"/>
      <c r="J4" s="9"/>
      <c r="K4" s="725" t="s">
        <v>761</v>
      </c>
      <c r="L4" s="686">
        <v>0.13694105402149548</v>
      </c>
    </row>
    <row r="5" spans="1:15" ht="16.5" customHeight="1">
      <c r="A5" s="139"/>
      <c r="B5" s="1137" t="s">
        <v>762</v>
      </c>
      <c r="C5" s="1138">
        <f ca="1">D39+D34</f>
        <v>95355559.377266869</v>
      </c>
      <c r="D5" s="144"/>
      <c r="E5" s="79"/>
      <c r="G5" s="75"/>
      <c r="H5" s="687"/>
      <c r="J5" s="275"/>
      <c r="K5" s="726" t="s">
        <v>763</v>
      </c>
      <c r="L5" s="694">
        <v>0.13229106125529899</v>
      </c>
    </row>
    <row r="6" spans="1:15" ht="16.5" customHeight="1">
      <c r="A6" s="139"/>
      <c r="B6" s="76" t="s">
        <v>764</v>
      </c>
      <c r="C6" s="77">
        <f ca="1">Mercado_RA0_Reais</f>
        <v>89594590.976749957</v>
      </c>
      <c r="D6" s="77"/>
      <c r="E6" s="484"/>
      <c r="F6" s="75"/>
      <c r="G6" s="140"/>
      <c r="H6" s="81"/>
      <c r="J6" s="275"/>
      <c r="K6" s="727" t="s">
        <v>765</v>
      </c>
      <c r="L6" s="728">
        <v>739.78</v>
      </c>
      <c r="M6" s="79"/>
    </row>
    <row r="7" spans="1:15" ht="16.5" customHeight="1">
      <c r="A7" s="139"/>
      <c r="B7" s="1139" t="str">
        <f>IF(CAPA!P1="FALSO","IRT Economico","Variação econômica")</f>
        <v>Variação econômica</v>
      </c>
      <c r="C7" s="1140">
        <f ca="1">ROUND((C5/C6-1),4)</f>
        <v>6.4299999999999996E-2</v>
      </c>
      <c r="D7" s="501"/>
      <c r="E7" s="75"/>
      <c r="F7" s="75"/>
      <c r="G7" s="75"/>
      <c r="H7" s="81"/>
      <c r="K7" s="49" t="s">
        <v>766</v>
      </c>
      <c r="L7" s="1015">
        <f>L6/'Tabelas e Gráficos'!U39-1</f>
        <v>9.1169225776951857E-2</v>
      </c>
    </row>
    <row r="8" spans="1:15" ht="16.5" customHeight="1">
      <c r="A8" s="139"/>
      <c r="B8" s="78" t="s">
        <v>767</v>
      </c>
      <c r="C8" s="257">
        <f ca="1">ROUND(Financeiros!E7,4)</f>
        <v>-0.30880000000000002</v>
      </c>
      <c r="D8" s="502"/>
      <c r="E8" s="75"/>
      <c r="F8" s="499"/>
      <c r="G8" s="75"/>
      <c r="H8" s="81"/>
      <c r="K8" s="729" t="s">
        <v>768</v>
      </c>
      <c r="L8" s="730" t="s">
        <v>2175</v>
      </c>
      <c r="M8" s="690" t="s">
        <v>770</v>
      </c>
    </row>
    <row r="9" spans="1:15" ht="16.5" customHeight="1">
      <c r="A9" s="139"/>
      <c r="B9" s="1141" t="str">
        <f>IF(CAPA!P1="FALSO","IRT Economico e Financeiro","Variação econômica e financeira")</f>
        <v>Variação econômica e financeira</v>
      </c>
      <c r="C9" s="1142">
        <f ca="1">ROUND((C7+C8),5)</f>
        <v>-0.2445</v>
      </c>
      <c r="D9" s="501"/>
      <c r="E9" s="501"/>
      <c r="F9" s="75"/>
      <c r="G9" s="75"/>
      <c r="K9" s="725" t="s">
        <v>771</v>
      </c>
      <c r="L9" s="731">
        <f>Aj.Subsídio!G28*12</f>
        <v>0</v>
      </c>
      <c r="M9" s="731">
        <v>197940.51084737276</v>
      </c>
    </row>
    <row r="10" spans="1:15" ht="16.5" customHeight="1">
      <c r="A10" s="139"/>
      <c r="B10" s="1141" t="s">
        <v>772</v>
      </c>
      <c r="C10" s="1142">
        <f ca="1">ROUND((LnkTXTEfeito-LnkTXTIRTTotal),4)</f>
        <v>0.37680000000000002</v>
      </c>
      <c r="D10" s="734">
        <f ca="1">LnKTxTRA1+Financeiros!D5</f>
        <v>67686748.423709333</v>
      </c>
      <c r="E10" s="75"/>
      <c r="F10" s="75"/>
      <c r="G10" s="75"/>
      <c r="K10" s="725" t="s">
        <v>773</v>
      </c>
      <c r="L10" s="731">
        <f>Aj.Subsídio!G29*12</f>
        <v>0</v>
      </c>
      <c r="M10" s="731">
        <v>0</v>
      </c>
    </row>
    <row r="11" spans="1:15" ht="16.5" customHeight="1">
      <c r="A11" s="139"/>
      <c r="B11" s="1043" t="s">
        <v>774</v>
      </c>
      <c r="C11" s="824"/>
      <c r="D11" s="1143"/>
      <c r="E11" s="1143"/>
      <c r="F11" s="1143"/>
      <c r="G11" s="75"/>
      <c r="K11" s="725" t="s">
        <v>775</v>
      </c>
      <c r="L11" s="731">
        <f>Aj.Subsídio!G30*12</f>
        <v>0</v>
      </c>
      <c r="M11" s="731">
        <v>0</v>
      </c>
    </row>
    <row r="12" spans="1:15" ht="16.5" customHeight="1">
      <c r="E12" s="1144"/>
      <c r="F12" s="1144"/>
      <c r="K12" s="725" t="s">
        <v>776</v>
      </c>
      <c r="L12" s="731">
        <f>Aj.Subsídio!G31*12</f>
        <v>35502.120000000003</v>
      </c>
      <c r="M12" s="731">
        <v>22484.089928273901</v>
      </c>
      <c r="O12" s="896"/>
    </row>
    <row r="13" spans="1:15" ht="15" customHeight="1">
      <c r="B13" s="1145"/>
      <c r="C13" s="1146" t="s">
        <v>769</v>
      </c>
      <c r="D13" s="1147" t="s">
        <v>770</v>
      </c>
      <c r="E13" s="1146" t="s">
        <v>777</v>
      </c>
      <c r="F13" s="1145" t="s">
        <v>778</v>
      </c>
      <c r="K13" s="725" t="s">
        <v>779</v>
      </c>
      <c r="L13" s="731">
        <f>Aj.Subsídio!G32*12</f>
        <v>3772701.24</v>
      </c>
      <c r="M13" s="731">
        <v>2160693.0765542602</v>
      </c>
      <c r="O13" s="896"/>
    </row>
    <row r="14" spans="1:15" ht="14.25">
      <c r="B14" s="1148" t="s">
        <v>780</v>
      </c>
      <c r="C14" s="1149">
        <f ca="1">SUM(C15:C23)</f>
        <v>6477642.7304938613</v>
      </c>
      <c r="D14" s="1150">
        <f ca="1">SUM(D15:D23)</f>
        <v>9486997.3474299759</v>
      </c>
      <c r="E14" s="1151">
        <f t="shared" ref="E14:E34" ca="1" si="0">(D14-C14)/LnkTXTRA0</f>
        <v>3.3588574758012461E-2</v>
      </c>
      <c r="F14" s="1152">
        <f ca="1">IF(ISERROR(D14/C14-1),"-",D14/C14-1)</f>
        <v>0.46457557820677753</v>
      </c>
      <c r="G14" s="292"/>
      <c r="H14" s="101"/>
      <c r="K14" s="725" t="s">
        <v>781</v>
      </c>
      <c r="L14" s="731">
        <f>Aj.Subsídio!G33*12</f>
        <v>757170.48</v>
      </c>
      <c r="M14" s="731">
        <v>858939.83875974338</v>
      </c>
      <c r="O14" s="896"/>
    </row>
    <row r="15" spans="1:15" ht="14.25" hidden="1">
      <c r="B15" s="78" t="s">
        <v>782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7"/>
      <c r="M15" s="49"/>
    </row>
    <row r="16" spans="1:15" ht="14.25" hidden="1">
      <c r="B16" s="78" t="s">
        <v>783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7"/>
    </row>
    <row r="17" spans="2:14" ht="14.25">
      <c r="B17" s="78" t="s">
        <v>784</v>
      </c>
      <c r="C17" s="225">
        <f ca="1">Mercado_Faturado_Encargo_TFSEE_BRUTO</f>
        <v>212284.91908248374</v>
      </c>
      <c r="D17" s="133">
        <f ca="1">Encargos!C6</f>
        <v>224382.49700997537</v>
      </c>
      <c r="E17" s="223">
        <f t="shared" ca="1" si="0"/>
        <v>1.3502576210913203E-4</v>
      </c>
      <c r="F17" s="258">
        <f t="shared" ca="1" si="1"/>
        <v>5.6987458081235953E-2</v>
      </c>
      <c r="G17" s="292"/>
    </row>
    <row r="18" spans="2:14" ht="14.25">
      <c r="B18" s="78" t="s">
        <v>785</v>
      </c>
      <c r="C18" s="226">
        <f ca="1">Mercado_Faturado_Encargo_CDE_BRUTO</f>
        <v>5409668.1473058127</v>
      </c>
      <c r="D18" s="227">
        <f ca="1">Encargos!C7</f>
        <v>7967235.2594800005</v>
      </c>
      <c r="E18" s="224">
        <f t="shared" ca="1" si="0"/>
        <v>2.8545999086461406E-2</v>
      </c>
      <c r="F18" s="258">
        <f t="shared" ca="1" si="1"/>
        <v>0.47277708031830712</v>
      </c>
      <c r="G18" s="292"/>
      <c r="H18" s="142"/>
      <c r="K18" s="49" t="s">
        <v>786</v>
      </c>
      <c r="L18" s="732">
        <v>44762.688738425924</v>
      </c>
      <c r="M18" s="49"/>
      <c r="N18" s="631"/>
    </row>
    <row r="19" spans="2:14" ht="16.5" hidden="1" customHeight="1">
      <c r="B19" s="78" t="s">
        <v>2192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787</v>
      </c>
      <c r="L19" s="725"/>
      <c r="M19" s="725"/>
      <c r="N19" s="295"/>
    </row>
    <row r="20" spans="2:14" ht="14.25" hidden="1">
      <c r="B20" s="78" t="s">
        <v>788</v>
      </c>
      <c r="C20" s="225">
        <f ca="1">Mercado_Faturado_Encargo_ESSERR_BRUTO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5" t="s">
        <v>789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855689.66410556505</v>
      </c>
      <c r="D21" s="133">
        <f ca="1">Encargos!C10</f>
        <v>1295379.5909400003</v>
      </c>
      <c r="E21" s="223">
        <f t="shared" ca="1" si="0"/>
        <v>4.9075499094419208E-3</v>
      </c>
      <c r="F21" s="258">
        <f t="shared" ca="1" si="1"/>
        <v>0.51384274612459424</v>
      </c>
      <c r="G21" s="292"/>
      <c r="L21" s="198"/>
    </row>
    <row r="22" spans="2:14" ht="14.25" hidden="1">
      <c r="B22" s="78" t="s">
        <v>790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 hidden="1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53" t="s">
        <v>791</v>
      </c>
      <c r="C24" s="1149">
        <f ca="1">SUM(C25:C32)</f>
        <v>12818289.607688224</v>
      </c>
      <c r="D24" s="1150">
        <f>SUM(D25:D32)</f>
        <v>14682368.972575199</v>
      </c>
      <c r="E24" s="1151">
        <f t="shared" ca="1" si="0"/>
        <v>2.0805713208409071E-2</v>
      </c>
      <c r="F24" s="1152">
        <f t="shared" ca="1" si="1"/>
        <v>0.14542340842173873</v>
      </c>
      <c r="G24" s="292"/>
      <c r="J24"/>
      <c r="K24" s="23"/>
      <c r="L24" s="198"/>
    </row>
    <row r="25" spans="2:14" ht="14.25" hidden="1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 hidden="1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 hidden="1">
      <c r="B27" s="81" t="s">
        <v>792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 hidden="1">
      <c r="B28" s="81" t="s">
        <v>793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hidden="1" customHeight="1">
      <c r="B29" s="81" t="s">
        <v>794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 hidden="1">
      <c r="B30" s="81" t="s">
        <v>795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 hidden="1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12818289.607688224</v>
      </c>
      <c r="D32" s="133">
        <f>CUSD!C3</f>
        <v>14682368.972575199</v>
      </c>
      <c r="E32" s="223">
        <f t="shared" ca="1" si="2"/>
        <v>2.0805713208409071E-2</v>
      </c>
      <c r="F32" s="259">
        <f t="shared" ca="1" si="1"/>
        <v>0.14542340842173873</v>
      </c>
      <c r="G32" s="292"/>
    </row>
    <row r="33" spans="2:8" ht="14.25">
      <c r="B33" s="1153" t="s">
        <v>120</v>
      </c>
      <c r="C33" s="1149">
        <f ca="1">SUM(Calc_Mercado!C79:C84)</f>
        <v>25502882.871836431</v>
      </c>
      <c r="D33" s="1150">
        <f ca="1">Energia!F23</f>
        <v>23401021.987261694</v>
      </c>
      <c r="E33" s="1151">
        <f t="shared" ca="1" si="0"/>
        <v>-2.3459685028532316E-2</v>
      </c>
      <c r="F33" s="1152">
        <f ca="1">IF(ISERROR(D33/C33-1),"-",D33/C33-1)</f>
        <v>-8.2416599532591728E-2</v>
      </c>
      <c r="G33" s="292"/>
    </row>
    <row r="34" spans="2:8" ht="14.25">
      <c r="B34" s="1154" t="s">
        <v>796</v>
      </c>
      <c r="C34" s="1155">
        <f ca="1">C14+C24+C33</f>
        <v>44798815.210018516</v>
      </c>
      <c r="D34" s="1156">
        <f ca="1">D33+D24+D14</f>
        <v>47570388.307266869</v>
      </c>
      <c r="E34" s="1157">
        <f t="shared" ca="1" si="0"/>
        <v>3.093460293788923E-2</v>
      </c>
      <c r="F34" s="1158">
        <f ca="1">IF(ISERROR(D34/C34-1),"-",D34/C34-1)</f>
        <v>6.1867107070915139E-2</v>
      </c>
      <c r="G34" s="292"/>
    </row>
    <row r="35" spans="2:8" ht="14.25">
      <c r="G35" s="69"/>
      <c r="H35" s="108"/>
    </row>
    <row r="36" spans="2:8" ht="14.25">
      <c r="B36" s="1043" t="s">
        <v>109</v>
      </c>
      <c r="C36" s="824"/>
      <c r="D36" s="824"/>
      <c r="E36" s="1143"/>
      <c r="F36" s="1143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769</v>
      </c>
      <c r="D38" s="691" t="s">
        <v>770</v>
      </c>
      <c r="E38" s="1159" t="s">
        <v>777</v>
      </c>
      <c r="F38" s="691" t="s">
        <v>778</v>
      </c>
      <c r="G38" s="69"/>
      <c r="H38" s="143"/>
    </row>
    <row r="39" spans="2:8" ht="15.75" customHeight="1">
      <c r="B39" s="1160" t="s">
        <v>797</v>
      </c>
      <c r="C39" s="1161">
        <f ca="1">LnkTXTRA0-C34</f>
        <v>44795775.766731441</v>
      </c>
      <c r="D39" s="1162">
        <f>IFERROR(IF(CAPA!P1="VERDADEIRO",SMALL(IF(LnkTXTPBReq=0,CAPA!K29,LnkTXTPBReq):LNKTXTLImPB,1),C39*(1+LnkTXTIPCA-CAPA!H42)),0)</f>
        <v>47785171.07</v>
      </c>
      <c r="E39" s="1163">
        <f ca="1">(D39-C39)/LnkTXTRA0</f>
        <v>3.3365801112305048E-2</v>
      </c>
      <c r="F39" s="1164">
        <f ca="1">IF(ISERROR(D39/C39-1),"-",D39/C39-1)</f>
        <v>6.6733866131384101E-2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43" t="s">
        <v>798</v>
      </c>
      <c r="C41" s="824"/>
      <c r="D41" s="824"/>
      <c r="E41" s="1143"/>
      <c r="F41" s="1143"/>
    </row>
    <row r="42" spans="2:8" ht="9" customHeight="1">
      <c r="E42" s="75"/>
      <c r="F42" s="75"/>
    </row>
    <row r="43" spans="2:8" ht="15.75" customHeight="1">
      <c r="B43" s="736"/>
      <c r="C43" s="1145" t="s">
        <v>799</v>
      </c>
      <c r="D43" s="1145" t="s">
        <v>777</v>
      </c>
      <c r="E43" s="473" t="s">
        <v>800</v>
      </c>
      <c r="F43" s="473"/>
      <c r="G43" s="473"/>
    </row>
    <row r="44" spans="2:8" ht="15.75" customHeight="1">
      <c r="B44" s="1165" t="s">
        <v>801</v>
      </c>
      <c r="C44" s="1166">
        <f ca="1">SUM(C45:C60)</f>
        <v>-27668810.953557543</v>
      </c>
      <c r="D44" s="1167">
        <f ca="1">C44/Financeiros!D4</f>
        <v>-0.30882233683881294</v>
      </c>
      <c r="E44" s="473">
        <f t="shared" ref="E44:E99" ca="1" si="3">IF(D44=0,0,1)</f>
        <v>1</v>
      </c>
      <c r="F44" s="473"/>
      <c r="G44" s="72"/>
    </row>
    <row r="45" spans="2:8" ht="15.75" customHeight="1">
      <c r="B45" s="82" t="str">
        <f>Financeiros!C9</f>
        <v>Repasse de PIS COFINS</v>
      </c>
      <c r="C45" s="459">
        <f>Financeiros!D9</f>
        <v>1964938.6301020386</v>
      </c>
      <c r="D45" s="478">
        <f ca="1">C45/Financeiros!$D$4</f>
        <v>2.1931442609207798E-2</v>
      </c>
      <c r="E45" s="473">
        <f t="shared" ca="1" si="3"/>
        <v>1</v>
      </c>
      <c r="F45" s="473"/>
      <c r="G45" s="473"/>
    </row>
    <row r="46" spans="2:8" ht="15.75" customHeight="1">
      <c r="B46" s="82" t="s">
        <v>802</v>
      </c>
      <c r="C46" s="459">
        <f ca="1">LnkTXTNeutralidade</f>
        <v>-422923.7214820254</v>
      </c>
      <c r="D46" s="478">
        <f ca="1">C46/Financeiros!$D$4</f>
        <v>-4.7204157848298595E-3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Financeiros!C23</f>
        <v>Manual de Contabilidade do Setor Elétrico</v>
      </c>
      <c r="C47" s="460">
        <f>Financeiros!D23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Financeiros!C25</f>
        <v>Ajustes Processos anteriores</v>
      </c>
      <c r="C48" s="459">
        <f>Financeiros!D25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hidden="1" customHeight="1">
      <c r="B49" s="83" t="str">
        <f>Financeiros!C26</f>
        <v>Ajuste CUST + PISCONFINS Transmissão</v>
      </c>
      <c r="C49" s="460">
        <f>Financeiros!D26</f>
        <v>0</v>
      </c>
      <c r="D49" s="478">
        <f ca="1">C49/Financeiros!$D$4</f>
        <v>0</v>
      </c>
      <c r="E49" s="473">
        <f t="shared" ca="1" si="3"/>
        <v>0</v>
      </c>
    </row>
    <row r="50" spans="2:5" ht="15.75" customHeight="1">
      <c r="B50" s="68" t="str">
        <f>Financeiros!C27</f>
        <v>Compensação DIC FIC</v>
      </c>
      <c r="C50" s="460">
        <f>Financeiros!D27</f>
        <v>-753199.52656899451</v>
      </c>
      <c r="D50" s="478">
        <f ca="1">C50/Financeiros!$D$4</f>
        <v>-8.4067522197233072E-3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-29299244.538198307</v>
      </c>
      <c r="D51" s="478">
        <f ca="1">C51/Financeiros!$D$4</f>
        <v>-0.32702023882001474</v>
      </c>
      <c r="E51" s="473">
        <f t="shared" ca="1" si="3"/>
        <v>1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-748800.9760169402</v>
      </c>
      <c r="D52" s="478">
        <f ca="1">C52/Financeiros!$D$4</f>
        <v>-8.3576582900105664E-3</v>
      </c>
      <c r="E52" s="473">
        <f t="shared" ca="1" si="3"/>
        <v>1</v>
      </c>
    </row>
    <row r="53" spans="2:5" ht="15.75" hidden="1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Financeiros!C31</f>
        <v>Repasse de ICMS</v>
      </c>
      <c r="C55" s="460">
        <f>Financeiros!D31</f>
        <v>0</v>
      </c>
      <c r="D55" s="770">
        <f ca="1">C55/Financeiros!$D$4</f>
        <v>0</v>
      </c>
      <c r="E55" s="473">
        <f t="shared" ca="1" si="3"/>
        <v>0</v>
      </c>
    </row>
    <row r="56" spans="2:5" ht="15.75" hidden="1" customHeight="1">
      <c r="B56" s="68" t="str">
        <f>Financeiros!C36</f>
        <v>Previsão de Risco Hidrologico</v>
      </c>
      <c r="C56" s="460">
        <f>Financeiros!D36</f>
        <v>0</v>
      </c>
      <c r="D56" s="478">
        <f ca="1">C56/Financeiros!$D$4</f>
        <v>0</v>
      </c>
      <c r="E56" s="473">
        <f t="shared" ca="1" si="3"/>
        <v>0</v>
      </c>
    </row>
    <row r="57" spans="2:5" ht="15.75" hidden="1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hidden="1" customHeight="1">
      <c r="B58" s="68" t="str">
        <f>Financeiros!C38</f>
        <v>Crédito de Pis Cofins sobre ICMS</v>
      </c>
      <c r="C58" s="460">
        <f>Financeiros!D38</f>
        <v>0</v>
      </c>
      <c r="D58" s="478">
        <f ca="1">C58/Financeiros!$D$4</f>
        <v>0</v>
      </c>
      <c r="E58" s="473">
        <f t="shared" ca="1" si="3"/>
        <v>0</v>
      </c>
    </row>
    <row r="59" spans="2:5" ht="15.75" customHeight="1">
      <c r="B59" s="68" t="str">
        <f>Financeiros!C39</f>
        <v>Reversão Diferimento Pis Cofins TUSD - RTA 2021</v>
      </c>
      <c r="C59" s="460">
        <f>Financeiros!D39</f>
        <v>475894.97813699069</v>
      </c>
      <c r="D59" s="478">
        <f ca="1">C59/Financeiros!$D$4</f>
        <v>5.3116485375828857E-3</v>
      </c>
      <c r="E59" s="473">
        <f t="shared" ca="1" si="3"/>
        <v>1</v>
      </c>
    </row>
    <row r="60" spans="2:5" ht="15.75" customHeight="1">
      <c r="B60" s="68" t="str">
        <f>Financeiros!C40</f>
        <v>Reversão Diferimento Pis Cofins TE - RTA 2021</v>
      </c>
      <c r="C60" s="460">
        <f>Financeiros!D40</f>
        <v>1114524.2004696932</v>
      </c>
      <c r="D60" s="478">
        <f ca="1">C60/Financeiros!$D$4</f>
        <v>1.2439637128974843E-2</v>
      </c>
      <c r="E60" s="473">
        <f t="shared" ca="1" si="3"/>
        <v>1</v>
      </c>
    </row>
    <row r="61" spans="2:5" ht="15.75" hidden="1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hidden="1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hidden="1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hidden="1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hidden="1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hidden="1" customHeight="1">
      <c r="B74" s="68" t="str">
        <f>Financeiros!C57</f>
        <v>CVE - Energia - Energia de Revenda</v>
      </c>
      <c r="C74" s="460">
        <f ca="1">Financeiros!D57</f>
        <v>0</v>
      </c>
      <c r="D74" s="478">
        <f ca="1">C74/Financeiros!$D$4</f>
        <v>0</v>
      </c>
      <c r="E74" s="473">
        <f t="shared" ca="1" si="3"/>
        <v>0</v>
      </c>
    </row>
    <row r="75" spans="2:5" ht="15.75" hidden="1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hidden="1" customHeight="1">
      <c r="B76" s="68" t="str">
        <f>Financeiros!C59</f>
        <v>CVE - Energia - Perda Técnica</v>
      </c>
      <c r="C76" s="460">
        <f ca="1">Financeiros!D59</f>
        <v>0</v>
      </c>
      <c r="D76" s="478">
        <f ca="1">C76/Financeiros!$D$4</f>
        <v>0</v>
      </c>
      <c r="E76" s="473">
        <f t="shared" ca="1" si="3"/>
        <v>0</v>
      </c>
    </row>
    <row r="77" spans="2:5" ht="15.75" hidden="1" customHeight="1">
      <c r="B77" s="68" t="str">
        <f>Financeiros!C60</f>
        <v>CVE - Energia -  Perda de RB sobre a distribuição</v>
      </c>
      <c r="C77" s="460">
        <f ca="1">Financeiros!D60</f>
        <v>0</v>
      </c>
      <c r="D77" s="478">
        <f ca="1">C77/Financeiros!$D$4</f>
        <v>0</v>
      </c>
      <c r="E77" s="473">
        <f t="shared" ca="1" si="3"/>
        <v>0</v>
      </c>
    </row>
    <row r="78" spans="2:5" ht="15.75" hidden="1" customHeight="1">
      <c r="B78" s="68" t="str">
        <f>Financeiros!C61</f>
        <v>CVE - Energia -  Perda de RB sobre o mercado cativo</v>
      </c>
      <c r="C78" s="460">
        <f ca="1">Financeiros!D61</f>
        <v>0</v>
      </c>
      <c r="D78" s="478">
        <f ca="1">C78/Financeiros!$D$4</f>
        <v>0</v>
      </c>
      <c r="E78" s="473">
        <f t="shared" ca="1" si="3"/>
        <v>0</v>
      </c>
    </row>
    <row r="79" spans="2:5" ht="15.75" hidden="1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hidden="1" customHeight="1">
      <c r="B81" s="68" t="str">
        <f>Financeiros!C64</f>
        <v>CVE - Encargos - ESS/EER</v>
      </c>
      <c r="C81" s="460">
        <f>Financeiros!D64</f>
        <v>0</v>
      </c>
      <c r="D81" s="478">
        <f ca="1">C81/Financeiros!$D$4</f>
        <v>0</v>
      </c>
      <c r="E81" s="473">
        <f t="shared" ca="1" si="3"/>
        <v>0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hidden="1" customHeight="1">
      <c r="B93" s="68">
        <f>Financeiros!C76</f>
        <v>0</v>
      </c>
      <c r="C93" s="460">
        <f>Financeiros!D76</f>
        <v>0</v>
      </c>
      <c r="D93" s="478">
        <f ca="1">C93/Financeiros!$D$4</f>
        <v>0</v>
      </c>
      <c r="E93" s="473">
        <f t="shared" ca="1" si="3"/>
        <v>0</v>
      </c>
    </row>
    <row r="94" spans="2:5" ht="15.75" hidden="1" customHeight="1">
      <c r="B94" s="68">
        <f>Financeiros!C77</f>
        <v>0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hidden="1" customHeight="1">
      <c r="B95" s="68">
        <f>Financeiros!C78</f>
        <v>0</v>
      </c>
      <c r="C95" s="460">
        <f>Financeiros!D78</f>
        <v>0</v>
      </c>
      <c r="D95" s="478">
        <f ca="1">C95/Financeiros!$D$4</f>
        <v>0</v>
      </c>
      <c r="E95" s="473">
        <f t="shared" ca="1" si="3"/>
        <v>0</v>
      </c>
    </row>
    <row r="96" spans="2:5" ht="15.75" hidden="1" customHeight="1">
      <c r="B96" s="68">
        <f>Financeiros!C79</f>
        <v>0</v>
      </c>
      <c r="C96" s="460">
        <f>Financeiros!D79</f>
        <v>0</v>
      </c>
      <c r="D96" s="478">
        <f ca="1">C96/Financeiros!$D$4</f>
        <v>0</v>
      </c>
      <c r="E96" s="473">
        <f t="shared" ca="1" si="3"/>
        <v>0</v>
      </c>
    </row>
    <row r="97" spans="2:5" ht="15.75" hidden="1" customHeight="1">
      <c r="B97" s="68">
        <f>Financeiros!C80</f>
        <v>0</v>
      </c>
      <c r="C97" s="460">
        <f>Financeiros!D80</f>
        <v>0</v>
      </c>
      <c r="D97" s="478">
        <f ca="1">C97/Financeiros!$D$4</f>
        <v>0</v>
      </c>
      <c r="E97" s="473">
        <f t="shared" ca="1" si="3"/>
        <v>0</v>
      </c>
    </row>
    <row r="98" spans="2:5" ht="15.75" hidden="1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hidden="1" customHeight="1">
      <c r="B99" s="824" t="str">
        <f>Financeiros!C82</f>
        <v>Reversão de Risco Hidrológico</v>
      </c>
      <c r="C99" s="1016">
        <f ca="1">Financeiros!D82</f>
        <v>0</v>
      </c>
      <c r="D99" s="1017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18"/>
      <c r="D100" s="1019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P216" zoomScale="88" zoomScaleNormal="88" workbookViewId="0">
      <selection activeCell="AU229" sqref="AU229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803</v>
      </c>
      <c r="E2" s="303" t="s">
        <v>804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805</v>
      </c>
    </row>
    <row r="5" spans="2:49" ht="15" customHeight="1">
      <c r="B5" s="304" t="s">
        <v>806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807</v>
      </c>
      <c r="K6" s="358" t="s">
        <v>808</v>
      </c>
      <c r="L6" s="308"/>
      <c r="S6" s="358" t="s">
        <v>808</v>
      </c>
      <c r="T6" s="358"/>
      <c r="U6" s="358"/>
      <c r="V6" s="358"/>
      <c r="AC6" s="23" t="str">
        <f>IF(LnkTXTSuprid2="!vazio!","","s")</f>
        <v>s</v>
      </c>
      <c r="AD6" s="23">
        <f>SMALL(N41:N42,1)</f>
        <v>0</v>
      </c>
      <c r="AE6" s="23">
        <f>SMALL(Q41:Q42,1)</f>
        <v>0</v>
      </c>
    </row>
    <row r="7" spans="2:49" ht="18.75" customHeight="1">
      <c r="B7" s="304" t="s">
        <v>809</v>
      </c>
      <c r="K7" s="1168" t="s">
        <v>810</v>
      </c>
      <c r="L7" s="1168" t="s">
        <v>811</v>
      </c>
      <c r="S7" s="1749" t="s">
        <v>812</v>
      </c>
      <c r="T7" s="1749"/>
      <c r="U7" s="1749"/>
      <c r="V7" s="301" t="s">
        <v>813</v>
      </c>
      <c r="W7" s="301" t="s">
        <v>814</v>
      </c>
      <c r="X7" s="60" t="s">
        <v>815</v>
      </c>
    </row>
    <row r="8" spans="2:49" ht="15" customHeight="1">
      <c r="B8" s="306" t="s">
        <v>816</v>
      </c>
      <c r="K8" s="358" t="s">
        <v>817</v>
      </c>
      <c r="L8" s="20">
        <f ca="1">Resultado!E14</f>
        <v>3.3588574758012461E-2</v>
      </c>
      <c r="S8" s="47" t="s">
        <v>818</v>
      </c>
      <c r="T8" s="369">
        <f ca="1">U8/$U$15</f>
        <v>0.4171295593868351</v>
      </c>
      <c r="U8" s="56">
        <f>AU228</f>
        <v>47785171.07</v>
      </c>
      <c r="V8" s="61" t="s">
        <v>232</v>
      </c>
      <c r="W8" s="62">
        <f ca="1">T12</f>
        <v>0.16761577750014472</v>
      </c>
      <c r="X8" s="62">
        <f ca="1">W8/(1-$W$10)</f>
        <v>0.20136827797715001</v>
      </c>
    </row>
    <row r="9" spans="2:49" ht="15" customHeight="1">
      <c r="B9" s="306" t="s">
        <v>819</v>
      </c>
      <c r="K9" s="365" t="s">
        <v>791</v>
      </c>
      <c r="L9" s="366">
        <f ca="1">Resultado!E24</f>
        <v>2.0805713208409071E-2</v>
      </c>
      <c r="S9" s="47" t="s">
        <v>820</v>
      </c>
      <c r="T9" s="369">
        <f ca="1">U9/$U$15</f>
        <v>0.20427378980079292</v>
      </c>
      <c r="U9" s="56">
        <f ca="1">AU219</f>
        <v>23401021.987261694</v>
      </c>
      <c r="V9" s="47" t="s">
        <v>821</v>
      </c>
      <c r="W9" s="57">
        <f ca="1">T13</f>
        <v>0</v>
      </c>
      <c r="X9" s="62">
        <f ca="1">W9/(1-$W$10)</f>
        <v>0</v>
      </c>
      <c r="AD9" s="425"/>
      <c r="AE9" s="425"/>
    </row>
    <row r="10" spans="2:49" ht="27.75" customHeight="1">
      <c r="B10" s="306" t="s">
        <v>822</v>
      </c>
      <c r="K10" s="358" t="s">
        <v>823</v>
      </c>
      <c r="L10" s="25">
        <f ca="1">Resultado!E33</f>
        <v>-2.3459685028532316E-2</v>
      </c>
      <c r="S10" s="47" t="s">
        <v>824</v>
      </c>
      <c r="T10" s="369">
        <f ca="1">U10/$U$15</f>
        <v>0.12816633200524882</v>
      </c>
      <c r="U10" s="56">
        <f>AU221</f>
        <v>14682368.972575199</v>
      </c>
      <c r="V10" s="1169" t="s">
        <v>825</v>
      </c>
      <c r="W10" s="1170">
        <f ca="1">SUM(W8:W9)</f>
        <v>0.16761577750014472</v>
      </c>
      <c r="X10" s="1170">
        <f ca="1">SUM(X8:X9)</f>
        <v>0.20136827797715001</v>
      </c>
      <c r="AE10" s="425"/>
    </row>
    <row r="11" spans="2:49" ht="15" customHeight="1">
      <c r="B11" s="304" t="s">
        <v>820</v>
      </c>
      <c r="K11" s="358" t="s">
        <v>826</v>
      </c>
      <c r="L11" s="25">
        <f ca="1">Resultado!E39</f>
        <v>3.3365801112305048E-2</v>
      </c>
      <c r="S11" s="1171" t="s">
        <v>817</v>
      </c>
      <c r="T11" s="1172">
        <f ca="1">U11/$U$15</f>
        <v>8.2814541306978295E-2</v>
      </c>
      <c r="U11" s="1173">
        <f ca="1">AU208</f>
        <v>9486997.3474299759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827</v>
      </c>
      <c r="K12" s="23" t="s">
        <v>798</v>
      </c>
      <c r="L12" s="19">
        <f ca="1">LnkTXTIRTFin</f>
        <v>-0.30880000000000002</v>
      </c>
      <c r="S12" s="47" t="s">
        <v>232</v>
      </c>
      <c r="T12" s="57">
        <f ca="1">Calc_Mercado!J8</f>
        <v>0.16761577750014472</v>
      </c>
      <c r="U12" s="56">
        <f ca="1">T12*U15</f>
        <v>19201584.78734811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798</v>
      </c>
      <c r="K13" s="23" t="s">
        <v>828</v>
      </c>
      <c r="L13" s="19">
        <f ca="1">LnkTXTERFIN</f>
        <v>0.37680000000000002</v>
      </c>
      <c r="S13" s="47" t="s">
        <v>829</v>
      </c>
      <c r="T13" s="58">
        <f ca="1">Calc_Mercado!J9</f>
        <v>0</v>
      </c>
      <c r="U13" s="56">
        <f ca="1">T13*U15</f>
        <v>0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830</v>
      </c>
      <c r="K14" s="358" t="s">
        <v>831</v>
      </c>
      <c r="L14" s="366">
        <f>LnkTXTEfeito</f>
        <v>0.13229106125529899</v>
      </c>
      <c r="S14" s="47" t="s">
        <v>832</v>
      </c>
      <c r="T14" s="369">
        <f ca="1">SUM(T12:T13)</f>
        <v>0.16761577750014472</v>
      </c>
      <c r="U14" s="56">
        <f ca="1">SUM(U12:U13)</f>
        <v>19201584.78734811</v>
      </c>
      <c r="V14" s="56"/>
      <c r="AD14" s="23" t="s">
        <v>109</v>
      </c>
      <c r="AE14" s="23" t="s">
        <v>120</v>
      </c>
      <c r="AF14" s="23" t="s">
        <v>791</v>
      </c>
      <c r="AG14" s="23" t="s">
        <v>780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833</v>
      </c>
      <c r="S15" s="1169" t="s">
        <v>834</v>
      </c>
      <c r="T15" s="1174">
        <f ca="1">SUM(T8:T11)+T14</f>
        <v>1</v>
      </c>
      <c r="U15" s="1175">
        <f ca="1">SUM(U8:U11)/(1-T14)</f>
        <v>114557144.16461499</v>
      </c>
      <c r="V15" s="665"/>
      <c r="AC15" s="23" t="s">
        <v>835</v>
      </c>
      <c r="AD15" s="425">
        <f ca="1">Resultado!C39</f>
        <v>44795775.766731441</v>
      </c>
      <c r="AE15" s="425">
        <f ca="1">Resultado!C33</f>
        <v>25502882.871836431</v>
      </c>
      <c r="AF15" s="425">
        <f ca="1">Resultado!C24</f>
        <v>12818289.607688224</v>
      </c>
      <c r="AG15" s="425">
        <f ca="1">Resultado!C14</f>
        <v>6477642.7304938613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836</v>
      </c>
      <c r="AC16" s="23" t="s">
        <v>837</v>
      </c>
      <c r="AD16" s="425">
        <f>Resultado!D39</f>
        <v>47785171.07</v>
      </c>
      <c r="AE16" s="425">
        <f ca="1">Resultado!D33</f>
        <v>23401021.987261694</v>
      </c>
      <c r="AF16" s="425">
        <f>Resultado!D24</f>
        <v>14682368.972575199</v>
      </c>
      <c r="AG16" s="425">
        <f ca="1">Resultado!D14</f>
        <v>9486997.3474299759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838</v>
      </c>
      <c r="S19" s="358" t="s">
        <v>808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47" t="s">
        <v>839</v>
      </c>
      <c r="T20" s="1747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818</v>
      </c>
      <c r="T21" s="55">
        <f ca="1">AX228</f>
        <v>0.50112622045392952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820</v>
      </c>
      <c r="T22" s="55">
        <f ca="1">AX219</f>
        <v>0.24540805108884492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824</v>
      </c>
      <c r="T23" s="55">
        <f ca="1">AX221</f>
        <v>0.15397496557579349</v>
      </c>
      <c r="Z23" s="30" t="s">
        <v>840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841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1.3584730658596752E-2</v>
      </c>
      <c r="AL26" s="358"/>
    </row>
    <row r="27" spans="2:46" ht="15" customHeight="1">
      <c r="S27" s="47" t="s">
        <v>41</v>
      </c>
      <c r="T27" s="55">
        <f ca="1">AX212</f>
        <v>8.3552918272528323E-2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2.3531139503070128E-3</v>
      </c>
      <c r="AD28" s="47"/>
      <c r="AE28" s="397"/>
      <c r="AF28" s="56"/>
      <c r="AL28" s="358"/>
    </row>
    <row r="29" spans="2:46" ht="15" customHeight="1">
      <c r="S29" s="47" t="s">
        <v>842</v>
      </c>
      <c r="T29" s="55">
        <f ca="1">AX215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76" t="s">
        <v>843</v>
      </c>
      <c r="T31" s="1177">
        <f ca="1">SUM(T21:T30)</f>
        <v>1</v>
      </c>
    </row>
    <row r="36" spans="1:36" ht="15" customHeight="1">
      <c r="N36" s="664" t="s">
        <v>844</v>
      </c>
      <c r="O36" s="664"/>
      <c r="P36" s="1178">
        <f>VLOOKUP(LnkTXTSigla,Informacoes[],35,FALSE)</f>
        <v>0</v>
      </c>
      <c r="Q36" s="1179">
        <f>DATE(2013,MONTH(DataRevRea),1)</f>
        <v>41456</v>
      </c>
    </row>
    <row r="37" spans="1:36" ht="15" customHeight="1">
      <c r="L37" s="358" t="s">
        <v>808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80"/>
      <c r="M38" s="1181">
        <f t="shared" ref="M38:V38" si="0">DATE(M37,MONTH(DataRevRea),1)</f>
        <v>41456</v>
      </c>
      <c r="N38" s="1181">
        <f t="shared" si="0"/>
        <v>41821</v>
      </c>
      <c r="O38" s="1181">
        <f t="shared" si="0"/>
        <v>42186</v>
      </c>
      <c r="P38" s="1181">
        <f t="shared" si="0"/>
        <v>42552</v>
      </c>
      <c r="Q38" s="1181">
        <f t="shared" si="0"/>
        <v>42917</v>
      </c>
      <c r="R38" s="1181">
        <f t="shared" si="0"/>
        <v>43282</v>
      </c>
      <c r="S38" s="1181">
        <f t="shared" si="0"/>
        <v>43647</v>
      </c>
      <c r="T38" s="1181">
        <f t="shared" si="0"/>
        <v>44013</v>
      </c>
      <c r="U38" s="1181">
        <f t="shared" si="0"/>
        <v>44378</v>
      </c>
      <c r="V38" s="1181">
        <f t="shared" si="0"/>
        <v>44743</v>
      </c>
      <c r="W38" s="1181" t="s">
        <v>778</v>
      </c>
    </row>
    <row r="39" spans="1:36" ht="15" customHeight="1">
      <c r="L39" s="65" t="str">
        <f>CAPA!C9</f>
        <v>Celetro</v>
      </c>
      <c r="M39" s="410">
        <f>SUMIF(TAbtarifasb1[[#All],[Sigla]],LnkTXTSigla,TAbtarifasb1[[#All],[2013]])</f>
        <v>0</v>
      </c>
      <c r="N39" s="410">
        <f>SUMIF(TAbtarifasb1[[#All],[Sigla]],LnkTXTSigla,TAbtarifasb1[[#All],[2014]])</f>
        <v>0</v>
      </c>
      <c r="O39" s="410">
        <f>SUMIF(TAbtarifasb1[[#All],[Sigla]],LnkTXTSigla,TAbtarifasb1[[#All],[2015]])</f>
        <v>0</v>
      </c>
      <c r="P39" s="422">
        <f>SUMIF(TAbtarifasb1[[#All],[Sigla]],LnkTXTSigla,TAbtarifasb1[[#All],[2016]])</f>
        <v>0</v>
      </c>
      <c r="Q39" s="422">
        <f>SUMIF(TAbtarifasb1[[#All],[Sigla]],LnkTXTSigla,TAbtarifasb1[[#All],[2017]])</f>
        <v>0</v>
      </c>
      <c r="R39" s="790">
        <f>SUMIF(TAbtarifasb1[[#All],[Sigla]],LnkTXTSigla,TAbtarifasb1[[#All],[2018]])</f>
        <v>0</v>
      </c>
      <c r="S39" s="790">
        <f>SUMIF(TAbtarifasb1[[#All],[Sigla]],LnkTXTSigla,TAbtarifasb1[[#All],[2019]])</f>
        <v>0</v>
      </c>
      <c r="T39" s="425">
        <f>SUMIF(TAbtarifasb1[[#All],[Sigla]],LnkTXTSigla,TAbtarifasb1[[#All],[2020]])</f>
        <v>589.56999999999994</v>
      </c>
      <c r="U39" s="425">
        <f>SUMIF(TAbtarifasb1[[#All],[Sigla]],LnkTXTSigla,TAbtarifasb1[[#All],[2021]])</f>
        <v>677.96999999999991</v>
      </c>
      <c r="V39" s="425">
        <f>Resultado!L6</f>
        <v>739.78</v>
      </c>
      <c r="W39" s="777" t="e">
        <f>V39/M39-1</f>
        <v>#DIV/0!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7">
        <f>V40/M40-1</f>
        <v>-1</v>
      </c>
    </row>
    <row r="41" spans="1:36" ht="15" customHeight="1">
      <c r="L41" s="65" t="s">
        <v>845</v>
      </c>
      <c r="M41" s="411">
        <f>M39</f>
        <v>0</v>
      </c>
      <c r="N41" s="411">
        <f>VLOOKUP(DATE(YEAR(O38),MONTH(O38)-1,1),Índices!$B:$F,2,FALSE)/VLOOKUP(DATE(YEAR(Q36),MONTH(Q36)-1,1),Índices!$B:$F,2,FALSE)*M41</f>
        <v>0</v>
      </c>
      <c r="O41" s="411">
        <f>VLOOKUP(DATE(YEAR(O38),MONTH(O38)-1,1),Índices!$B:$F,2,FALSE)/VLOOKUP(DATE(YEAR(N38),MONTH(N38)-1,1),Índices!$B:$F,2,FALSE)*N41</f>
        <v>0</v>
      </c>
      <c r="P41" s="411">
        <f>VLOOKUP(DATE(YEAR(P38),MONTH(P38)-1,1),Índices!$B:$F,2,FALSE)/VLOOKUP(DATE(YEAR(O38),MONTH(O38)-1,1),Índices!$B:$F,2,FALSE)*O41</f>
        <v>0</v>
      </c>
      <c r="Q41" s="411">
        <f>VLOOKUP(DATE(YEAR(Q38),MONTH(Q38)-1,1),Índices!$B:$F,2,FALSE)/VLOOKUP(DATE(YEAR(P38),MONTH(P38)-1,1),Índices!$B:$F,2,FALSE)*P41</f>
        <v>0</v>
      </c>
      <c r="R41" s="368">
        <f>IF(R37=YEAR(CAPA!$C$114),'Tabelas e Gráficos'!R39,(VLOOKUP(DATE(YEAR(R38),MONTH(R38)-1,1),Índices!$B:$F,2,FALSE)/VLOOKUP(DATE(YEAR(Q38),MONTH(Q38)-1,1),Índices!$B:$F,2,FALSE)*Q41))</f>
        <v>0</v>
      </c>
      <c r="S41" s="368">
        <f>IF(S37=YEAR(CAPA!$C$114),'Tabelas e Gráficos'!S39,(VLOOKUP(DATE(YEAR(S38),MONTH(S38)-1,1),Índices!$B:$F,2,FALSE)/VLOOKUP(DATE(YEAR(R38),MONTH(R38)-1,1),Índices!$B:$F,2,FALSE)*R41))</f>
        <v>0</v>
      </c>
      <c r="T41" s="368">
        <f>IF(T37=YEAR(CAPA!$C$114),'Tabelas e Gráficos'!T39,(VLOOKUP(DATE(YEAR(T38),MONTH(T38)-1,1),Índices!$B:$F,2,FALSE)/VLOOKUP(DATE(YEAR(S38),MONTH(S38)-1,1),Índices!$B:$F,2,FALSE)*S41))</f>
        <v>589.56999999999994</v>
      </c>
      <c r="U41" s="411">
        <f>VLOOKUP(DATE(YEAR(U38),MONTH(U38)-1,1),Índices!$B:$F,2,FALSE)/VLOOKUP(DATE(YEAR(T38),MONTH(T38)-1,1),Índices!$B:$F,2,FALSE)*T41</f>
        <v>800.34918561789118</v>
      </c>
      <c r="V41" s="411">
        <f>VLOOKUP(DATE(YEAR(V38),MONTH(V38)-1,1),Índices!$B:$F,2,FALSE)/VLOOKUP(DATE(YEAR(U38),MONTH(U38)-1,1),Índices!$B:$F,2,FALSE)*U41</f>
        <v>886.02045197740108</v>
      </c>
      <c r="W41" s="777" t="e">
        <f>V41/M41-1</f>
        <v>#DIV/0!</v>
      </c>
    </row>
    <row r="42" spans="1:36" ht="15" customHeight="1">
      <c r="L42" s="1182" t="s">
        <v>846</v>
      </c>
      <c r="M42" s="1184">
        <f>M39</f>
        <v>0</v>
      </c>
      <c r="N42" s="1184">
        <f>VLOOKUP(DATE(YEAR(N38),MONTH(N38)-1,1),Índices!$B:$F,3,FALSE)/VLOOKUP(DATE(YEAR(Q36),MONTH(Q36)-1,1),Índices!$B:$F,3,FALSE)*M42</f>
        <v>0</v>
      </c>
      <c r="O42" s="1184">
        <f>VLOOKUP(DATE(YEAR(O38),MONTH(O38)-1,1),Índices!$B:$F,3,FALSE)/VLOOKUP(DATE(YEAR(N38),MONTH(N38)-1,1),Índices!$B:$F,3,FALSE)*N42</f>
        <v>0</v>
      </c>
      <c r="P42" s="1184">
        <f>VLOOKUP(DATE(YEAR(P38),MONTH(P38)-1,1),Índices!$B:$F,3,FALSE)/VLOOKUP(DATE(YEAR(O38),MONTH(O38)-1,1),Índices!$B:$F,3,FALSE)*O42</f>
        <v>0</v>
      </c>
      <c r="Q42" s="1184">
        <f>VLOOKUP(DATE(YEAR(Q38),MONTH(Q38)-1,1),Índices!$B:$F,3,FALSE)/VLOOKUP(DATE(YEAR(P38),MONTH(P38)-1,1),Índices!$B:$F,3,FALSE)*P42</f>
        <v>0</v>
      </c>
      <c r="R42" s="1183">
        <f>IF(R37=YEAR(CAPA!$C$114),'Tabelas e Gráficos'!R39,(VLOOKUP(DATE(YEAR(R38),MONTH(R38)-1,1),Índices!$B:$F,3,FALSE)/VLOOKUP(DATE(YEAR(Q38),MONTH(Q38)-1,1),Índices!$B:$F,3,FALSE)*'Tabelas e Gráficos'!Q42))</f>
        <v>0</v>
      </c>
      <c r="S42" s="1183">
        <f>IF(S37=YEAR(CAPA!$C$114),'Tabelas e Gráficos'!S39,(VLOOKUP(DATE(YEAR(S38),MONTH(S38)-1,1),Índices!$B:$F,3,FALSE)/VLOOKUP(DATE(YEAR(R38),MONTH(R38)-1,1),Índices!$B:$F,3,FALSE)*'Tabelas e Gráficos'!R42))</f>
        <v>0</v>
      </c>
      <c r="T42" s="1183">
        <f>IF(T37=YEAR(CAPA!$C$114),'Tabelas e Gráficos'!T39,(VLOOKUP(DATE(YEAR(T38),MONTH(T38)-1,1),Índices!$B:$F,3,FALSE)/VLOOKUP(DATE(YEAR(S38),MONTH(S38)-1,1),Índices!$B:$F,3,FALSE)*'Tabelas e Gráficos'!S42))</f>
        <v>589.56999999999994</v>
      </c>
      <c r="U42" s="1184">
        <f>VLOOKUP(DATE(YEAR(U38),MONTH(U38)-1,1),Índices!$B:$F,3,FALSE)/VLOOKUP(DATE(YEAR(T38),MONTH(T38)-1,1),Índices!$B:$F,3,FALSE)*T42</f>
        <v>638.78183454574798</v>
      </c>
      <c r="V42" s="1184">
        <f>VLOOKUP(DATE(YEAR(V38),MONTH(V38)-1,1),Índices!$B:$F,3,FALSE)/VLOOKUP(DATE(YEAR(U38),MONTH(U38)-1,1),Índices!$B:$F,3,FALSE)*U42</f>
        <v>714.71299840764925</v>
      </c>
      <c r="W42" s="777" t="e">
        <f>V42/M42-1</f>
        <v>#DIV/0!</v>
      </c>
    </row>
    <row r="43" spans="1:36" ht="15" customHeight="1">
      <c r="X43" s="23">
        <v>938.62</v>
      </c>
    </row>
    <row r="44" spans="1:36" ht="15" customHeight="1">
      <c r="X44" s="89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803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805</v>
      </c>
      <c r="C50" s="308" t="s">
        <v>847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848</v>
      </c>
      <c r="C51" s="309" t="s">
        <v>849</v>
      </c>
      <c r="H51" s="23"/>
      <c r="K51" s="49"/>
      <c r="L51" s="1748"/>
      <c r="M51" s="1748"/>
      <c r="N51" s="1748"/>
      <c r="O51" s="49"/>
      <c r="P51" s="49"/>
    </row>
    <row r="52" spans="1:47" ht="15" customHeight="1">
      <c r="B52" s="310" t="s">
        <v>850</v>
      </c>
      <c r="C52" s="311">
        <f ca="1">Resultado!C5</f>
        <v>95355559.377266869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851</v>
      </c>
      <c r="C53" s="311">
        <f ca="1">Resultado!C6</f>
        <v>89594590.976749957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6.4300404050194215E-2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798</v>
      </c>
      <c r="C55" s="314">
        <f ca="1">Resultado!C8</f>
        <v>-0.30880000000000002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85" t="str">
        <f>Resultado!B9</f>
        <v>Variação econômica e financeira</v>
      </c>
      <c r="C56" s="1186">
        <f ca="1">C54+C55</f>
        <v>-0.2444995959498058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806</v>
      </c>
      <c r="F58" s="316"/>
      <c r="G58" s="308" t="s">
        <v>847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852</v>
      </c>
      <c r="F59" s="309" t="s">
        <v>853</v>
      </c>
      <c r="G59" s="309" t="s">
        <v>854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855</v>
      </c>
      <c r="F60" s="311">
        <f ca="1">Calc_Mercado!C8</f>
        <v>92055.148000000016</v>
      </c>
      <c r="G60" s="311">
        <f ca="1">Calc_Mercado!D8</f>
        <v>88910895.00390996</v>
      </c>
      <c r="H60" s="318" t="s">
        <v>856</v>
      </c>
    </row>
    <row r="61" spans="1:47" ht="15" hidden="1" customHeight="1">
      <c r="E61" s="310" t="s">
        <v>857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858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859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860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861</v>
      </c>
      <c r="F65" s="311">
        <f ca="1">Calc_Mercado!C13</f>
        <v>15378.780999999999</v>
      </c>
      <c r="G65" s="311">
        <f ca="1">Calc_Mercado!D13</f>
        <v>15112114.327939998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862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863</v>
      </c>
      <c r="F67" s="311">
        <f ca="1">Calc_Mercado!C15</f>
        <v>76676.367000000013</v>
      </c>
      <c r="G67" s="311">
        <f ca="1">Calc_Mercado!D15</f>
        <v>73798780.675969958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864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865</v>
      </c>
      <c r="F69" s="311">
        <f ca="1">Calc_Mercado!C18</f>
        <v>296.577</v>
      </c>
      <c r="G69" s="311">
        <f ca="1">Calc_Mercado!D18</f>
        <v>683695.97284000006</v>
      </c>
      <c r="H69" s="318">
        <f t="shared" ca="1" si="1"/>
        <v>1</v>
      </c>
    </row>
    <row r="70" spans="2:43" ht="15" customHeight="1">
      <c r="C70" s="315"/>
      <c r="D70" s="312"/>
      <c r="E70" s="1185" t="s">
        <v>843</v>
      </c>
      <c r="F70" s="1187">
        <f ca="1">Calc_Mercado!C25</f>
        <v>92351.72500000002</v>
      </c>
      <c r="G70" s="1187">
        <f ca="1">Calc_Mercado!D25</f>
        <v>89594590.976749957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807</v>
      </c>
      <c r="J72" s="316"/>
      <c r="K72" s="308" t="s">
        <v>847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866</v>
      </c>
      <c r="J73" s="301" t="s">
        <v>867</v>
      </c>
      <c r="K73" s="301" t="s">
        <v>868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50"/>
      <c r="D74" s="1750"/>
      <c r="E74" s="1750"/>
      <c r="I74" s="1188" t="s">
        <v>817</v>
      </c>
      <c r="J74" s="1189">
        <f ca="1">SUM(J75:J83)</f>
        <v>6477642.7304938613</v>
      </c>
      <c r="K74" s="1190">
        <f ca="1">SUM(K75:K83)</f>
        <v>7.2299484375957776E-2</v>
      </c>
      <c r="L74" s="318" t="s">
        <v>856</v>
      </c>
      <c r="N74" s="34"/>
      <c r="AG74" s="49"/>
      <c r="AH74" s="1741"/>
      <c r="AI74" s="1741"/>
      <c r="AJ74" s="1741"/>
      <c r="AK74" s="667"/>
      <c r="AL74" s="49"/>
      <c r="AM74" s="49"/>
      <c r="AN74" s="49"/>
      <c r="AO74" s="49"/>
    </row>
    <row r="75" spans="2:43" ht="15" hidden="1" customHeight="1">
      <c r="B75" s="30"/>
      <c r="C75" s="1745"/>
      <c r="D75" s="1745"/>
      <c r="E75" s="1745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42"/>
      <c r="AI75" s="1742"/>
      <c r="AJ75" s="1742"/>
      <c r="AK75" s="668"/>
      <c r="AL75" s="429"/>
      <c r="AM75" s="49"/>
      <c r="AN75" s="49"/>
      <c r="AO75" s="49"/>
    </row>
    <row r="76" spans="2:43" ht="15" hidden="1" customHeight="1">
      <c r="B76" s="30"/>
      <c r="C76" s="1745"/>
      <c r="D76" s="1745"/>
      <c r="E76" s="1745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45"/>
      <c r="D77" s="1745"/>
      <c r="E77" s="1745"/>
      <c r="I77" s="35" t="str">
        <f>Resultado!B17</f>
        <v>Taxa de Fisc. de Serviços de E.E. – TFSEE</v>
      </c>
      <c r="J77" s="320">
        <f ca="1">Mercado_Faturado_Encargo_TFSEE_BRUTO</f>
        <v>212284.91908248374</v>
      </c>
      <c r="K77" s="36">
        <f t="shared" ca="1" si="2"/>
        <v>2.3693943659787707E-3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45"/>
      <c r="D78" s="1745"/>
      <c r="E78" s="1745"/>
      <c r="I78" s="35" t="str">
        <f>Resultado!B18</f>
        <v>Conta de Desenvolvimento Energético – CDE</v>
      </c>
      <c r="J78" s="320">
        <f ca="1">Mercado_Faturado_Encargo_CDE_BRUTO</f>
        <v>5409668.1473058127</v>
      </c>
      <c r="K78" s="36">
        <f t="shared" ca="1" si="2"/>
        <v>6.0379405590563345E-2</v>
      </c>
      <c r="L78" s="318">
        <f t="shared" ref="L78:L94" ca="1" si="3">IF(J78=0,0,1)</f>
        <v>1</v>
      </c>
      <c r="N78" s="36"/>
      <c r="AG78" s="49"/>
      <c r="AH78" s="1742"/>
      <c r="AI78" s="1742"/>
      <c r="AJ78" s="1742"/>
      <c r="AK78" s="668"/>
      <c r="AL78" s="429"/>
      <c r="AM78" s="49"/>
      <c r="AN78" s="49"/>
      <c r="AO78" s="49"/>
    </row>
    <row r="79" spans="2:43" ht="15" hidden="1" customHeight="1">
      <c r="B79" s="30"/>
      <c r="C79" s="1745"/>
      <c r="D79" s="1745"/>
      <c r="E79" s="1745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45"/>
      <c r="D80" s="1745"/>
      <c r="E80" s="1745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45"/>
      <c r="D81" s="1745"/>
      <c r="E81" s="1745"/>
      <c r="I81" s="35" t="str">
        <f>Resultado!B21</f>
        <v>PROINFA</v>
      </c>
      <c r="J81" s="320">
        <f ca="1">Mercado_Faturado_Encargo_PROINFA_BRUTO</f>
        <v>855689.66410556505</v>
      </c>
      <c r="K81" s="36">
        <f t="shared" ca="1" si="2"/>
        <v>9.5506844194156639E-3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42"/>
      <c r="AI82" s="1742"/>
      <c r="AJ82" s="1742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88" t="s">
        <v>869</v>
      </c>
      <c r="J84" s="1189">
        <f ca="1">SUM(Calc_Mercado!C79:C85)</f>
        <v>25502882.871836431</v>
      </c>
      <c r="K84" s="1190">
        <f ca="1">SUM(K85)</f>
        <v>0.28464757295956067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870</v>
      </c>
      <c r="J85" s="320">
        <f ca="1">J84</f>
        <v>25502882.871836431</v>
      </c>
      <c r="K85" s="36">
        <f t="shared" ref="K85:K96" ca="1" si="4">J85/$J$97</f>
        <v>0.28464757295956067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44"/>
      <c r="C86" s="1744"/>
      <c r="D86" s="1744"/>
      <c r="E86" s="1744"/>
      <c r="F86" s="1744"/>
      <c r="G86" s="39"/>
      <c r="I86" s="1188" t="s">
        <v>871</v>
      </c>
      <c r="J86" s="1189">
        <f ca="1">Resultado!C24</f>
        <v>12818289.607688224</v>
      </c>
      <c r="K86" s="1190">
        <f t="shared" ca="1" si="4"/>
        <v>0.14306990486752269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hidden="1" customHeight="1">
      <c r="B87" s="1743"/>
      <c r="C87" s="1743"/>
      <c r="D87" s="1743"/>
      <c r="E87" s="1743"/>
      <c r="F87" s="1743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43"/>
      <c r="C89" s="1743"/>
      <c r="D89" s="1743"/>
      <c r="E89" s="1743"/>
      <c r="F89" s="1743"/>
      <c r="G89" s="42"/>
      <c r="I89" s="37" t="s">
        <v>792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793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794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795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44"/>
      <c r="C94" s="1744"/>
      <c r="D94" s="1744"/>
      <c r="E94" s="1744"/>
      <c r="F94" s="1744"/>
      <c r="G94" s="42"/>
      <c r="I94" s="37" t="s">
        <v>708</v>
      </c>
      <c r="J94" s="320">
        <f ca="1">Resultado!C32</f>
        <v>12818289.607688224</v>
      </c>
      <c r="K94" s="36">
        <f t="shared" ca="1" si="4"/>
        <v>0.14306990486752269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43"/>
      <c r="C95" s="1743"/>
      <c r="D95" s="1743"/>
      <c r="E95" s="1743"/>
      <c r="F95" s="1743"/>
      <c r="I95" s="1188" t="s">
        <v>872</v>
      </c>
      <c r="J95" s="1189">
        <f ca="1">J86+J84+J74</f>
        <v>44798815.210018516</v>
      </c>
      <c r="K95" s="1190">
        <f t="shared" ca="1" si="4"/>
        <v>0.50001696220304115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43"/>
      <c r="C96" s="1743"/>
      <c r="D96" s="1743"/>
      <c r="E96" s="1743"/>
      <c r="F96" s="1743"/>
      <c r="I96" s="1188" t="s">
        <v>873</v>
      </c>
      <c r="J96" s="1189">
        <f ca="1">J97-J95</f>
        <v>44795775.766731441</v>
      </c>
      <c r="K96" s="1190">
        <f t="shared" ca="1" si="4"/>
        <v>0.49998303779695885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44"/>
      <c r="C97" s="1744"/>
      <c r="D97" s="1744"/>
      <c r="E97" s="1744"/>
      <c r="F97" s="1744"/>
      <c r="G97" s="28"/>
      <c r="I97" s="1185" t="s">
        <v>874</v>
      </c>
      <c r="J97" s="1187">
        <f ca="1">Mercado_RA0_Reais</f>
        <v>89594590.976749957</v>
      </c>
      <c r="K97" s="1191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43"/>
      <c r="C98" s="1743"/>
      <c r="D98" s="1743"/>
      <c r="E98" s="1743"/>
      <c r="F98" s="1743"/>
      <c r="G98" s="42"/>
      <c r="M98" s="307" t="s">
        <v>809</v>
      </c>
      <c r="N98" s="308" t="s">
        <v>847</v>
      </c>
      <c r="AH98" s="430"/>
      <c r="AI98" s="431"/>
      <c r="AJ98" s="431"/>
      <c r="AL98" s="49"/>
      <c r="AM98" s="49"/>
      <c r="AN98" s="49"/>
    </row>
    <row r="99" spans="2:41" ht="15" customHeight="1">
      <c r="B99" s="1743"/>
      <c r="C99" s="1743"/>
      <c r="D99" s="1743"/>
      <c r="E99" s="1743"/>
      <c r="F99" s="1743"/>
      <c r="G99" s="42"/>
      <c r="M99" s="301" t="s">
        <v>817</v>
      </c>
      <c r="N99" s="301" t="s">
        <v>849</v>
      </c>
      <c r="O99" s="323" t="s">
        <v>856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224382.49700997537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7967235.2594800005</v>
      </c>
      <c r="O103" s="324">
        <f t="shared" ca="1" si="5"/>
        <v>1</v>
      </c>
    </row>
    <row r="104" spans="2:41" ht="15" hidden="1" customHeight="1">
      <c r="B104" s="1743"/>
      <c r="C104" s="1743"/>
      <c r="D104" s="1743"/>
      <c r="E104" s="1743"/>
      <c r="F104" s="1743"/>
      <c r="G104" s="45"/>
      <c r="M104" s="35" t="s">
        <v>875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43"/>
      <c r="C105" s="1743"/>
      <c r="D105" s="1743"/>
      <c r="E105" s="1743"/>
      <c r="F105" s="1743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44"/>
      <c r="C106" s="1744"/>
      <c r="D106" s="1744"/>
      <c r="E106" s="1744"/>
      <c r="F106" s="1744"/>
      <c r="G106" s="39"/>
      <c r="M106" s="35" t="str">
        <f>Resultado!B21</f>
        <v>PROINFA</v>
      </c>
      <c r="N106" s="320">
        <f ca="1">Resultado!D21</f>
        <v>1295379.5909400003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85" t="s">
        <v>843</v>
      </c>
      <c r="N109" s="1187">
        <f ca="1">SUM(N100:N108)</f>
        <v>9486997.3474299759</v>
      </c>
    </row>
    <row r="110" spans="2:41" ht="15" customHeight="1">
      <c r="B110" s="29"/>
      <c r="C110" s="29"/>
      <c r="D110" s="29"/>
      <c r="P110" s="326" t="s">
        <v>816</v>
      </c>
      <c r="Q110" s="308" t="s">
        <v>847</v>
      </c>
    </row>
    <row r="111" spans="2:41" ht="15" customHeight="1">
      <c r="B111" s="46"/>
      <c r="C111" s="312"/>
      <c r="D111" s="312"/>
      <c r="P111" s="301" t="s">
        <v>852</v>
      </c>
      <c r="Q111" s="301" t="s">
        <v>876</v>
      </c>
    </row>
    <row r="112" spans="2:41" ht="15" customHeight="1">
      <c r="B112" s="46"/>
      <c r="C112" s="312"/>
      <c r="D112" s="312"/>
      <c r="P112" s="35" t="s">
        <v>877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741</v>
      </c>
      <c r="Q113" s="1192">
        <f ca="1">Energia!M14</f>
        <v>9.6999687647931793E-2</v>
      </c>
    </row>
    <row r="114" spans="2:44" ht="15" customHeight="1">
      <c r="B114" s="46"/>
      <c r="C114" s="312"/>
      <c r="D114" s="312"/>
      <c r="P114" s="1185" t="s">
        <v>843</v>
      </c>
      <c r="Q114" s="1191">
        <f ca="1">SUM(Q112:Q113)</f>
        <v>9.6999687647931793E-2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878</v>
      </c>
      <c r="T117" s="308" t="s">
        <v>847</v>
      </c>
    </row>
    <row r="118" spans="2:44" ht="15" customHeight="1">
      <c r="B118" s="46"/>
      <c r="C118" s="312"/>
      <c r="D118" s="312"/>
      <c r="P118" s="44"/>
      <c r="Q118" s="312"/>
      <c r="S118" s="301" t="s">
        <v>852</v>
      </c>
      <c r="T118" s="301" t="s">
        <v>853</v>
      </c>
    </row>
    <row r="119" spans="2:44" ht="15" customHeight="1">
      <c r="B119" s="46"/>
      <c r="C119" s="312"/>
      <c r="D119" s="312"/>
      <c r="P119" s="44"/>
      <c r="Q119" s="312"/>
      <c r="S119" s="1193" t="s">
        <v>879</v>
      </c>
      <c r="T119" s="1194">
        <f ca="1">SUM(T120:T121)</f>
        <v>92055.148000000016</v>
      </c>
      <c r="U119" s="323" t="s">
        <v>856</v>
      </c>
    </row>
    <row r="120" spans="2:44" ht="15" customHeight="1">
      <c r="B120" s="46"/>
      <c r="C120" s="312"/>
      <c r="D120" s="312"/>
      <c r="P120" s="44"/>
      <c r="Q120" s="312"/>
      <c r="S120" s="47" t="s">
        <v>880</v>
      </c>
      <c r="T120" s="327">
        <f ca="1">Energia!C7</f>
        <v>92055.148000000016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881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93" t="s">
        <v>882</v>
      </c>
      <c r="T122" s="1195">
        <f ca="1">SUM(T123:T124)</f>
        <v>9888.5022300000128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883</v>
      </c>
      <c r="T123" s="327">
        <f ca="1">SUM(Energia!C11:C12)</f>
        <v>0</v>
      </c>
      <c r="U123" s="323">
        <f ca="1"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884</v>
      </c>
      <c r="T124" s="327">
        <f ca="1">SUM(Energia!C10:C10)</f>
        <v>9888.5022300000128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85" t="s">
        <v>878</v>
      </c>
      <c r="T125" s="1196">
        <f ca="1">T119+T122</f>
        <v>101943.65023000003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97" t="s">
        <v>885</v>
      </c>
      <c r="W127" s="1197"/>
      <c r="X127" s="308" t="s">
        <v>847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80" t="s">
        <v>27</v>
      </c>
      <c r="W128" s="1198" t="s">
        <v>77</v>
      </c>
      <c r="X128" s="1180" t="s">
        <v>886</v>
      </c>
      <c r="Y128" s="323" t="s">
        <v>856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A4 (2,3 a 25 kV)</v>
      </c>
      <c r="X129" s="330">
        <f>Energia!H28</f>
        <v>234.85900799999999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NOVA PALMA ENERGIA LTDA</v>
      </c>
      <c r="W130" s="329" t="str">
        <f>Energia!C29</f>
        <v>A4 (2,3 a 25 kV)</v>
      </c>
      <c r="X130" s="330">
        <f>Energia!H29</f>
        <v>200.37437999999997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99">
        <f>Energia!B32</f>
        <v>0</v>
      </c>
      <c r="W133" s="1199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200"/>
      <c r="W134" s="1201"/>
      <c r="X134" s="1202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97" t="s">
        <v>887</v>
      </c>
      <c r="AA136" s="1197"/>
      <c r="AB136" s="1197"/>
      <c r="AC136" s="308" t="s">
        <v>847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852</v>
      </c>
      <c r="AA137" s="301" t="s">
        <v>853</v>
      </c>
      <c r="AB137" s="301" t="s">
        <v>886</v>
      </c>
      <c r="AC137" s="301" t="s">
        <v>888</v>
      </c>
      <c r="AD137" s="334" t="s">
        <v>856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100336.96823000003</v>
      </c>
      <c r="AB138" s="336">
        <f>Energia!G35</f>
        <v>271.71970270704281</v>
      </c>
      <c r="AC138" s="337">
        <f>AA138*AB138</f>
        <v>27263531.177981608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03">
        <f>Energia!C19</f>
        <v>1498.212724965482</v>
      </c>
      <c r="AB140" s="1204">
        <f>Energia!D19</f>
        <v>0</v>
      </c>
      <c r="AC140" s="1205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93" t="s">
        <v>889</v>
      </c>
      <c r="AA141" s="1206">
        <f ca="1">Energia!M30-Energia!L30</f>
        <v>108.46927503451298</v>
      </c>
      <c r="AB141" s="1207">
        <f>Energia!M34</f>
        <v>0</v>
      </c>
      <c r="AC141" s="1207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85" t="s">
        <v>843</v>
      </c>
      <c r="AA142" s="1208">
        <f ca="1">SUM(AA138:AA141)</f>
        <v>101943.65023000003</v>
      </c>
      <c r="AB142" s="1209">
        <f ca="1">AC142/AA142</f>
        <v>267.43726672991431</v>
      </c>
      <c r="AC142" s="1209">
        <f ca="1">SUM(AC138:AC141)</f>
        <v>27263531.177981608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10" t="s">
        <v>827</v>
      </c>
      <c r="AF144" s="1210"/>
      <c r="AG144" s="1210"/>
      <c r="AH144" s="1210"/>
      <c r="AI144" s="1210"/>
      <c r="AJ144" s="1210"/>
      <c r="AK144" s="308" t="s">
        <v>847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80" t="s">
        <v>27</v>
      </c>
      <c r="AF145" s="1180" t="s">
        <v>77</v>
      </c>
      <c r="AG145" s="1180" t="s">
        <v>890</v>
      </c>
      <c r="AH145" s="1180" t="s">
        <v>891</v>
      </c>
      <c r="AI145" s="1180" t="s">
        <v>60</v>
      </c>
      <c r="AJ145" s="1180" t="s">
        <v>892</v>
      </c>
      <c r="AK145" s="1180" t="s">
        <v>888</v>
      </c>
      <c r="AL145" s="323" t="s">
        <v>856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5">
        <f>CUSD!H6</f>
        <v>268925.11</v>
      </c>
      <c r="AJ146" s="406">
        <f>CUSD!J6</f>
        <v>19.98</v>
      </c>
      <c r="AK146" s="339">
        <f>IFERROR(AI146*AJ146,0)</f>
        <v>5373123.6978000002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5">
        <f>CUSD!H7</f>
        <v>262317.65999999997</v>
      </c>
      <c r="AJ147" s="406">
        <f>CUSD!J7</f>
        <v>26.9</v>
      </c>
      <c r="AK147" s="339">
        <f t="shared" ref="AK147:AK153" si="7">IFERROR(AI147*AJ147,0)</f>
        <v>7056345.0539999986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NOVA PALMA ENERGIA LTDA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16454</v>
      </c>
      <c r="AJ148" s="406">
        <f>CUSD!J8</f>
        <v>23.82</v>
      </c>
      <c r="AK148" s="339">
        <f t="shared" si="7"/>
        <v>391934.28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NOVA PALMA ENERGIA LTDA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16540</v>
      </c>
      <c r="AJ149" s="406">
        <f>CUSD!J9</f>
        <v>42.22</v>
      </c>
      <c r="AK149" s="339">
        <f t="shared" si="7"/>
        <v>698318.79999999993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A4 (2,3 a 25 kV)</v>
      </c>
      <c r="AG150" s="339" t="str">
        <f>CUSD!F10</f>
        <v>Energia</v>
      </c>
      <c r="AH150" s="339" t="str">
        <f>CUSD!F10</f>
        <v>Energia</v>
      </c>
      <c r="AI150" s="405">
        <f>CUSD!H10</f>
        <v>85287.441779999979</v>
      </c>
      <c r="AJ150" s="406">
        <f>CUSD!J10</f>
        <v>11.36</v>
      </c>
      <c r="AK150" s="339">
        <f t="shared" si="7"/>
        <v>968865.33862079971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A4 (2,3 a 25 kV)</v>
      </c>
      <c r="AG151" s="339" t="str">
        <f>CUSD!F11</f>
        <v>Energia</v>
      </c>
      <c r="AH151" s="339" t="str">
        <f>CUSD!F11</f>
        <v>Energia</v>
      </c>
      <c r="AI151" s="405">
        <f>CUSD!H11</f>
        <v>11694.798790000003</v>
      </c>
      <c r="AJ151" s="406">
        <f>CUSD!J11</f>
        <v>11.36</v>
      </c>
      <c r="AK151" s="339">
        <f t="shared" si="7"/>
        <v>132852.91425440004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NOVA PALMA ENERGIA LTDA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4807.991</v>
      </c>
      <c r="AJ152" s="406">
        <f>CUSD!J12</f>
        <v>11.1</v>
      </c>
      <c r="AK152" s="339">
        <f t="shared" si="7"/>
        <v>53368.700099999995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NOVA PALMA ENERGIA LTDA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681.09799999999996</v>
      </c>
      <c r="AJ153" s="406">
        <f>CUSD!J13</f>
        <v>11.1</v>
      </c>
      <c r="AK153" s="339">
        <f t="shared" si="7"/>
        <v>7560.1877999999997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85" t="s">
        <v>893</v>
      </c>
      <c r="AF161" s="1185"/>
      <c r="AG161" s="1185"/>
      <c r="AH161" s="1185"/>
      <c r="AI161" s="1211">
        <f>SUM(AI146:AI160)</f>
        <v>666708.09957000008</v>
      </c>
      <c r="AJ161" s="1187"/>
      <c r="AK161" s="1187">
        <f>SUM(AK146:AK160)</f>
        <v>14682368.972575199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10" t="s">
        <v>894</v>
      </c>
      <c r="AN163" s="308" t="s">
        <v>847</v>
      </c>
    </row>
    <row r="164" spans="2:42" ht="15" customHeight="1">
      <c r="B164" s="46"/>
      <c r="C164" s="312"/>
      <c r="D164" s="312"/>
      <c r="P164" s="44"/>
      <c r="Q164" s="312"/>
      <c r="AM164" s="1212" t="s">
        <v>798</v>
      </c>
      <c r="AN164" s="1180" t="s">
        <v>849</v>
      </c>
      <c r="AO164" s="23" t="s">
        <v>856</v>
      </c>
      <c r="AP164" s="681" t="s">
        <v>895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90">
        <f>LnkTXTPISCOFINS</f>
        <v>1964938.6301020386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802</v>
      </c>
      <c r="AN166" s="890">
        <f ca="1">SUM(Financeiros!D12:D17)</f>
        <v>-422923.7214820254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2267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">
        <v>2267</v>
      </c>
      <c r="AN168" s="425"/>
      <c r="AO168" s="681">
        <f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90">
        <f>Financeiros!D25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90">
        <f>Financeiros!D26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90">
        <f>LnkTXTDICFIC</f>
        <v>-753199.52656899451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90">
        <f ca="1">LnkTxTSubvencaoCDE</f>
        <v>-29299244.538198307</v>
      </c>
      <c r="AO172" s="23">
        <f t="shared" ca="1" si="9"/>
        <v>1</v>
      </c>
      <c r="AP172" s="681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90">
        <f>Financeiros!D29</f>
        <v>-748800.9760169402</v>
      </c>
      <c r="AO173" s="23">
        <f t="shared" si="9"/>
        <v>1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896</v>
      </c>
      <c r="AN174" s="890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90">
        <f>Financeiros!D31</f>
        <v>0</v>
      </c>
      <c r="AO175" s="681">
        <f>IF(AN175=0,0,1)</f>
        <v>0</v>
      </c>
      <c r="AP175" s="681"/>
    </row>
    <row r="176" spans="2:42" ht="15" hidden="1" customHeight="1">
      <c r="B176" s="46"/>
      <c r="C176" s="312"/>
      <c r="D176" s="312"/>
      <c r="P176" s="44"/>
      <c r="Q176" s="312"/>
      <c r="AM176" s="53" t="s">
        <v>897</v>
      </c>
      <c r="AN176" s="890">
        <f>Financeiros!D38</f>
        <v>0</v>
      </c>
      <c r="AO176" s="23">
        <f t="shared" si="9"/>
        <v>0</v>
      </c>
      <c r="AP176" s="681"/>
    </row>
    <row r="177" spans="2:42" ht="15" hidden="1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91">
        <f>Financeiros!D36</f>
        <v>0</v>
      </c>
      <c r="AO177" s="23">
        <f t="shared" si="9"/>
        <v>0</v>
      </c>
      <c r="AP177" s="681"/>
    </row>
    <row r="178" spans="2:42" ht="15" hidden="1" customHeight="1">
      <c r="B178" s="46"/>
      <c r="C178" s="312"/>
      <c r="D178" s="312"/>
      <c r="P178" s="44"/>
      <c r="Q178" s="312"/>
      <c r="AM178" s="53" t="str">
        <f>Financeiros!C37</f>
        <v>Efeito COVID da Supridora</v>
      </c>
      <c r="AN178" s="891">
        <f>Financeiros!D37</f>
        <v>0</v>
      </c>
      <c r="AO178" s="23">
        <f t="shared" si="9"/>
        <v>0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Financeiros!C38</f>
        <v>Crédito de Pis Cofins sobre ICMS</v>
      </c>
      <c r="AN179" s="891">
        <f>Financeiros!D38</f>
        <v>0</v>
      </c>
      <c r="AO179" s="23">
        <f t="shared" si="9"/>
        <v>0</v>
      </c>
      <c r="AP179" s="681"/>
    </row>
    <row r="180" spans="2:42" ht="15" customHeight="1">
      <c r="B180" s="46"/>
      <c r="C180" s="312"/>
      <c r="D180" s="312"/>
      <c r="P180" s="44"/>
      <c r="Q180" s="312"/>
      <c r="AM180" s="53" t="s">
        <v>2326</v>
      </c>
      <c r="AN180" s="891">
        <f>Financeiros!D39+Financeiros!D40</f>
        <v>1590419.1786066839</v>
      </c>
      <c r="AO180" s="23">
        <f t="shared" si="9"/>
        <v>1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 t="str">
        <f>Financeiros!C40</f>
        <v>Reversão Diferimento Pis Cofins TE - RTA 2021</v>
      </c>
      <c r="AN181" s="891">
        <v>0</v>
      </c>
      <c r="AO181" s="23">
        <f t="shared" ref="AO181:AO186" si="10">IF(AN181=0,0,1)</f>
        <v>0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 t="str">
        <f>Financeiros!C41</f>
        <v>Financeiros associados ao §7º do Art. 88 da Ren 414/2021</v>
      </c>
      <c r="AN182" s="890">
        <f>Financeiros!D43</f>
        <v>0</v>
      </c>
      <c r="AO182" s="23">
        <f t="shared" si="10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Financeiros!C44</f>
        <v>0</v>
      </c>
      <c r="AN183" s="890">
        <f>Financeiros!D44</f>
        <v>0</v>
      </c>
      <c r="AO183" s="23">
        <f t="shared" si="10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Financeiros!C45</f>
        <v>0</v>
      </c>
      <c r="AN184" s="890">
        <f>Financeiros!D45</f>
        <v>0</v>
      </c>
      <c r="AO184" s="23">
        <f t="shared" si="10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Financeiros!C46</f>
        <v>0</v>
      </c>
      <c r="AN185" s="890">
        <f>Financeiros!D46</f>
        <v>0</v>
      </c>
      <c r="AO185" s="23">
        <f t="shared" si="10"/>
        <v>0</v>
      </c>
      <c r="AP185" s="1020"/>
    </row>
    <row r="186" spans="2:42" ht="15" hidden="1" customHeight="1">
      <c r="B186" s="46"/>
      <c r="C186" s="312"/>
      <c r="D186" s="312"/>
      <c r="P186" s="44"/>
      <c r="Q186" s="312"/>
      <c r="AM186" s="53">
        <f>Financeiros!C47</f>
        <v>0</v>
      </c>
      <c r="AN186" s="890">
        <f>Financeiros!D47</f>
        <v>0</v>
      </c>
      <c r="AO186" s="23">
        <f t="shared" si="10"/>
        <v>0</v>
      </c>
      <c r="AP186" s="1020"/>
    </row>
    <row r="187" spans="2:42" ht="15" hidden="1" customHeight="1">
      <c r="B187" s="46"/>
      <c r="C187" s="312"/>
      <c r="D187" s="312"/>
      <c r="P187" s="44"/>
      <c r="Q187" s="312"/>
      <c r="AM187" s="53" t="s">
        <v>2285</v>
      </c>
      <c r="AN187" s="890">
        <f ca="1">SUM(Financeiros!D57:D61)</f>
        <v>0</v>
      </c>
      <c r="AO187" s="23">
        <f t="shared" ca="1" si="9"/>
        <v>0</v>
      </c>
      <c r="AP187" s="681"/>
    </row>
    <row r="188" spans="2:42" ht="15" hidden="1" customHeight="1">
      <c r="B188" s="46"/>
      <c r="C188" s="312"/>
      <c r="D188" s="312"/>
      <c r="P188" s="44"/>
      <c r="Q188" s="312"/>
      <c r="AM188" s="53" t="s">
        <v>2295</v>
      </c>
      <c r="AN188" s="890">
        <f>Financeiros!D64</f>
        <v>0</v>
      </c>
      <c r="AO188" s="23">
        <f t="shared" si="9"/>
        <v>0</v>
      </c>
      <c r="AP188" s="681"/>
    </row>
    <row r="189" spans="2:42" ht="15" hidden="1" customHeight="1">
      <c r="B189" s="46"/>
      <c r="C189" s="312"/>
      <c r="D189" s="312"/>
      <c r="P189" s="44"/>
      <c r="Q189" s="312"/>
      <c r="AM189" s="53" t="s">
        <v>2296</v>
      </c>
      <c r="AN189" s="890">
        <f ca="1">SUM(Financeiros!D65:D75)</f>
        <v>0</v>
      </c>
      <c r="AO189" s="23">
        <f ca="1">IF(AN189=0,0,1)</f>
        <v>0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/>
      <c r="AN190" s="890"/>
      <c r="AO190" s="23">
        <f t="shared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/>
      <c r="AN191" s="890"/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/>
      <c r="AN192" s="890"/>
      <c r="AO192" s="23">
        <f t="shared" si="9"/>
        <v>0</v>
      </c>
      <c r="AP192" s="681"/>
    </row>
    <row r="193" spans="2:54" ht="15" hidden="1" customHeight="1">
      <c r="B193" s="46"/>
      <c r="C193" s="312"/>
      <c r="D193" s="312"/>
      <c r="P193" s="44"/>
      <c r="Q193" s="312"/>
      <c r="AM193" s="53"/>
      <c r="AN193" s="890"/>
      <c r="AO193" s="23">
        <f t="shared" si="9"/>
        <v>0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90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90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90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85" t="s">
        <v>801</v>
      </c>
      <c r="AN197" s="1213">
        <f ca="1">SUM(AN165:AN186)</f>
        <v>-27668810.953557543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705">
        <f ca="1">Financeiros!D7</f>
        <v>-27668810.953557543</v>
      </c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210" t="s">
        <v>898</v>
      </c>
      <c r="AQ200" s="308" t="s">
        <v>847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98" t="s">
        <v>899</v>
      </c>
      <c r="AQ201" s="1180" t="s">
        <v>900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901</v>
      </c>
      <c r="AQ202" s="230">
        <f>LnkTXTEfeitoAT</f>
        <v>0.1122626795192927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902</v>
      </c>
      <c r="AQ203" s="230">
        <f>LnkTXTEfeitoBT</f>
        <v>0.13694105402149548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85" t="s">
        <v>903</v>
      </c>
      <c r="AQ204" s="1191">
        <f>LnkTXTEfeito</f>
        <v>0.13229106125529899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210" t="s">
        <v>904</v>
      </c>
      <c r="AT206" s="30"/>
      <c r="AU206" s="30"/>
      <c r="AV206" s="30"/>
      <c r="AW206" s="30"/>
      <c r="AX206" s="308" t="s">
        <v>847</v>
      </c>
    </row>
    <row r="207" spans="2:54" ht="39" customHeight="1" thickBot="1">
      <c r="B207" s="54"/>
      <c r="C207" s="322"/>
      <c r="D207" s="54"/>
      <c r="AS207" s="1022" t="s">
        <v>905</v>
      </c>
      <c r="AT207" s="1022" t="s">
        <v>867</v>
      </c>
      <c r="AU207" s="1022" t="s">
        <v>906</v>
      </c>
      <c r="AV207" s="1022" t="s">
        <v>907</v>
      </c>
      <c r="AW207" s="1022" t="s">
        <v>908</v>
      </c>
      <c r="AX207" s="1022" t="s">
        <v>909</v>
      </c>
      <c r="AY207" s="323" t="s">
        <v>856</v>
      </c>
      <c r="BB207" s="412"/>
    </row>
    <row r="208" spans="2:54" ht="15" customHeight="1" thickTop="1">
      <c r="B208" s="54"/>
      <c r="C208" s="322"/>
      <c r="D208" s="54"/>
      <c r="AS208" s="1214" t="s">
        <v>910</v>
      </c>
      <c r="AT208" s="1215">
        <f ca="1">SUM(AT209:AT218)</f>
        <v>6477642.7304938613</v>
      </c>
      <c r="AU208" s="1215">
        <f ca="1">SUM(AU209:AU218)</f>
        <v>9486997.3474299759</v>
      </c>
      <c r="AV208" s="1216">
        <f ca="1">IF(AU208=0,0,ROUND(AU208/AT208-1,4))</f>
        <v>0.46460000000000001</v>
      </c>
      <c r="AW208" s="1216">
        <f ca="1">SUM(AW209:AW218)</f>
        <v>3.3588574758012461E-2</v>
      </c>
      <c r="AX208" s="1216">
        <f t="shared" ref="AX208:AX213" ca="1" si="11">AU208/$AU$226</f>
        <v>9.949076288143209E-2</v>
      </c>
      <c r="AY208" s="323">
        <v>1</v>
      </c>
    </row>
    <row r="209" spans="2:51" ht="15" hidden="1" customHeight="1">
      <c r="AS209" s="1023" t="str">
        <f t="shared" ref="AS209:AT212" si="12">I75</f>
        <v>Reserva Global de Reversão – RGR</v>
      </c>
      <c r="AT209" s="1024">
        <f t="shared" si="12"/>
        <v>0</v>
      </c>
      <c r="AU209" s="1024">
        <f>Resultado!D15</f>
        <v>0</v>
      </c>
      <c r="AV209" s="1025">
        <f t="shared" ref="AV209:AV224" si="13">IF(AU209=0,0,ROUND(AU209/AT209-1,3))</f>
        <v>0</v>
      </c>
      <c r="AW209" s="1025">
        <f ca="1">(AU209-AT209)/$AT$226</f>
        <v>0</v>
      </c>
      <c r="AX209" s="1025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1023" t="str">
        <f t="shared" si="12"/>
        <v>Conta de Consumo de Combustíveis – CCC</v>
      </c>
      <c r="AT210" s="1024">
        <f t="shared" si="12"/>
        <v>0</v>
      </c>
      <c r="AU210" s="1024">
        <f>Resultado!D16</f>
        <v>0</v>
      </c>
      <c r="AV210" s="1025">
        <f t="shared" si="13"/>
        <v>0</v>
      </c>
      <c r="AW210" s="1025">
        <f ca="1">(AU210-AT210)/$AT$226</f>
        <v>0</v>
      </c>
      <c r="AX210" s="1025">
        <f t="shared" ca="1" si="11"/>
        <v>0</v>
      </c>
      <c r="AY210" s="323">
        <f t="shared" ref="AY210:AY264" ca="1" si="14">IF(AW210=0,0,1)</f>
        <v>0</v>
      </c>
    </row>
    <row r="211" spans="2:51" ht="15" customHeight="1">
      <c r="B211" s="29"/>
      <c r="C211" s="39"/>
      <c r="H211" s="23"/>
      <c r="AS211" s="1023" t="str">
        <f t="shared" si="12"/>
        <v>Taxa de Fisc. de Serviços de E.E. – TFSEE</v>
      </c>
      <c r="AT211" s="1024">
        <f t="shared" ca="1" si="12"/>
        <v>212284.91908248374</v>
      </c>
      <c r="AU211" s="1024">
        <f ca="1">Resultado!D17</f>
        <v>224382.49700997537</v>
      </c>
      <c r="AV211" s="1025">
        <f ca="1">IF(AU211=0,0,ROUND(AU211/AT211-1,4))</f>
        <v>5.7000000000000002E-2</v>
      </c>
      <c r="AW211" s="1025">
        <f ca="1">(AU211-AT211)/$AT$226</f>
        <v>1.3502576210913203E-4</v>
      </c>
      <c r="AX211" s="1025">
        <f t="shared" ca="1" si="11"/>
        <v>2.3531139503070128E-3</v>
      </c>
      <c r="AY211" s="323">
        <f t="shared" ca="1" si="14"/>
        <v>1</v>
      </c>
    </row>
    <row r="212" spans="2:51" ht="15" customHeight="1">
      <c r="C212" s="28"/>
      <c r="H212" s="23"/>
      <c r="AS212" s="1023" t="str">
        <f t="shared" si="12"/>
        <v>Conta de Desenvolvimento Energético – CDE</v>
      </c>
      <c r="AT212" s="1024">
        <f t="shared" ca="1" si="12"/>
        <v>5409668.1473058127</v>
      </c>
      <c r="AU212" s="1024">
        <f ca="1">Resultado!D18-Encargos!I20</f>
        <v>7967235.2594800005</v>
      </c>
      <c r="AV212" s="1025">
        <f ca="1">IF(AU212=0,0,ROUND(AU212/AT212-1,4))</f>
        <v>0.4728</v>
      </c>
      <c r="AW212" s="1025">
        <f ca="1">(AU212-AT212)/$AT$226</f>
        <v>2.8545999086461406E-2</v>
      </c>
      <c r="AX212" s="1025">
        <f t="shared" ca="1" si="11"/>
        <v>8.3552918272528323E-2</v>
      </c>
      <c r="AY212" s="323">
        <f t="shared" ca="1" si="14"/>
        <v>1</v>
      </c>
    </row>
    <row r="213" spans="2:51" ht="15" hidden="1" customHeight="1">
      <c r="C213" s="28"/>
      <c r="H213" s="23"/>
      <c r="AS213" s="1023" t="s">
        <v>911</v>
      </c>
      <c r="AT213" s="1024">
        <f ca="1">J79</f>
        <v>0</v>
      </c>
      <c r="AU213" s="1024">
        <f>Encargos!I20</f>
        <v>0</v>
      </c>
      <c r="AV213" s="1025">
        <v>1</v>
      </c>
      <c r="AW213" s="1025">
        <f ca="1">(AU213-AT213)/$AT$226</f>
        <v>0</v>
      </c>
      <c r="AX213" s="1025">
        <f t="shared" ca="1" si="11"/>
        <v>0</v>
      </c>
      <c r="AY213" s="323">
        <f t="shared" ca="1" si="14"/>
        <v>0</v>
      </c>
    </row>
    <row r="214" spans="2:51" ht="15" hidden="1" customHeight="1">
      <c r="C214" s="28"/>
      <c r="H214" s="23"/>
      <c r="AS214" s="1023" t="s">
        <v>2211</v>
      </c>
      <c r="AT214" s="1024"/>
      <c r="AU214" s="1024">
        <f>Encargos!I21</f>
        <v>0</v>
      </c>
      <c r="AV214" s="1025"/>
      <c r="AW214" s="1025"/>
      <c r="AX214" s="1025"/>
      <c r="AY214" s="1014">
        <f>IF(AW214=0,0,1)</f>
        <v>0</v>
      </c>
    </row>
    <row r="215" spans="2:51" ht="12.75" hidden="1">
      <c r="C215" s="28"/>
      <c r="H215" s="23"/>
      <c r="AS215" s="1023" t="str">
        <f t="shared" ref="AS215:AT218" si="15">I80</f>
        <v>Encargos Serv. Sist. - ESS e Energ. Reserv. – EER</v>
      </c>
      <c r="AT215" s="1024">
        <f t="shared" ca="1" si="15"/>
        <v>0</v>
      </c>
      <c r="AU215" s="1024">
        <f>Resultado!D20</f>
        <v>0</v>
      </c>
      <c r="AV215" s="1025">
        <v>1</v>
      </c>
      <c r="AW215" s="1025">
        <f ca="1">(AU215-AT215)/$AT$226</f>
        <v>0</v>
      </c>
      <c r="AX215" s="1025">
        <f t="shared" ref="AX215:AX228" ca="1" si="16">AU215/$AU$226</f>
        <v>0</v>
      </c>
      <c r="AY215" s="323">
        <f ca="1">IF(AW215=0,0,1)</f>
        <v>0</v>
      </c>
    </row>
    <row r="216" spans="2:51" ht="15" customHeight="1">
      <c r="C216" s="28"/>
      <c r="H216" s="23"/>
      <c r="AS216" s="1023" t="str">
        <f t="shared" si="15"/>
        <v>PROINFA</v>
      </c>
      <c r="AT216" s="1024">
        <f t="shared" ca="1" si="15"/>
        <v>855689.66410556505</v>
      </c>
      <c r="AU216" s="1024">
        <f ca="1">Resultado!D21</f>
        <v>1295379.5909400003</v>
      </c>
      <c r="AV216" s="1025">
        <f ca="1">IF(AU216=0,0,ROUND(AU216/AT216-1,4))</f>
        <v>0.51380000000000003</v>
      </c>
      <c r="AW216" s="1025">
        <f ca="1">(AU216-AT216)/$AT$226</f>
        <v>4.9075499094419208E-3</v>
      </c>
      <c r="AX216" s="1025">
        <f t="shared" ca="1" si="16"/>
        <v>1.3584730658596752E-2</v>
      </c>
      <c r="AY216" s="323">
        <f t="shared" ca="1" si="14"/>
        <v>1</v>
      </c>
    </row>
    <row r="217" spans="2:51" ht="15" hidden="1" customHeight="1">
      <c r="B217" s="29"/>
      <c r="C217" s="39"/>
      <c r="H217" s="23"/>
      <c r="AS217" s="1023" t="str">
        <f t="shared" si="15"/>
        <v>P&amp;D e Eficiência Energética</v>
      </c>
      <c r="AT217" s="1024">
        <f t="shared" ca="1" si="15"/>
        <v>0</v>
      </c>
      <c r="AU217" s="1024">
        <f>Resultado!D22</f>
        <v>0</v>
      </c>
      <c r="AV217" s="1025">
        <f>IF(AU217=0,0,ROUND(AU217/AT217-1,4))</f>
        <v>0</v>
      </c>
      <c r="AW217" s="1025">
        <f ca="1">(AU217-AT217)/$AT$226</f>
        <v>0</v>
      </c>
      <c r="AX217" s="1025">
        <f t="shared" ca="1" si="16"/>
        <v>0</v>
      </c>
      <c r="AY217" s="323">
        <v>0</v>
      </c>
    </row>
    <row r="218" spans="2:51" ht="15" hidden="1" customHeight="1">
      <c r="C218" s="345"/>
      <c r="H218" s="23"/>
      <c r="AS218" s="1023" t="str">
        <f t="shared" si="15"/>
        <v>ONS</v>
      </c>
      <c r="AT218" s="1024">
        <f t="shared" ca="1" si="15"/>
        <v>0</v>
      </c>
      <c r="AU218" s="1024">
        <f>Resultado!D23</f>
        <v>0</v>
      </c>
      <c r="AV218" s="1025">
        <f t="shared" si="13"/>
        <v>0</v>
      </c>
      <c r="AW218" s="1025">
        <f ca="1">(AU218-AT218)/$AT$226</f>
        <v>0</v>
      </c>
      <c r="AX218" s="1025">
        <f t="shared" ca="1" si="16"/>
        <v>0</v>
      </c>
      <c r="AY218" s="323">
        <v>0</v>
      </c>
    </row>
    <row r="219" spans="2:51" ht="15" customHeight="1">
      <c r="C219" s="312"/>
      <c r="H219" s="23"/>
      <c r="AS219" s="1214" t="s">
        <v>912</v>
      </c>
      <c r="AT219" s="1215">
        <f ca="1">AT220</f>
        <v>25502882.871836431</v>
      </c>
      <c r="AU219" s="1215">
        <f ca="1">AU220</f>
        <v>23401021.987261694</v>
      </c>
      <c r="AV219" s="1216">
        <f ca="1">IF(AU219=0,0,ROUND(AU219/AT219-1,4))</f>
        <v>-8.2400000000000001E-2</v>
      </c>
      <c r="AW219" s="1216">
        <f ca="1">AW220</f>
        <v>-2.3459685028532316E-2</v>
      </c>
      <c r="AX219" s="1216">
        <f t="shared" ca="1" si="16"/>
        <v>0.24540805108884492</v>
      </c>
      <c r="AY219" s="323">
        <f t="shared" ca="1" si="14"/>
        <v>1</v>
      </c>
    </row>
    <row r="220" spans="2:51" ht="15" customHeight="1">
      <c r="C220" s="312"/>
      <c r="H220" s="23"/>
      <c r="AS220" s="1023" t="s">
        <v>870</v>
      </c>
      <c r="AT220" s="1024">
        <f ca="1">J85</f>
        <v>25502882.871836431</v>
      </c>
      <c r="AU220" s="1024">
        <f ca="1">Resultado!D33</f>
        <v>23401021.987261694</v>
      </c>
      <c r="AV220" s="1025">
        <f ca="1">IF(AU220=0,0,ROUND(AU220/AT220-1,4))</f>
        <v>-8.2400000000000001E-2</v>
      </c>
      <c r="AW220" s="1025">
        <f ca="1">(AU220-AT220)/$AT$226</f>
        <v>-2.3459685028532316E-2</v>
      </c>
      <c r="AX220" s="1025">
        <f t="shared" ca="1" si="16"/>
        <v>0.24540805108884492</v>
      </c>
      <c r="AY220" s="323">
        <f t="shared" ca="1" si="14"/>
        <v>1</v>
      </c>
    </row>
    <row r="221" spans="2:51" ht="15" customHeight="1">
      <c r="AS221" s="1214" t="s">
        <v>913</v>
      </c>
      <c r="AT221" s="1215">
        <f ca="1">SUM(AT222:AT225)</f>
        <v>12818289.607688224</v>
      </c>
      <c r="AU221" s="1215">
        <f>SUM(AU222:AU225)</f>
        <v>14682368.972575199</v>
      </c>
      <c r="AV221" s="1216">
        <f ca="1">IF(AU221=0,0,ROUND(AU221/AT221-1,4))</f>
        <v>0.1454</v>
      </c>
      <c r="AW221" s="1216">
        <f ca="1">SUM(AW222:AW225)</f>
        <v>2.0805713208409071E-2</v>
      </c>
      <c r="AX221" s="1216">
        <f t="shared" ca="1" si="16"/>
        <v>0.15397496557579349</v>
      </c>
      <c r="AY221" s="323">
        <f t="shared" ca="1" si="14"/>
        <v>1</v>
      </c>
    </row>
    <row r="222" spans="2:51" ht="15" hidden="1" customHeight="1">
      <c r="AS222" s="1023" t="str">
        <f>Resultado!B25</f>
        <v>Rede Básica</v>
      </c>
      <c r="AT222" s="1024">
        <f ca="1">J87</f>
        <v>0</v>
      </c>
      <c r="AU222" s="1024">
        <f>Resultado!D25</f>
        <v>0</v>
      </c>
      <c r="AV222" s="1025"/>
      <c r="AW222" s="1025">
        <f ca="1">(AU222-AT222)/$AT$226</f>
        <v>0</v>
      </c>
      <c r="AX222" s="1025">
        <f t="shared" ca="1" si="16"/>
        <v>0</v>
      </c>
      <c r="AY222" s="323">
        <f t="shared" ca="1" si="14"/>
        <v>0</v>
      </c>
    </row>
    <row r="223" spans="2:51" ht="15" hidden="1" customHeight="1">
      <c r="AS223" s="1023" t="str">
        <f>Resultado!B26</f>
        <v>Rede Básica Fronteira</v>
      </c>
      <c r="AT223" s="1024">
        <f ca="1">J88</f>
        <v>0</v>
      </c>
      <c r="AU223" s="1024">
        <f>Resultado!D26</f>
        <v>0</v>
      </c>
      <c r="AV223" s="1025"/>
      <c r="AW223" s="1025">
        <f ca="1">(AU223-AT223)/$AT$226</f>
        <v>0</v>
      </c>
      <c r="AX223" s="1025">
        <f t="shared" ca="1" si="16"/>
        <v>0</v>
      </c>
      <c r="AY223" s="323">
        <f t="shared" ca="1" si="14"/>
        <v>0</v>
      </c>
    </row>
    <row r="224" spans="2:51" ht="15" hidden="1" customHeight="1">
      <c r="H224" s="23"/>
      <c r="AS224" s="1023" t="str">
        <f>Resultado!B31</f>
        <v>Conexão</v>
      </c>
      <c r="AT224" s="1024">
        <f ca="1">J93</f>
        <v>0</v>
      </c>
      <c r="AU224" s="1024">
        <f>Resultado!D31</f>
        <v>0</v>
      </c>
      <c r="AV224" s="1025">
        <f t="shared" si="13"/>
        <v>0</v>
      </c>
      <c r="AW224" s="1025">
        <f ca="1">(AU224-AT224)/$AT$226</f>
        <v>0</v>
      </c>
      <c r="AX224" s="1025">
        <f t="shared" ca="1" si="16"/>
        <v>0</v>
      </c>
      <c r="AY224" s="323">
        <f t="shared" ca="1" si="14"/>
        <v>0</v>
      </c>
    </row>
    <row r="225" spans="2:51" ht="15" customHeight="1">
      <c r="H225" s="23"/>
      <c r="AS225" s="1023" t="str">
        <f>Resultado!B32</f>
        <v>Uso do sistema de distribuição</v>
      </c>
      <c r="AT225" s="1024">
        <f ca="1">J94</f>
        <v>12818289.607688224</v>
      </c>
      <c r="AU225" s="1024">
        <f>Resultado!D32</f>
        <v>14682368.972575199</v>
      </c>
      <c r="AV225" s="1025">
        <f ca="1">IF(AU225=0,0,ROUND(AU225/AT225-1,4))</f>
        <v>0.1454</v>
      </c>
      <c r="AW225" s="1025">
        <f ca="1">(AU225-AT225)/$AT$226</f>
        <v>2.0805713208409071E-2</v>
      </c>
      <c r="AX225" s="1025">
        <f t="shared" ca="1" si="16"/>
        <v>0.15397496557579349</v>
      </c>
      <c r="AY225" s="323">
        <f t="shared" ca="1" si="14"/>
        <v>1</v>
      </c>
    </row>
    <row r="226" spans="2:51" ht="15" hidden="1" customHeight="1">
      <c r="C226" s="19"/>
      <c r="AS226" s="1214" t="s">
        <v>914</v>
      </c>
      <c r="AT226" s="1215">
        <f ca="1">Mercado_RA0_Reais</f>
        <v>89594590.976749957</v>
      </c>
      <c r="AU226" s="1215">
        <f ca="1">AU208+AU219+AU221+AU228</f>
        <v>95355559.377266869</v>
      </c>
      <c r="AV226" s="1217"/>
      <c r="AW226" s="1217"/>
      <c r="AX226" s="1216">
        <f t="shared" ca="1" si="16"/>
        <v>1</v>
      </c>
      <c r="AY226" s="323">
        <f t="shared" si="14"/>
        <v>0</v>
      </c>
    </row>
    <row r="227" spans="2:51" ht="15" customHeight="1">
      <c r="C227" s="19"/>
      <c r="AS227" s="1218" t="s">
        <v>915</v>
      </c>
      <c r="AT227" s="1219">
        <f ca="1">AT208+AT219+AT221</f>
        <v>44798815.210018516</v>
      </c>
      <c r="AU227" s="1219">
        <f ca="1">AU208+AU219+AU221</f>
        <v>47570388.307266869</v>
      </c>
      <c r="AV227" s="1220">
        <f ca="1">IF(AU227=0,0,ROUND(AU227/AT227-1,4))</f>
        <v>6.1899999999999997E-2</v>
      </c>
      <c r="AW227" s="1220">
        <f ca="1">(AU227-AT227)/AT226</f>
        <v>3.093460293788923E-2</v>
      </c>
      <c r="AX227" s="1220">
        <f t="shared" ca="1" si="16"/>
        <v>0.49887377954607048</v>
      </c>
      <c r="AY227" s="323">
        <f t="shared" ca="1" si="14"/>
        <v>1</v>
      </c>
    </row>
    <row r="228" spans="2:51" ht="15" customHeight="1">
      <c r="B228" s="28"/>
      <c r="C228" s="19"/>
      <c r="AS228" s="1218" t="s">
        <v>916</v>
      </c>
      <c r="AT228" s="1219">
        <f ca="1">AT226-AT227</f>
        <v>44795775.766731441</v>
      </c>
      <c r="AU228" s="1219">
        <f>Resultado!D39</f>
        <v>47785171.07</v>
      </c>
      <c r="AV228" s="1220">
        <f ca="1">IF(AU228=0,0,ROUND(AU228/AT228-1,4))</f>
        <v>6.6699999999999995E-2</v>
      </c>
      <c r="AW228" s="1220">
        <f ca="1">(AU228-AT228)/AT226</f>
        <v>3.3365801112305048E-2</v>
      </c>
      <c r="AX228" s="1220">
        <f t="shared" ca="1" si="16"/>
        <v>0.50112622045392952</v>
      </c>
      <c r="AY228" s="323">
        <f t="shared" ca="1" si="14"/>
        <v>1</v>
      </c>
    </row>
    <row r="229" spans="2:51" ht="15" customHeight="1">
      <c r="AS229" s="1221" t="str">
        <f>Resultado!B7</f>
        <v>Variação econômica</v>
      </c>
      <c r="AT229" s="1221"/>
      <c r="AU229" s="1221"/>
      <c r="AV229" s="1222"/>
      <c r="AW229" s="1223">
        <f ca="1">ROUND((AU228+AU227)/(AT227+AT228)-1,4)</f>
        <v>6.4299999999999996E-2</v>
      </c>
      <c r="AX229" s="1222"/>
      <c r="AY229" s="323">
        <v>1</v>
      </c>
    </row>
    <row r="230" spans="2:51" ht="15" hidden="1" customHeight="1">
      <c r="AS230" s="1026"/>
      <c r="AT230" s="1026"/>
      <c r="AU230" s="1026"/>
      <c r="AV230" s="1027"/>
      <c r="AW230" s="1028"/>
      <c r="AX230" s="1028"/>
      <c r="AY230" s="323">
        <f t="shared" si="14"/>
        <v>0</v>
      </c>
    </row>
    <row r="231" spans="2:51" ht="15" customHeight="1">
      <c r="AS231" s="1214" t="s">
        <v>917</v>
      </c>
      <c r="AT231" s="1224"/>
      <c r="AU231" s="1224"/>
      <c r="AV231" s="1225"/>
      <c r="AW231" s="1216" t="s">
        <v>918</v>
      </c>
      <c r="AX231" s="1216"/>
      <c r="AY231" s="323">
        <v>1</v>
      </c>
    </row>
    <row r="232" spans="2:51" ht="15" customHeight="1">
      <c r="AS232" s="1029" t="str">
        <f>Financeiros!C9</f>
        <v>Repasse de PIS COFINS</v>
      </c>
      <c r="AT232" s="1029"/>
      <c r="AU232" s="1030">
        <f>LnkTXTPISCOFINS</f>
        <v>1964938.6301020386</v>
      </c>
      <c r="AV232" s="1031"/>
      <c r="AW232" s="1031">
        <f ca="1">LnkTXTPISCOFINSPer</f>
        <v>2.1931442609207798E-2</v>
      </c>
      <c r="AX232" s="1028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29" t="str">
        <f>AM166</f>
        <v>Neutralidade Encargos Setoriais</v>
      </c>
      <c r="AT233" s="1029"/>
      <c r="AU233" s="1030">
        <f ca="1">LnkTXTNeutralidade</f>
        <v>-422923.7214820254</v>
      </c>
      <c r="AV233" s="1031"/>
      <c r="AW233" s="1025">
        <f ca="1">AU233/Financeiros!$D$4</f>
        <v>-4.7204157848298595E-3</v>
      </c>
      <c r="AX233" s="1028"/>
      <c r="AY233" s="323">
        <f t="shared" ref="AY233:AY241" ca="1" si="17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32" t="str">
        <f>AM167</f>
        <v>Neutralidade Financeiros e Encargos Conta Covid</v>
      </c>
      <c r="AT234" s="1032"/>
      <c r="AU234" s="1033">
        <f ca="1">AN167</f>
        <v>0</v>
      </c>
      <c r="AV234" s="1032"/>
      <c r="AW234" s="1025">
        <f ca="1">AU234/Financeiros!$D$4</f>
        <v>0</v>
      </c>
      <c r="AX234" s="1028"/>
      <c r="AY234" s="323">
        <f t="shared" ca="1" si="17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32" t="str">
        <f t="shared" ref="AS235:AS246" si="18">AM169</f>
        <v>Ajustes Processos anteriores</v>
      </c>
      <c r="AT235" s="1032"/>
      <c r="AU235" s="1033">
        <f t="shared" ref="AU235:AU246" si="19">AN169</f>
        <v>0</v>
      </c>
      <c r="AV235" s="1031"/>
      <c r="AW235" s="1025">
        <f ca="1">AU235/Financeiros!$D$4</f>
        <v>0</v>
      </c>
      <c r="AX235" s="1028"/>
      <c r="AY235" s="323">
        <f t="shared" ca="1" si="17"/>
        <v>0</v>
      </c>
    </row>
    <row r="236" spans="2:51" ht="15" hidden="1" customHeight="1">
      <c r="B236" s="348"/>
      <c r="C236" s="349"/>
      <c r="D236" s="349"/>
      <c r="E236" s="349"/>
      <c r="F236" s="350"/>
      <c r="G236" s="350"/>
      <c r="H236" s="350"/>
      <c r="AS236" s="1032" t="str">
        <f t="shared" si="18"/>
        <v>Ajuste CUST + PISCONFINS Transmissão</v>
      </c>
      <c r="AT236" s="1032"/>
      <c r="AU236" s="1033">
        <f t="shared" si="19"/>
        <v>0</v>
      </c>
      <c r="AV236" s="1031"/>
      <c r="AW236" s="1025">
        <f ca="1">AU236/Financeiros!$D$4</f>
        <v>0</v>
      </c>
      <c r="AX236" s="1028"/>
      <c r="AY236" s="323">
        <f t="shared" ca="1" si="17"/>
        <v>0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32" t="str">
        <f t="shared" si="18"/>
        <v>Compensação DIC FIC</v>
      </c>
      <c r="AT237" s="1032"/>
      <c r="AU237" s="1033">
        <f t="shared" si="19"/>
        <v>-753199.52656899451</v>
      </c>
      <c r="AV237" s="1031"/>
      <c r="AW237" s="1025">
        <f ca="1">AU237/Financeiros!$D$4</f>
        <v>-8.4067522197233072E-3</v>
      </c>
      <c r="AX237" s="1028"/>
      <c r="AY237" s="323">
        <f t="shared" ca="1" si="17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32" t="str">
        <f t="shared" si="18"/>
        <v>Subvenção CDE</v>
      </c>
      <c r="AT238" s="1032"/>
      <c r="AU238" s="1033">
        <f t="shared" ca="1" si="19"/>
        <v>-29299244.538198307</v>
      </c>
      <c r="AV238" s="1031"/>
      <c r="AW238" s="1025">
        <f ca="1">AU238/Financeiros!$D$4</f>
        <v>-0.32702023882001474</v>
      </c>
      <c r="AX238" s="1028"/>
      <c r="AY238" s="323">
        <f t="shared" ca="1" si="17"/>
        <v>1</v>
      </c>
    </row>
    <row r="239" spans="2:51" ht="15" customHeight="1">
      <c r="B239" s="348"/>
      <c r="C239" s="349"/>
      <c r="D239" s="349"/>
      <c r="E239" s="349"/>
      <c r="F239" s="350"/>
      <c r="G239" s="350"/>
      <c r="H239" s="350"/>
      <c r="AS239" s="1032" t="str">
        <f t="shared" si="18"/>
        <v>Retenção de Adicionais de Bandeiras Tarifárias</v>
      </c>
      <c r="AT239" s="1032"/>
      <c r="AU239" s="1033">
        <f t="shared" si="19"/>
        <v>-748800.9760169402</v>
      </c>
      <c r="AV239" s="1031"/>
      <c r="AW239" s="1025">
        <f ca="1">AU239/Financeiros!$D$4</f>
        <v>-8.3576582900105664E-3</v>
      </c>
      <c r="AX239" s="1028"/>
      <c r="AY239" s="323">
        <f t="shared" ca="1" si="17"/>
        <v>1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32" t="str">
        <f t="shared" si="18"/>
        <v>Conta Covid-19</v>
      </c>
      <c r="AT240" s="1032"/>
      <c r="AU240" s="1033">
        <f t="shared" si="19"/>
        <v>0</v>
      </c>
      <c r="AV240" s="1031"/>
      <c r="AW240" s="1025">
        <f ca="1">AU240/Financeiros!$D$4</f>
        <v>0</v>
      </c>
      <c r="AX240" s="1028"/>
      <c r="AY240" s="323">
        <f t="shared" ca="1" si="17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32" t="str">
        <f t="shared" si="18"/>
        <v>Repasse de ICMS</v>
      </c>
      <c r="AT241" s="1032"/>
      <c r="AU241" s="1033">
        <f t="shared" si="19"/>
        <v>0</v>
      </c>
      <c r="AV241" s="1031"/>
      <c r="AW241" s="1025">
        <f ca="1">AU241/Financeiros!$D$4</f>
        <v>0</v>
      </c>
      <c r="AX241" s="1028"/>
      <c r="AY241" s="323">
        <f t="shared" ca="1" si="17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1032" t="str">
        <f t="shared" si="18"/>
        <v>Crédito Pis Cofins sobre ICMS</v>
      </c>
      <c r="AT242" s="1032"/>
      <c r="AU242" s="1033">
        <f t="shared" si="19"/>
        <v>0</v>
      </c>
      <c r="AV242" s="1031"/>
      <c r="AW242" s="1025">
        <f ca="1">AU242/Financeiros!$D$4</f>
        <v>0</v>
      </c>
      <c r="AX242" s="1028"/>
      <c r="AY242" s="1014">
        <f ca="1">IF(AW242=0,0,1)</f>
        <v>0</v>
      </c>
    </row>
    <row r="243" spans="2:51" ht="15" hidden="1" customHeight="1">
      <c r="B243" s="348"/>
      <c r="C243" s="349"/>
      <c r="D243" s="349"/>
      <c r="E243" s="349"/>
      <c r="F243" s="350"/>
      <c r="G243" s="350"/>
      <c r="H243" s="350"/>
      <c r="AS243" s="1032" t="str">
        <f t="shared" si="18"/>
        <v>Previsão de Risco Hidrologico</v>
      </c>
      <c r="AT243" s="1032"/>
      <c r="AU243" s="1033">
        <f t="shared" si="19"/>
        <v>0</v>
      </c>
      <c r="AV243" s="1031"/>
      <c r="AW243" s="1025">
        <f ca="1">AU243/Financeiros!$D$4</f>
        <v>0</v>
      </c>
      <c r="AX243" s="1028"/>
      <c r="AY243" s="1014">
        <f t="shared" ref="AY243:AY245" ca="1" si="20">IF(AW243=0,0,1)</f>
        <v>0</v>
      </c>
    </row>
    <row r="244" spans="2:51" ht="15" hidden="1" customHeight="1">
      <c r="B244" s="348"/>
      <c r="C244" s="349"/>
      <c r="D244" s="349"/>
      <c r="E244" s="349"/>
      <c r="F244" s="350"/>
      <c r="G244" s="350"/>
      <c r="H244" s="350"/>
      <c r="AS244" s="1032" t="str">
        <f t="shared" si="18"/>
        <v>Efeito COVID da Supridora</v>
      </c>
      <c r="AT244" s="1032"/>
      <c r="AU244" s="1033">
        <f t="shared" si="19"/>
        <v>0</v>
      </c>
      <c r="AV244" s="1031"/>
      <c r="AW244" s="1025">
        <f ca="1">AU244/Financeiros!$D$4</f>
        <v>0</v>
      </c>
      <c r="AX244" s="1028"/>
      <c r="AY244" s="1014">
        <f t="shared" ca="1" si="20"/>
        <v>0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32" t="str">
        <f t="shared" si="18"/>
        <v>Crédito de Pis Cofins sobre ICMS</v>
      </c>
      <c r="AT245" s="1032"/>
      <c r="AU245" s="1033">
        <f t="shared" si="19"/>
        <v>0</v>
      </c>
      <c r="AV245" s="1031"/>
      <c r="AW245" s="1025">
        <f ca="1">AU245/Financeiros!$D$4</f>
        <v>0</v>
      </c>
      <c r="AX245" s="1028"/>
      <c r="AY245" s="1014">
        <f t="shared" ca="1" si="20"/>
        <v>0</v>
      </c>
    </row>
    <row r="246" spans="2:51" ht="15" customHeight="1">
      <c r="B246" s="348"/>
      <c r="C246" s="349"/>
      <c r="D246" s="349"/>
      <c r="E246" s="349"/>
      <c r="F246" s="350"/>
      <c r="G246" s="350"/>
      <c r="H246" s="350"/>
      <c r="AS246" s="1032" t="str">
        <f t="shared" si="18"/>
        <v>Reversão Diferimento Pis Cofins - RTA 2021</v>
      </c>
      <c r="AT246" s="1032"/>
      <c r="AU246" s="1033">
        <f t="shared" si="19"/>
        <v>1590419.1786066839</v>
      </c>
      <c r="AV246" s="1031"/>
      <c r="AW246" s="1025">
        <f ca="1">AU246/Financeiros!$D$4</f>
        <v>1.7751285666557728E-2</v>
      </c>
      <c r="AX246" s="1028"/>
      <c r="AY246" s="1014">
        <f t="shared" ref="AY246:AY250" ca="1" si="21">IF(AW246=0,0,1)</f>
        <v>1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32" t="str">
        <f t="shared" ref="AS247:AS249" si="22">AM181</f>
        <v>Reversão Diferimento Pis Cofins TE - RTA 2021</v>
      </c>
      <c r="AT247" s="1032"/>
      <c r="AU247" s="1033">
        <f t="shared" ref="AU247:AU249" si="23">AN181</f>
        <v>0</v>
      </c>
      <c r="AV247" s="1031"/>
      <c r="AW247" s="1025">
        <f ca="1">AU247/Financeiros!$D$4</f>
        <v>0</v>
      </c>
      <c r="AX247" s="1028"/>
      <c r="AY247" s="1014">
        <f t="shared" ref="AY247:AY249" ca="1" si="24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32" t="str">
        <f t="shared" si="22"/>
        <v>Financeiros associados ao §7º do Art. 88 da Ren 414/2021</v>
      </c>
      <c r="AT248" s="1032"/>
      <c r="AU248" s="1033">
        <f t="shared" si="23"/>
        <v>0</v>
      </c>
      <c r="AV248" s="1031"/>
      <c r="AW248" s="1025">
        <f ca="1">AU248/Financeiros!$D$4</f>
        <v>0</v>
      </c>
      <c r="AX248" s="1028"/>
      <c r="AY248" s="1014">
        <f t="shared" ca="1" si="24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32">
        <f t="shared" si="22"/>
        <v>0</v>
      </c>
      <c r="AT249" s="1032"/>
      <c r="AU249" s="1033">
        <f t="shared" si="23"/>
        <v>0</v>
      </c>
      <c r="AV249" s="1031"/>
      <c r="AW249" s="1025">
        <f ca="1">AU249/Financeiros!$D$4</f>
        <v>0</v>
      </c>
      <c r="AX249" s="1028"/>
      <c r="AY249" s="1014">
        <f t="shared" ca="1" si="24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32">
        <f>AM184</f>
        <v>0</v>
      </c>
      <c r="AT250" s="1032"/>
      <c r="AU250" s="1033">
        <f>AN184</f>
        <v>0</v>
      </c>
      <c r="AV250" s="1031"/>
      <c r="AW250" s="1025">
        <f ca="1">AU250/Financeiros!$D$4</f>
        <v>0</v>
      </c>
      <c r="AX250" s="1028"/>
      <c r="AY250" s="1014">
        <f t="shared" ca="1" si="21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32">
        <f>AM185</f>
        <v>0</v>
      </c>
      <c r="AT251" s="1032"/>
      <c r="AU251" s="1033">
        <f>AN185</f>
        <v>0</v>
      </c>
      <c r="AV251" s="1031"/>
      <c r="AW251" s="1025">
        <f ca="1">AU251/Financeiros!$D$4</f>
        <v>0</v>
      </c>
      <c r="AX251" s="1028"/>
      <c r="AY251" s="1021">
        <f t="shared" ref="AY251:AY252" ca="1" si="25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32">
        <f>AM186</f>
        <v>0</v>
      </c>
      <c r="AT252" s="1032"/>
      <c r="AU252" s="1033">
        <f>AN186</f>
        <v>0</v>
      </c>
      <c r="AV252" s="1031"/>
      <c r="AW252" s="1025">
        <f ca="1">AU252/Financeiros!$D$4</f>
        <v>0</v>
      </c>
      <c r="AX252" s="1028"/>
      <c r="AY252" s="1021">
        <f t="shared" ca="1" si="25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32" t="str">
        <f t="shared" ref="AS253:AS260" si="26">AM187</f>
        <v>CVE Energia</v>
      </c>
      <c r="AT253" s="1032"/>
      <c r="AU253" s="1033">
        <f t="shared" ref="AU253:AU260" ca="1" si="27">AN187</f>
        <v>0</v>
      </c>
      <c r="AV253" s="1031"/>
      <c r="AW253" s="1025">
        <f ca="1">AU253/Financeiros!$D$4</f>
        <v>0</v>
      </c>
      <c r="AX253" s="1028"/>
      <c r="AY253" s="1021">
        <f t="shared" ref="AY253:AY260" ca="1" si="28">IF(AW253=0,0,1)</f>
        <v>0</v>
      </c>
    </row>
    <row r="254" spans="2:51" ht="15" hidden="1" customHeight="1">
      <c r="B254" s="348"/>
      <c r="C254" s="349"/>
      <c r="D254" s="349"/>
      <c r="E254" s="349"/>
      <c r="F254" s="350"/>
      <c r="G254" s="350"/>
      <c r="H254" s="350"/>
      <c r="AS254" s="1032" t="str">
        <f t="shared" si="26"/>
        <v>CVE Encargos</v>
      </c>
      <c r="AT254" s="1032"/>
      <c r="AU254" s="1033">
        <f t="shared" si="27"/>
        <v>0</v>
      </c>
      <c r="AV254" s="1031"/>
      <c r="AW254" s="1025">
        <f ca="1">AU254/Financeiros!$D$4</f>
        <v>0</v>
      </c>
      <c r="AX254" s="1028"/>
      <c r="AY254" s="1021">
        <f t="shared" ca="1" si="28"/>
        <v>0</v>
      </c>
    </row>
    <row r="255" spans="2:51" ht="15" hidden="1" customHeight="1">
      <c r="B255" s="348"/>
      <c r="C255" s="349"/>
      <c r="D255" s="349"/>
      <c r="E255" s="349"/>
      <c r="F255" s="350"/>
      <c r="G255" s="350"/>
      <c r="H255" s="350"/>
      <c r="AS255" s="1032" t="str">
        <f t="shared" si="26"/>
        <v>Conta Escassez Hídrica</v>
      </c>
      <c r="AT255" s="1032"/>
      <c r="AU255" s="1033">
        <f t="shared" ca="1" si="27"/>
        <v>0</v>
      </c>
      <c r="AV255" s="1031"/>
      <c r="AW255" s="1025">
        <f ca="1">AU255/Financeiros!$D$4</f>
        <v>0</v>
      </c>
      <c r="AX255" s="1028"/>
      <c r="AY255" s="1021">
        <f t="shared" ca="1" si="28"/>
        <v>0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32">
        <f t="shared" si="26"/>
        <v>0</v>
      </c>
      <c r="AT256" s="1032"/>
      <c r="AU256" s="1033">
        <f t="shared" si="27"/>
        <v>0</v>
      </c>
      <c r="AV256" s="1031"/>
      <c r="AW256" s="1025">
        <f ca="1">AU256/Financeiros!$D$4</f>
        <v>0</v>
      </c>
      <c r="AX256" s="1028"/>
      <c r="AY256" s="1021">
        <f t="shared" ca="1" si="28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32">
        <f t="shared" si="26"/>
        <v>0</v>
      </c>
      <c r="AT257" s="1032"/>
      <c r="AU257" s="1033">
        <f t="shared" si="27"/>
        <v>0</v>
      </c>
      <c r="AV257" s="1031"/>
      <c r="AW257" s="1025">
        <f ca="1">AU257/Financeiros!$D$4</f>
        <v>0</v>
      </c>
      <c r="AX257" s="1028"/>
      <c r="AY257" s="1021">
        <f t="shared" ca="1" si="28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32">
        <f t="shared" si="26"/>
        <v>0</v>
      </c>
      <c r="AT258" s="1032"/>
      <c r="AU258" s="1033">
        <f t="shared" si="27"/>
        <v>0</v>
      </c>
      <c r="AV258" s="1031"/>
      <c r="AW258" s="1025">
        <f ca="1">AU258/Financeiros!$D$4</f>
        <v>0</v>
      </c>
      <c r="AX258" s="1028"/>
      <c r="AY258" s="1021">
        <f t="shared" ca="1" si="28"/>
        <v>0</v>
      </c>
    </row>
    <row r="259" spans="2:84" ht="15" hidden="1" customHeight="1">
      <c r="B259" s="348"/>
      <c r="C259" s="349"/>
      <c r="D259" s="349"/>
      <c r="E259" s="349"/>
      <c r="F259" s="350"/>
      <c r="G259" s="350"/>
      <c r="H259" s="350"/>
      <c r="AS259" s="1032">
        <f t="shared" si="26"/>
        <v>0</v>
      </c>
      <c r="AT259" s="1032"/>
      <c r="AU259" s="1033">
        <f t="shared" si="27"/>
        <v>0</v>
      </c>
      <c r="AV259" s="1031"/>
      <c r="AW259" s="1025">
        <f ca="1">AU259/Financeiros!$D$4</f>
        <v>0</v>
      </c>
      <c r="AX259" s="1028"/>
      <c r="AY259" s="1021">
        <f t="shared" ca="1" si="28"/>
        <v>0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32">
        <f t="shared" si="26"/>
        <v>0</v>
      </c>
      <c r="AT260" s="1032"/>
      <c r="AU260" s="1033">
        <f t="shared" si="27"/>
        <v>0</v>
      </c>
      <c r="AV260" s="1031"/>
      <c r="AW260" s="1025">
        <f ca="1">AU260/Financeiros!$D$4</f>
        <v>0</v>
      </c>
      <c r="AX260" s="1028"/>
      <c r="AY260" s="1021">
        <f t="shared" ca="1" si="28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221" t="s">
        <v>919</v>
      </c>
      <c r="AT261" s="1221"/>
      <c r="AU261" s="1706">
        <f ca="1">SUM(AU232:AU252)</f>
        <v>-27668810.953557543</v>
      </c>
      <c r="AV261" s="1227"/>
      <c r="AW261" s="1227">
        <f ca="1">ROUND(SUM(AW232:AW252),4)</f>
        <v>-0.30880000000000002</v>
      </c>
      <c r="AX261" s="1227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228" t="str">
        <f>Resultado!B9</f>
        <v>Variação econômica e financeira</v>
      </c>
      <c r="AT262" s="1228"/>
      <c r="AU262" s="1228"/>
      <c r="AV262" s="1229"/>
      <c r="AW262" s="1229">
        <f ca="1">ROUND(AW229+AW261,4)</f>
        <v>-0.2445</v>
      </c>
      <c r="AX262" s="1229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221" t="s">
        <v>920</v>
      </c>
      <c r="AT263" s="1221"/>
      <c r="AU263" s="1221"/>
      <c r="AV263" s="1221"/>
      <c r="AW263" s="1230">
        <f ca="1">ROUND(AW265-AW262,4)</f>
        <v>0.37680000000000002</v>
      </c>
      <c r="AX263" s="1230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31" t="s">
        <v>921</v>
      </c>
      <c r="AT264" s="1231"/>
      <c r="AU264" s="1226"/>
      <c r="AV264" s="1226"/>
      <c r="AW264" s="1232">
        <v>0</v>
      </c>
      <c r="AX264" s="1233"/>
      <c r="AY264" s="323">
        <f t="shared" si="14"/>
        <v>0</v>
      </c>
      <c r="BA264" s="806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46" t="s">
        <v>922</v>
      </c>
      <c r="AT265" s="1746"/>
      <c r="AU265" s="1746"/>
      <c r="AV265" s="1746"/>
      <c r="AW265" s="1229">
        <f>Resultado!L5</f>
        <v>0.13229106125529899</v>
      </c>
      <c r="AX265" s="1229"/>
      <c r="AY265" s="323"/>
    </row>
    <row r="266" spans="2:84" ht="15" customHeight="1">
      <c r="AW266" s="808">
        <v>-0.1116</v>
      </c>
      <c r="BA266" s="1210" t="s">
        <v>2327</v>
      </c>
      <c r="BB266" s="30" t="s">
        <v>923</v>
      </c>
      <c r="BC266" s="30"/>
      <c r="BD266" s="30"/>
      <c r="BE266" s="30"/>
      <c r="BF266" s="30"/>
      <c r="BG266" s="30"/>
      <c r="BH266" s="308" t="s">
        <v>847</v>
      </c>
      <c r="BI266" s="308" t="s">
        <v>847</v>
      </c>
    </row>
    <row r="267" spans="2:84" ht="45" customHeight="1">
      <c r="AU267" s="425"/>
      <c r="BA267" s="1034" t="s">
        <v>924</v>
      </c>
      <c r="BB267" s="1034" t="str">
        <f>"Cobertura "&amp;YEAR(CAPA!C14)&amp;"/"&amp;YEAR(CAPA!C14)+1</f>
        <v>Cobertura 2021/2022</v>
      </c>
      <c r="BC267" s="1034" t="str">
        <f>"Cobertura "&amp;YEAR(CAPA!C14)&amp;"/"&amp;YEAR(CAPA!C14)+1&amp;" Atualizada"</f>
        <v>Cobertura 2021/2022 Atualizada</v>
      </c>
      <c r="BD267" s="1034" t="s">
        <v>925</v>
      </c>
      <c r="BE267" s="1034" t="s">
        <v>926</v>
      </c>
      <c r="BF267" s="1034" t="s">
        <v>927</v>
      </c>
      <c r="BG267" s="1034" t="str">
        <f>"Previsão "&amp;YEAR(CAPA!C14)+1&amp;"/"&amp;YEAR(CAPA!C14)+2</f>
        <v>Previsão 2022/2023</v>
      </c>
      <c r="BH267" s="1034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800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35" t="e">
        <f>Indexador!#REF!</f>
        <v>#REF!</v>
      </c>
      <c r="BC268" s="1035" t="e">
        <f>Indexador!#REF!</f>
        <v>#REF!</v>
      </c>
      <c r="BD268" s="1035" t="e">
        <f>Indexador!#REF!</f>
        <v>#REF!</v>
      </c>
      <c r="BE268" s="1035" t="e">
        <f>Indexador!#REF!</f>
        <v>#REF!</v>
      </c>
      <c r="BF268" s="1035">
        <f>BP288</f>
        <v>15360.407496332662</v>
      </c>
      <c r="BG268" s="1035">
        <f t="shared" ref="BG268:BH273" si="29">BQ288</f>
        <v>16495.042570614398</v>
      </c>
      <c r="BH268" s="1035">
        <f t="shared" si="29"/>
        <v>31855.450066947058</v>
      </c>
      <c r="BI268" s="357" t="e">
        <f>Indexador!#REF!</f>
        <v>#REF!</v>
      </c>
      <c r="BJ268" s="338">
        <f t="shared" ref="BJ268:BJ274" si="30">IF(BH268=0,0,1)</f>
        <v>1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31">BO289</f>
        <v>Subsidio Geração Fonte Incentivda</v>
      </c>
      <c r="BB269" s="1035" t="e">
        <f>Indexador!#REF!</f>
        <v>#REF!</v>
      </c>
      <c r="BC269" s="1035" t="e">
        <f>Indexador!#REF!</f>
        <v>#REF!</v>
      </c>
      <c r="BD269" s="1035" t="e">
        <f>Indexador!#REF!</f>
        <v>#REF!</v>
      </c>
      <c r="BE269" s="1035" t="e">
        <f>Indexador!#REF!</f>
        <v>#REF!</v>
      </c>
      <c r="BF269" s="1036">
        <f t="shared" ref="BF269:BF273" si="32">BP289</f>
        <v>0</v>
      </c>
      <c r="BG269" s="1036">
        <f t="shared" si="29"/>
        <v>0</v>
      </c>
      <c r="BH269" s="1036">
        <f t="shared" si="29"/>
        <v>0</v>
      </c>
      <c r="BI269" s="357" t="e">
        <f>Indexador!#REF!</f>
        <v>#REF!</v>
      </c>
      <c r="BJ269" s="338">
        <f t="shared" si="30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1"/>
        <v>Subsidio Distribuição</v>
      </c>
      <c r="BB270" s="1035" t="e">
        <f>Indexador!#REF!</f>
        <v>#REF!</v>
      </c>
      <c r="BC270" s="1035" t="e">
        <f>Indexador!#REF!</f>
        <v>#REF!</v>
      </c>
      <c r="BD270" s="1035" t="e">
        <f>Indexador!#REF!</f>
        <v>#REF!</v>
      </c>
      <c r="BE270" s="1035" t="e">
        <f>Indexador!#REF!</f>
        <v>#REF!</v>
      </c>
      <c r="BF270" s="1036">
        <f t="shared" si="32"/>
        <v>0</v>
      </c>
      <c r="BG270" s="1036">
        <f t="shared" si="29"/>
        <v>0</v>
      </c>
      <c r="BH270" s="1036">
        <f t="shared" si="29"/>
        <v>0</v>
      </c>
      <c r="BI270" s="357" t="e">
        <f>Indexador!#REF!</f>
        <v>#REF!</v>
      </c>
      <c r="BJ270" s="338">
        <f t="shared" si="30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1"/>
        <v>Subsidio Água, Esgoto e Saneamento</v>
      </c>
      <c r="BB271" s="1035" t="e">
        <f>Indexador!#REF!</f>
        <v>#REF!</v>
      </c>
      <c r="BC271" s="1035" t="e">
        <f>Indexador!#REF!</f>
        <v>#REF!</v>
      </c>
      <c r="BD271" s="1035" t="e">
        <f>Indexador!#REF!</f>
        <v>#REF!</v>
      </c>
      <c r="BE271" s="1035" t="e">
        <f>Indexador!#REF!</f>
        <v>#REF!</v>
      </c>
      <c r="BF271" s="1036">
        <f t="shared" si="32"/>
        <v>503.57982683365418</v>
      </c>
      <c r="BG271" s="1036">
        <f t="shared" si="29"/>
        <v>1873.6741606894918</v>
      </c>
      <c r="BH271" s="1036">
        <f t="shared" si="29"/>
        <v>2377.253987523146</v>
      </c>
      <c r="BI271" s="357" t="e">
        <f>Indexador!#REF!</f>
        <v>#REF!</v>
      </c>
      <c r="BJ271" s="338">
        <f t="shared" si="30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1"/>
        <v>Subsidio Rural</v>
      </c>
      <c r="BB272" s="1035" t="e">
        <f>Indexador!#REF!</f>
        <v>#REF!</v>
      </c>
      <c r="BC272" s="1035" t="e">
        <f>Indexador!#REF!</f>
        <v>#REF!</v>
      </c>
      <c r="BD272" s="1035" t="e">
        <f>Indexador!#REF!</f>
        <v>#REF!</v>
      </c>
      <c r="BE272" s="1035" t="e">
        <f>Indexador!#REF!</f>
        <v>#REF!</v>
      </c>
      <c r="BF272" s="1036">
        <f t="shared" si="32"/>
        <v>16422.700826959492</v>
      </c>
      <c r="BG272" s="1036">
        <f t="shared" si="29"/>
        <v>180057.75637952168</v>
      </c>
      <c r="BH272" s="1036">
        <f t="shared" si="29"/>
        <v>196480.45720648117</v>
      </c>
      <c r="BI272" s="357" t="e">
        <f>Indexador!#REF!</f>
        <v>#REF!</v>
      </c>
      <c r="BJ272" s="338">
        <f t="shared" si="30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1"/>
        <v>Subsidio - Irrigante/Aquicultor</v>
      </c>
      <c r="BB273" s="1035" t="e">
        <f>Indexador!#REF!</f>
        <v>#REF!</v>
      </c>
      <c r="BC273" s="1035" t="e">
        <f>Indexador!#REF!</f>
        <v>#REF!</v>
      </c>
      <c r="BD273" s="1035" t="e">
        <f>Indexador!#REF!</f>
        <v>#REF!</v>
      </c>
      <c r="BE273" s="1035" t="e">
        <f>Indexador!#REF!</f>
        <v>#REF!</v>
      </c>
      <c r="BF273" s="1036">
        <f t="shared" si="32"/>
        <v>5392.632865496872</v>
      </c>
      <c r="BG273" s="1036">
        <f t="shared" si="29"/>
        <v>71578.319896645276</v>
      </c>
      <c r="BH273" s="1036">
        <f t="shared" si="29"/>
        <v>76970.952762142144</v>
      </c>
      <c r="BI273" s="357" t="e">
        <f>Indexador!#REF!</f>
        <v>#REF!</v>
      </c>
      <c r="BJ273" s="338">
        <f t="shared" si="30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221" t="s">
        <v>834</v>
      </c>
      <c r="BB274" s="1234" t="e">
        <f t="shared" ref="BB274:BI274" si="33">SUM(BB268:BB273)</f>
        <v>#REF!</v>
      </c>
      <c r="BC274" s="1234" t="e">
        <f t="shared" si="33"/>
        <v>#REF!</v>
      </c>
      <c r="BD274" s="1234" t="e">
        <f t="shared" si="33"/>
        <v>#REF!</v>
      </c>
      <c r="BE274" s="1234" t="e">
        <f t="shared" si="33"/>
        <v>#REF!</v>
      </c>
      <c r="BF274" s="1235">
        <f t="shared" si="33"/>
        <v>37679.321015622685</v>
      </c>
      <c r="BG274" s="1235">
        <f t="shared" si="33"/>
        <v>270004.79300747084</v>
      </c>
      <c r="BH274" s="1235">
        <f t="shared" si="33"/>
        <v>307684.11402309348</v>
      </c>
      <c r="BI274" s="1236" t="e">
        <f t="shared" si="33"/>
        <v>#REF!</v>
      </c>
      <c r="BJ274" s="340">
        <f t="shared" si="30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210" t="s">
        <v>704</v>
      </c>
      <c r="BL275" s="358"/>
      <c r="BM275" s="308" t="s">
        <v>847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>
        <v>307684.11402309302</v>
      </c>
      <c r="BI276" s="358"/>
      <c r="BJ276" s="358"/>
      <c r="BK276" s="1237" t="s">
        <v>928</v>
      </c>
      <c r="BL276" s="1237" t="s">
        <v>867</v>
      </c>
      <c r="BM276" s="1237" t="s">
        <v>906</v>
      </c>
      <c r="BN276" s="474" t="s">
        <v>800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hidden="1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0</v>
      </c>
      <c r="BM277" s="360">
        <f>Resultado!D25</f>
        <v>0</v>
      </c>
      <c r="BN277" s="338">
        <f t="shared" ref="BN277:BN284" si="34">IF(BM277=0,0,1)</f>
        <v>0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hidden="1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0</v>
      </c>
      <c r="BM278" s="360">
        <f>Resultado!D26</f>
        <v>0</v>
      </c>
      <c r="BN278" s="338">
        <f t="shared" si="34"/>
        <v>0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792</v>
      </c>
      <c r="BL279" s="360"/>
      <c r="BM279" s="360"/>
      <c r="BN279" s="338">
        <f t="shared" si="34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793</v>
      </c>
      <c r="BL280" s="360"/>
      <c r="BM280" s="360"/>
      <c r="BN280" s="338">
        <f t="shared" si="34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794</v>
      </c>
      <c r="BL281" s="360"/>
      <c r="BM281" s="360"/>
      <c r="BN281" s="338">
        <f t="shared" si="34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795</v>
      </c>
      <c r="BL282" s="360"/>
      <c r="BM282" s="360"/>
      <c r="BN282" s="338">
        <f t="shared" si="34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0</v>
      </c>
      <c r="BM283" s="360">
        <f>Resultado!D31</f>
        <v>0</v>
      </c>
      <c r="BN283" s="338">
        <f t="shared" si="34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4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38" t="s">
        <v>929</v>
      </c>
      <c r="BL285" s="1236">
        <f ca="1">SUM(BL277:BL284)</f>
        <v>0</v>
      </c>
      <c r="BM285" s="1236">
        <f>SUM(BM277:BM284)</f>
        <v>0</v>
      </c>
      <c r="BN285" s="338">
        <f ca="1">IF(BL285=0,0,1)</f>
        <v>0</v>
      </c>
      <c r="BO285" s="1210" t="s">
        <v>930</v>
      </c>
      <c r="BP285" s="358"/>
      <c r="BQ285" s="358"/>
      <c r="BR285" s="308" t="s">
        <v>847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(Celetro).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39" t="s">
        <v>931</v>
      </c>
      <c r="BP287" s="1239" t="s">
        <v>932</v>
      </c>
      <c r="BQ287" s="1239" t="s">
        <v>933</v>
      </c>
      <c r="BR287" s="1240" t="s">
        <v>934</v>
      </c>
      <c r="BS287" s="413" t="s">
        <v>800</v>
      </c>
      <c r="BU287" s="358"/>
      <c r="BV287" s="358"/>
      <c r="BW287" s="308" t="s">
        <v>847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41" t="s">
        <v>935</v>
      </c>
      <c r="BP288" s="1242">
        <f>IFERROR(Aj.Subsídio!L5,0)</f>
        <v>15360.407496332662</v>
      </c>
      <c r="BQ288" s="1242">
        <f>IFERROR(Aj.Subsídio!M5,0)</f>
        <v>16495.042570614398</v>
      </c>
      <c r="BR288" s="1242">
        <f t="shared" ref="BR288:BR294" si="35">BP288+BQ288</f>
        <v>31855.450066947058</v>
      </c>
      <c r="BS288" s="414">
        <f t="shared" ref="BS288:BS294" si="36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41" t="s">
        <v>936</v>
      </c>
      <c r="BP289" s="1242">
        <f>IFERROR(Aj.Subsídio!L6,0)</f>
        <v>0</v>
      </c>
      <c r="BQ289" s="1242">
        <f>IFERROR(Aj.Subsídio!M6,0)</f>
        <v>0</v>
      </c>
      <c r="BR289" s="1243">
        <f t="shared" si="35"/>
        <v>0</v>
      </c>
      <c r="BS289" s="363">
        <f t="shared" si="36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41" t="s">
        <v>937</v>
      </c>
      <c r="BP290" s="1242">
        <f>IFERROR(Aj.Subsídio!L7,0)</f>
        <v>0</v>
      </c>
      <c r="BQ290" s="1242">
        <f>IFERROR(Aj.Subsídio!M7,0)</f>
        <v>0</v>
      </c>
      <c r="BR290" s="1243">
        <f t="shared" si="35"/>
        <v>0</v>
      </c>
      <c r="BS290" s="363">
        <f t="shared" si="36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41" t="s">
        <v>938</v>
      </c>
      <c r="BP291" s="1242">
        <f>IFERROR(Aj.Subsídio!L8,0)</f>
        <v>503.57982683365418</v>
      </c>
      <c r="BQ291" s="1242">
        <f>IFERROR(Aj.Subsídio!M8,0)</f>
        <v>1873.6741606894918</v>
      </c>
      <c r="BR291" s="1243">
        <f t="shared" si="35"/>
        <v>2377.253987523146</v>
      </c>
      <c r="BS291" s="363">
        <f t="shared" si="36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41" t="s">
        <v>939</v>
      </c>
      <c r="BP292" s="1242">
        <f>IFERROR(Aj.Subsídio!L9,0)</f>
        <v>16422.700826959492</v>
      </c>
      <c r="BQ292" s="1242">
        <f>IFERROR(Aj.Subsídio!M9,0)</f>
        <v>180057.75637952168</v>
      </c>
      <c r="BR292" s="1243">
        <f t="shared" si="35"/>
        <v>196480.45720648117</v>
      </c>
      <c r="BS292" s="363">
        <f t="shared" si="36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41" t="s">
        <v>940</v>
      </c>
      <c r="BP293" s="1242">
        <f>IFERROR(Aj.Subsídio!L10,0)</f>
        <v>5392.632865496872</v>
      </c>
      <c r="BQ293" s="1242">
        <f>IFERROR(Aj.Subsídio!M10,0)</f>
        <v>71578.319896645276</v>
      </c>
      <c r="BR293" s="1243">
        <f t="shared" si="35"/>
        <v>76970.952762142144</v>
      </c>
      <c r="BS293" s="363">
        <f t="shared" si="36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44" t="s">
        <v>843</v>
      </c>
      <c r="BP294" s="1242">
        <f>SUM(BP288:BP293)</f>
        <v>37679.321015622685</v>
      </c>
      <c r="BQ294" s="1242">
        <f>SUM(BQ288:BQ293)</f>
        <v>270004.79300747084</v>
      </c>
      <c r="BR294" s="1243">
        <f t="shared" si="35"/>
        <v>307684.11402309354</v>
      </c>
      <c r="BS294" s="414">
        <f t="shared" si="36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941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942</v>
      </c>
      <c r="BW296" s="60" t="s">
        <v>943</v>
      </c>
      <c r="BY296" s="23" t="s">
        <v>800</v>
      </c>
      <c r="BZ296" s="681" t="s">
        <v>944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A4 (2,3 a 25 kV)</v>
      </c>
      <c r="BV297" s="432">
        <f>Energia!I28</f>
        <v>0.1426</v>
      </c>
      <c r="BW297" s="432">
        <f>Energia!F28</f>
        <v>0.1426</v>
      </c>
      <c r="BY297" s="23">
        <f t="shared" ref="BY297:BY303" si="37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NOVA PALMA ENERGIA LTDA</v>
      </c>
      <c r="BU298" s="311" t="str">
        <f>Energia!C29</f>
        <v>A4 (2,3 a 25 kV)</v>
      </c>
      <c r="BV298" s="432">
        <f>Energia!I29</f>
        <v>0.1426</v>
      </c>
      <c r="BW298" s="432">
        <f>Energia!F29</f>
        <v>0.1426</v>
      </c>
      <c r="BY298" s="23">
        <f t="shared" si="37"/>
        <v>1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7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7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7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7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7"/>
        <v>#REF!</v>
      </c>
      <c r="BZ303" s="682" t="s">
        <v>701</v>
      </c>
      <c r="CB303" s="308" t="s">
        <v>847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45" t="s">
        <v>701</v>
      </c>
      <c r="CA304" s="1246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945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47" t="s">
        <v>946</v>
      </c>
      <c r="CA306" s="1248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40"/>
      <c r="C315" s="1740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40"/>
      <c r="C321" s="1740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40"/>
      <c r="C330" s="1740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S7:U7"/>
    <mergeCell ref="C75:E75"/>
    <mergeCell ref="C76:E76"/>
    <mergeCell ref="C77:E77"/>
    <mergeCell ref="C78:E78"/>
    <mergeCell ref="C74:E74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82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T213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7" zoomScale="90" zoomScaleNormal="90" workbookViewId="0">
      <selection activeCell="B33" sqref="B3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39" t="s">
        <v>947</v>
      </c>
      <c r="C1" s="1136"/>
      <c r="D1" s="1040"/>
      <c r="E1" s="1040"/>
      <c r="F1" s="1040"/>
      <c r="G1" s="1249" t="s">
        <v>948</v>
      </c>
      <c r="H1" s="1250">
        <f ca="1">LnkTXTIRTEco</f>
        <v>6.4299999999999996E-2</v>
      </c>
      <c r="I1" s="70"/>
      <c r="J1" s="70"/>
      <c r="P1" s="1251" t="s">
        <v>949</v>
      </c>
      <c r="Q1" s="1252"/>
      <c r="S1" s="1253" t="s">
        <v>950</v>
      </c>
      <c r="T1" s="1252" t="s">
        <v>951</v>
      </c>
      <c r="W1" s="1251" t="s">
        <v>950</v>
      </c>
      <c r="X1" s="1252" t="s">
        <v>951</v>
      </c>
    </row>
    <row r="2" spans="2:24" ht="14.25">
      <c r="B2" s="138" t="str">
        <f>CAPA!C9</f>
        <v>Celetro</v>
      </c>
      <c r="C2" s="70"/>
      <c r="D2" s="70"/>
      <c r="G2" s="121" t="s">
        <v>952</v>
      </c>
      <c r="H2" s="122">
        <f ca="1">LnkTXTIRTTotal</f>
        <v>-0.2445</v>
      </c>
      <c r="P2" s="1254">
        <f>DATE(YEAR(P4),MONTH(P4)-1,1)</f>
        <v>44378</v>
      </c>
      <c r="Q2" s="693"/>
      <c r="S2" s="692" t="s">
        <v>953</v>
      </c>
      <c r="T2" s="693" t="s">
        <v>954</v>
      </c>
      <c r="W2" s="692" t="s">
        <v>955</v>
      </c>
      <c r="X2" s="693" t="s">
        <v>954</v>
      </c>
    </row>
    <row r="3" spans="2:24" ht="14.25">
      <c r="P3" s="1251" t="s">
        <v>949</v>
      </c>
      <c r="Q3" s="1252"/>
      <c r="S3" s="1253" t="s">
        <v>950</v>
      </c>
      <c r="T3" s="1252" t="s">
        <v>951</v>
      </c>
      <c r="W3" s="1251" t="s">
        <v>950</v>
      </c>
      <c r="X3" s="1252" t="s">
        <v>951</v>
      </c>
    </row>
    <row r="4" spans="2:24" ht="14.25">
      <c r="P4" s="1254">
        <f>DATE(YEAR(P6),MONTH(P6)-1,1)</f>
        <v>44409</v>
      </c>
      <c r="Q4" s="693"/>
      <c r="S4" s="692" t="s">
        <v>601</v>
      </c>
      <c r="T4" s="693" t="s">
        <v>954</v>
      </c>
      <c r="W4" s="692" t="s">
        <v>955</v>
      </c>
      <c r="X4" s="693" t="s">
        <v>954</v>
      </c>
    </row>
    <row r="5" spans="2:24" ht="14.25">
      <c r="P5" s="1251" t="s">
        <v>949</v>
      </c>
      <c r="Q5" s="1252"/>
      <c r="S5" s="1251" t="s">
        <v>950</v>
      </c>
      <c r="T5" s="1252" t="s">
        <v>951</v>
      </c>
      <c r="V5" s="96"/>
      <c r="W5" s="1251" t="s">
        <v>950</v>
      </c>
      <c r="X5" s="1252" t="s">
        <v>951</v>
      </c>
    </row>
    <row r="6" spans="2:24" ht="14.25">
      <c r="B6" s="112" t="s">
        <v>956</v>
      </c>
      <c r="F6" s="112" t="s">
        <v>957</v>
      </c>
      <c r="I6" s="112" t="s">
        <v>958</v>
      </c>
      <c r="P6" s="1254">
        <f>DATE(YEAR(P8),MONTH(P8)-1,1)</f>
        <v>44440</v>
      </c>
      <c r="Q6" s="693"/>
      <c r="S6" s="692" t="str">
        <f>"=A3"</f>
        <v>=A3</v>
      </c>
      <c r="T6" s="693" t="s">
        <v>954</v>
      </c>
      <c r="W6" s="692" t="s">
        <v>955</v>
      </c>
      <c r="X6" s="693" t="s">
        <v>954</v>
      </c>
    </row>
    <row r="7" spans="2:24" ht="14.25">
      <c r="B7" s="1255" t="s">
        <v>852</v>
      </c>
      <c r="C7" s="1255" t="s">
        <v>120</v>
      </c>
      <c r="D7" s="1255" t="s">
        <v>959</v>
      </c>
      <c r="E7" s="97"/>
      <c r="F7" s="1255" t="s">
        <v>852</v>
      </c>
      <c r="G7" s="1255" t="s">
        <v>959</v>
      </c>
      <c r="I7" s="1256" t="s">
        <v>852</v>
      </c>
      <c r="J7" s="1256" t="s">
        <v>960</v>
      </c>
      <c r="L7" s="428" t="s">
        <v>961</v>
      </c>
      <c r="M7" s="428"/>
      <c r="N7" s="428" t="s">
        <v>799</v>
      </c>
      <c r="P7" s="1251" t="s">
        <v>949</v>
      </c>
      <c r="Q7" s="1252"/>
      <c r="S7" s="1251" t="s">
        <v>950</v>
      </c>
      <c r="T7" s="1252" t="s">
        <v>951</v>
      </c>
      <c r="W7" s="1251" t="s">
        <v>950</v>
      </c>
      <c r="X7" s="1252" t="s">
        <v>951</v>
      </c>
    </row>
    <row r="8" spans="2:24" ht="14.25">
      <c r="B8" s="1257" t="s">
        <v>962</v>
      </c>
      <c r="C8" s="1258">
        <f ca="1">SUM(C9:C15)</f>
        <v>92055.148000000016</v>
      </c>
      <c r="D8" s="1259">
        <f ca="1">SUM(D9:D15)</f>
        <v>88910895.00390996</v>
      </c>
      <c r="E8" s="97"/>
      <c r="F8" s="97" t="s">
        <v>963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0.16761577750014472</v>
      </c>
      <c r="L8" s="1260" t="s">
        <v>964</v>
      </c>
      <c r="M8" s="1261"/>
      <c r="N8" s="1262">
        <f>DSUM('BD MERCADO'!A2:AAA999982,"Total",S27:S28)</f>
        <v>14318341.83956</v>
      </c>
      <c r="P8" s="1254">
        <f>DATE(YEAR(P10),MONTH(P10)-1,1)</f>
        <v>44470</v>
      </c>
      <c r="Q8" s="693"/>
      <c r="S8" s="692" t="str">
        <f>"=A3a"</f>
        <v>=A3a</v>
      </c>
      <c r="T8" s="693" t="s">
        <v>954</v>
      </c>
      <c r="W8" s="692" t="s">
        <v>955</v>
      </c>
      <c r="X8" s="693" t="s">
        <v>954</v>
      </c>
    </row>
    <row r="9" spans="2:24" ht="14.25">
      <c r="B9" s="113" t="s">
        <v>953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63" t="s">
        <v>829</v>
      </c>
      <c r="J9" s="1264">
        <f ca="1">SUM(INDIRECT("dados_MercadoBase[[PisPasep]:[Cofins]]"))/SUM(INDIRECT("dados_MercadoBase[[PisPasep]:[ICMS]]"),INDIRECT("dados_MercadoBase[FinTotAj]"))</f>
        <v>0</v>
      </c>
      <c r="L9" s="97" t="s">
        <v>965</v>
      </c>
      <c r="M9" s="427"/>
      <c r="N9" s="116">
        <f>DSUM('BD MERCADO'!A2:AAA999982,"Total",S29:S30)</f>
        <v>6411755.0782400034</v>
      </c>
      <c r="P9" s="1251" t="s">
        <v>949</v>
      </c>
      <c r="Q9" s="1252"/>
      <c r="S9" s="1251" t="s">
        <v>950</v>
      </c>
      <c r="T9" s="1252" t="s">
        <v>951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966</v>
      </c>
      <c r="G10" s="116">
        <f t="shared" ca="1" si="0"/>
        <v>0</v>
      </c>
      <c r="L10" s="97" t="s">
        <v>967</v>
      </c>
      <c r="M10" s="427"/>
      <c r="N10" s="116">
        <f>DSUM('BD MERCADO'!A2:AAA999982,"Total",S31:S32)</f>
        <v>9700166.4142199978</v>
      </c>
      <c r="P10" s="1254">
        <f>DATE(YEAR(P12),MONTH(P12)-1,1)</f>
        <v>44501</v>
      </c>
      <c r="Q10" s="693"/>
      <c r="S10" s="692" t="s">
        <v>596</v>
      </c>
      <c r="T10" s="693" t="s">
        <v>954</v>
      </c>
      <c r="U10" s="95" t="s">
        <v>968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855689.66410556622</v>
      </c>
      <c r="L11" s="97" t="s">
        <v>969</v>
      </c>
      <c r="M11" s="427"/>
      <c r="N11" s="116">
        <f>DSUM('BD MERCADO'!A2:AAA999982,"Total",S33:S34)</f>
        <v>53065423.554100037</v>
      </c>
      <c r="P11" s="1251" t="s">
        <v>949</v>
      </c>
      <c r="Q11" s="1252"/>
      <c r="S11" s="1251" t="s">
        <v>950</v>
      </c>
      <c r="T11" s="1252" t="s">
        <v>951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5409668.147305808</v>
      </c>
      <c r="I12" s="112" t="s">
        <v>970</v>
      </c>
      <c r="L12" s="97" t="s">
        <v>971</v>
      </c>
      <c r="M12" s="427"/>
      <c r="N12" s="116">
        <f>DSUM('BD MERCADO'!A2:AAA999982,"Total",S35:S36)</f>
        <v>2638944.7634700001</v>
      </c>
      <c r="P12" s="1254">
        <f>DATE(YEAR(P14),MONTH(P14)-1,1)</f>
        <v>44531</v>
      </c>
      <c r="Q12" s="693"/>
      <c r="S12" s="692" t="s">
        <v>972</v>
      </c>
      <c r="T12" s="693" t="s">
        <v>954</v>
      </c>
      <c r="X12" s="98"/>
    </row>
    <row r="13" spans="2:24" ht="14.25">
      <c r="B13" s="113" t="s">
        <v>596</v>
      </c>
      <c r="C13" s="99">
        <f t="shared" ca="1" si="2"/>
        <v>15378.780999999999</v>
      </c>
      <c r="D13" s="114">
        <f t="shared" ca="1" si="1"/>
        <v>15112114.327939998</v>
      </c>
      <c r="E13" s="97"/>
      <c r="F13" s="97" t="s">
        <v>40</v>
      </c>
      <c r="G13" s="116">
        <f t="shared" ca="1" si="0"/>
        <v>212284.91908248357</v>
      </c>
      <c r="I13" s="1256" t="s">
        <v>852</v>
      </c>
      <c r="J13" s="1256" t="s">
        <v>973</v>
      </c>
      <c r="L13" s="97" t="s">
        <v>974</v>
      </c>
      <c r="M13" s="427"/>
      <c r="N13" s="116">
        <f>DSUM('BD MERCADO'!A2:AAA999982,"Total",S37:S38)</f>
        <v>2364437.6090999995</v>
      </c>
      <c r="P13" s="1251" t="s">
        <v>949</v>
      </c>
      <c r="Q13" s="1252"/>
      <c r="S13" s="1251" t="s">
        <v>950</v>
      </c>
      <c r="T13" s="1252" t="s">
        <v>951</v>
      </c>
      <c r="X13" s="98"/>
    </row>
    <row r="14" spans="2:24" ht="14.25">
      <c r="B14" s="113" t="s">
        <v>975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65" t="s">
        <v>976</v>
      </c>
      <c r="J14" s="1266">
        <f>CAPA!D41</f>
        <v>86134.504999999903</v>
      </c>
      <c r="L14" s="97" t="s">
        <v>977</v>
      </c>
      <c r="M14" s="427"/>
      <c r="N14" s="116">
        <f>DSUM('BD MERCADO'!A2:AAA999982,"Total",S39:S40)</f>
        <v>1004241.5409599999</v>
      </c>
      <c r="P14" s="1254">
        <f>DATE(YEAR(P16),MONTH(P16)-1,1)</f>
        <v>44562</v>
      </c>
      <c r="Q14" s="693"/>
      <c r="S14" s="692" t="s">
        <v>955</v>
      </c>
      <c r="T14" s="693" t="s">
        <v>954</v>
      </c>
      <c r="X14" s="98"/>
    </row>
    <row r="15" spans="2:24" ht="14.25">
      <c r="B15" s="113" t="s">
        <v>603</v>
      </c>
      <c r="C15" s="99">
        <f t="shared" ca="1" si="2"/>
        <v>76676.367000000013</v>
      </c>
      <c r="D15" s="114">
        <f t="shared" ca="1" si="1"/>
        <v>73798780.675969958</v>
      </c>
      <c r="E15" s="97"/>
      <c r="F15" s="97" t="s">
        <v>120</v>
      </c>
      <c r="G15" s="116">
        <f ca="1">SUM(C79:C84)</f>
        <v>25502882.871836431</v>
      </c>
      <c r="I15" s="1267" t="s">
        <v>907</v>
      </c>
      <c r="J15" s="1268">
        <f ca="1">IFERROR(Mercado_RA0_MWh/J14-1,0)</f>
        <v>7.2180364883969839E-2</v>
      </c>
      <c r="L15" s="1269" t="s">
        <v>978</v>
      </c>
      <c r="M15" s="1270"/>
      <c r="N15" s="1271">
        <f ca="1">D25-SUM(N8:N14)</f>
        <v>91280.17709992826</v>
      </c>
      <c r="P15" s="1251" t="s">
        <v>949</v>
      </c>
      <c r="Q15" s="1252"/>
      <c r="S15" s="1251" t="s">
        <v>979</v>
      </c>
      <c r="T15" s="1252" t="s">
        <v>951</v>
      </c>
      <c r="X15" s="98"/>
    </row>
    <row r="16" spans="2:24" ht="14.25">
      <c r="B16" s="1257" t="s">
        <v>980</v>
      </c>
      <c r="C16" s="1272">
        <f ca="1">DSUM(MercadoBase,"TUSD_E",INDIRECT("Mercado_CriterioResBr"))</f>
        <v>675.88699999999972</v>
      </c>
      <c r="D16" s="1273">
        <f ca="1">DSUM(MercadoBase,"Total",INDIRECT("Mercado_CriterioResBr"))</f>
        <v>621707.89808000007</v>
      </c>
      <c r="E16" s="97"/>
      <c r="F16" s="97" t="s">
        <v>981</v>
      </c>
      <c r="G16" s="116">
        <f ca="1">SUM(C87:C97)</f>
        <v>57613994.267906792</v>
      </c>
      <c r="P16" s="1254">
        <f>DATE(YEAR(P18),MONTH(P18)-1,1)</f>
        <v>44593</v>
      </c>
      <c r="Q16" s="693"/>
      <c r="S16" s="692" t="s">
        <v>982</v>
      </c>
      <c r="T16" s="693" t="s">
        <v>954</v>
      </c>
      <c r="X16" s="98"/>
    </row>
    <row r="17" spans="2:24" ht="14.25">
      <c r="B17" s="1257" t="s">
        <v>983</v>
      </c>
      <c r="C17" s="1272">
        <f ca="1">DSUM(MercadoBase,"TUSD_E",INDIRECT("Mercado_Criterio"&amp;$B17))</f>
        <v>0</v>
      </c>
      <c r="D17" s="1273">
        <f ca="1">DSUM(MercadoBase,"Total",INDIRECT("Mercado_Criterio"&amp;$B17))</f>
        <v>0</v>
      </c>
      <c r="E17" s="97"/>
      <c r="F17" s="1274" t="s">
        <v>834</v>
      </c>
      <c r="G17" s="1275">
        <f ca="1">SUM(G8:G16)</f>
        <v>89594519.870237082</v>
      </c>
      <c r="I17" s="228" t="str">
        <f>"Dado referente à "&amp;TEXT(P20,"mmmm/aaaa")</f>
        <v>Dado referente à abril/2022</v>
      </c>
      <c r="L17" s="79"/>
      <c r="P17" s="1251" t="s">
        <v>949</v>
      </c>
      <c r="Q17" s="1252"/>
      <c r="S17" s="1251" t="s">
        <v>951</v>
      </c>
      <c r="T17" s="1252"/>
      <c r="X17" s="98"/>
    </row>
    <row r="18" spans="2:24" ht="14.25">
      <c r="B18" s="1257" t="s">
        <v>984</v>
      </c>
      <c r="C18" s="1272">
        <f ca="1">DSUM(MercadoBase,"TUSD_E",INDIRECT("Mercado_Criterio"&amp;$B18))</f>
        <v>296.577</v>
      </c>
      <c r="D18" s="1273">
        <f ca="1">DSUM(MercadoBase,"Total",INDIRECT("Mercado_Criterio"&amp;$B18))</f>
        <v>683695.97284000006</v>
      </c>
      <c r="E18" s="97"/>
      <c r="I18" s="1276" t="s">
        <v>985</v>
      </c>
      <c r="J18" s="1277">
        <f>DSUM('BD MERCADO'!B2:BU708,"UC",C101:C102)</f>
        <v>23597</v>
      </c>
      <c r="L18" s="79"/>
      <c r="P18" s="1254">
        <f>DATE(YEAR(P20),MONTH(P20)-1,1)</f>
        <v>44621</v>
      </c>
      <c r="Q18" s="693"/>
      <c r="S18" s="692" t="s">
        <v>864</v>
      </c>
      <c r="T18" s="693"/>
      <c r="X18" s="98"/>
    </row>
    <row r="19" spans="2:24" ht="14.25">
      <c r="B19" s="115" t="s">
        <v>986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51" t="s">
        <v>949</v>
      </c>
      <c r="Q19" s="1252"/>
      <c r="S19" s="1251" t="s">
        <v>951</v>
      </c>
      <c r="T19" s="1252" t="s">
        <v>950</v>
      </c>
      <c r="X19" s="98"/>
    </row>
    <row r="20" spans="2:24" ht="14.25">
      <c r="B20" s="115" t="s">
        <v>987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54">
        <f>DATE(YEAR(P22),MONTH(P22)-1,1)</f>
        <v>44652</v>
      </c>
      <c r="Q20" s="693"/>
      <c r="S20" s="692" t="s">
        <v>984</v>
      </c>
      <c r="T20" s="693" t="s">
        <v>953</v>
      </c>
    </row>
    <row r="21" spans="2:24" ht="14.25">
      <c r="B21" s="115" t="s">
        <v>988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51" t="s">
        <v>949</v>
      </c>
      <c r="Q21" s="1252"/>
      <c r="S21" s="1251" t="s">
        <v>951</v>
      </c>
      <c r="T21" s="1252"/>
    </row>
    <row r="22" spans="2:24" ht="14.25">
      <c r="B22" s="115" t="s">
        <v>989</v>
      </c>
      <c r="C22" s="99">
        <f ca="1">C18-C19</f>
        <v>296.577</v>
      </c>
      <c r="D22" s="114">
        <f ca="1">D18-D19</f>
        <v>683695.97284000006</v>
      </c>
      <c r="F22" s="634"/>
      <c r="G22" s="635"/>
      <c r="L22" s="79"/>
      <c r="M22" s="101"/>
      <c r="N22" s="98"/>
      <c r="O22" s="98"/>
      <c r="P22" s="1254">
        <f>DATE(YEAR(P24),MONTH(P24)-1,1)</f>
        <v>44682</v>
      </c>
      <c r="Q22" s="693"/>
      <c r="S22" s="692" t="s">
        <v>826</v>
      </c>
      <c r="T22" s="693"/>
      <c r="X22" s="98"/>
    </row>
    <row r="23" spans="2:24" ht="14.25">
      <c r="B23" s="1257" t="s">
        <v>990</v>
      </c>
      <c r="C23" s="1272">
        <v>0</v>
      </c>
      <c r="D23" s="1273">
        <v>0</v>
      </c>
      <c r="E23" s="632"/>
      <c r="F23" s="634"/>
      <c r="G23" s="635"/>
      <c r="L23" s="79"/>
      <c r="M23" s="101"/>
      <c r="N23" s="98"/>
      <c r="O23" s="98"/>
      <c r="P23" s="1251" t="s">
        <v>949</v>
      </c>
      <c r="Q23" s="1252"/>
      <c r="S23" s="1251" t="s">
        <v>951</v>
      </c>
      <c r="T23" s="1252"/>
      <c r="X23" s="98"/>
    </row>
    <row r="24" spans="2:24" ht="14.25">
      <c r="B24" s="1257" t="s">
        <v>991</v>
      </c>
      <c r="C24" s="1278"/>
      <c r="D24" s="1279"/>
      <c r="E24" s="632"/>
      <c r="F24" s="634"/>
      <c r="G24" s="635"/>
      <c r="L24" s="79"/>
      <c r="P24" s="1254">
        <f>SAS_RA0_DataFim</f>
        <v>44713</v>
      </c>
      <c r="Q24" s="693"/>
      <c r="S24" s="692" t="s">
        <v>988</v>
      </c>
      <c r="T24" s="693"/>
      <c r="X24" s="98"/>
    </row>
    <row r="25" spans="2:24" ht="14.25">
      <c r="B25" s="1280" t="s">
        <v>834</v>
      </c>
      <c r="C25" s="1281">
        <f ca="1">C18+C8+C24+C20+C21+SuprimentoE</f>
        <v>92351.72500000002</v>
      </c>
      <c r="D25" s="1282">
        <f ca="1">D18+D8+D24+D20+D21+D17</f>
        <v>89594590.976749957</v>
      </c>
      <c r="E25" s="632"/>
      <c r="N25" s="69">
        <f>SUMIFS('BD MERCADO'!$P$3:$P$5984,'BD MERCADO'!$D$3:$D$5984,"A4",'BD MERCADO'!$I$3:$I$5984,U10)</f>
        <v>917.02499999999975</v>
      </c>
      <c r="S25" s="102" t="s">
        <v>951</v>
      </c>
      <c r="T25" s="103"/>
      <c r="X25" s="98"/>
    </row>
    <row r="26" spans="2:24" ht="14.25">
      <c r="F26" s="634"/>
      <c r="G26" s="635"/>
      <c r="S26" s="692" t="s">
        <v>992</v>
      </c>
      <c r="T26" s="693"/>
      <c r="X26" s="98"/>
    </row>
    <row r="27" spans="2:24" ht="14.25">
      <c r="F27" s="634"/>
      <c r="G27" s="635"/>
      <c r="I27" s="98"/>
      <c r="S27" s="1283" t="s">
        <v>587</v>
      </c>
      <c r="T27" s="1284"/>
      <c r="X27" s="98"/>
    </row>
    <row r="28" spans="2:24" ht="14.25">
      <c r="F28" s="228"/>
      <c r="G28" s="636"/>
      <c r="I28" s="98"/>
      <c r="S28" s="1285" t="s">
        <v>964</v>
      </c>
      <c r="T28" s="1286"/>
      <c r="X28" s="98"/>
    </row>
    <row r="29" spans="2:24" ht="14.25">
      <c r="I29" s="98"/>
      <c r="S29" s="1283" t="s">
        <v>587</v>
      </c>
      <c r="T29" s="1284"/>
    </row>
    <row r="30" spans="2:24" ht="14.25">
      <c r="I30" s="98"/>
      <c r="S30" s="1285" t="s">
        <v>965</v>
      </c>
      <c r="T30" s="1286"/>
    </row>
    <row r="31" spans="2:24" ht="16.5">
      <c r="B31"/>
      <c r="C31"/>
      <c r="H31" s="98"/>
      <c r="I31" s="98"/>
      <c r="S31" s="1283" t="s">
        <v>587</v>
      </c>
      <c r="T31" s="1284"/>
      <c r="X31" s="98"/>
    </row>
    <row r="32" spans="2:24" ht="14.25">
      <c r="H32" s="98"/>
      <c r="I32" s="98"/>
      <c r="S32" s="1285" t="s">
        <v>993</v>
      </c>
      <c r="T32" s="1286"/>
      <c r="X32" s="98"/>
    </row>
    <row r="33" spans="2:24" ht="16.5">
      <c r="B33" s="1698" t="s">
        <v>994</v>
      </c>
      <c r="C33" s="1699" t="s">
        <v>995</v>
      </c>
      <c r="D33"/>
      <c r="S33" s="1283" t="s">
        <v>587</v>
      </c>
      <c r="T33" s="1284"/>
      <c r="X33" s="98"/>
    </row>
    <row r="34" spans="2:24" ht="16.5">
      <c r="B34" s="1700">
        <v>44378</v>
      </c>
      <c r="C34" s="1701">
        <v>5467.097999999999</v>
      </c>
      <c r="D34"/>
      <c r="S34" s="1285" t="s">
        <v>969</v>
      </c>
      <c r="T34" s="1286"/>
      <c r="X34" s="98"/>
    </row>
    <row r="35" spans="2:24" ht="16.5">
      <c r="B35" s="1700">
        <v>44409</v>
      </c>
      <c r="C35" s="1701">
        <v>5698.9160000000002</v>
      </c>
      <c r="D35"/>
      <c r="S35" s="1283" t="s">
        <v>587</v>
      </c>
      <c r="T35" s="1284"/>
    </row>
    <row r="36" spans="2:24" ht="16.5">
      <c r="B36" s="1700">
        <v>44440</v>
      </c>
      <c r="C36" s="1701">
        <v>5614.2139999999972</v>
      </c>
      <c r="D36"/>
      <c r="M36" s="98"/>
      <c r="S36" s="1285" t="s">
        <v>971</v>
      </c>
      <c r="T36" s="1286"/>
    </row>
    <row r="37" spans="2:24" ht="16.5">
      <c r="B37" s="1700">
        <v>44470</v>
      </c>
      <c r="C37" s="1701">
        <v>5739.780999999999</v>
      </c>
      <c r="D37"/>
      <c r="M37" s="98"/>
      <c r="S37" s="1283" t="s">
        <v>587</v>
      </c>
      <c r="T37" s="1284"/>
    </row>
    <row r="38" spans="2:24" ht="16.5">
      <c r="B38" s="1700">
        <v>44501</v>
      </c>
      <c r="C38" s="1701">
        <v>8008.7870000000012</v>
      </c>
      <c r="D38"/>
      <c r="M38" s="98"/>
      <c r="S38" s="1285" t="s">
        <v>974</v>
      </c>
      <c r="T38" s="1286"/>
    </row>
    <row r="39" spans="2:24" ht="16.5">
      <c r="B39" s="1700">
        <v>44531</v>
      </c>
      <c r="C39" s="1701">
        <v>9453.2810000000027</v>
      </c>
      <c r="D39"/>
      <c r="S39" s="1283" t="s">
        <v>587</v>
      </c>
      <c r="T39" s="1284"/>
    </row>
    <row r="40" spans="2:24" ht="16.5">
      <c r="B40" s="1700">
        <v>44562</v>
      </c>
      <c r="C40" s="1701">
        <v>11551.189000000002</v>
      </c>
      <c r="D40"/>
      <c r="S40" s="1285" t="s">
        <v>996</v>
      </c>
      <c r="T40" s="1286"/>
    </row>
    <row r="41" spans="2:24" ht="16.5">
      <c r="B41" s="1700">
        <v>44593</v>
      </c>
      <c r="C41" s="1701">
        <v>10656.217000000001</v>
      </c>
      <c r="D41"/>
      <c r="N41" s="98"/>
      <c r="O41" s="98"/>
      <c r="P41" s="98"/>
      <c r="Q41" s="98"/>
      <c r="R41" s="98"/>
      <c r="S41" s="1283" t="s">
        <v>587</v>
      </c>
      <c r="T41" s="1284"/>
    </row>
    <row r="42" spans="2:24" ht="16.5">
      <c r="B42" s="1700">
        <v>44621</v>
      </c>
      <c r="C42" s="1701">
        <v>9532.5510000000013</v>
      </c>
      <c r="D42"/>
      <c r="N42" s="98"/>
      <c r="O42" s="98"/>
      <c r="P42" s="98"/>
      <c r="Q42" s="98"/>
      <c r="R42" s="98"/>
      <c r="S42" s="1285" t="s">
        <v>997</v>
      </c>
      <c r="T42" s="1286"/>
    </row>
    <row r="43" spans="2:24" ht="16.5">
      <c r="B43" s="1700">
        <v>44652</v>
      </c>
      <c r="C43" s="1701">
        <v>7274.5050000000001</v>
      </c>
      <c r="D43"/>
      <c r="N43" s="98"/>
      <c r="O43" s="98"/>
      <c r="P43" s="98"/>
      <c r="Q43" s="98"/>
      <c r="R43" s="98"/>
      <c r="S43" s="1251" t="s">
        <v>950</v>
      </c>
      <c r="T43" s="1252" t="s">
        <v>951</v>
      </c>
    </row>
    <row r="44" spans="2:24" ht="16.5">
      <c r="B44" s="1700">
        <v>44682</v>
      </c>
      <c r="C44" s="1701">
        <v>7061.9769999999999</v>
      </c>
      <c r="D44"/>
      <c r="S44" s="692" t="s">
        <v>601</v>
      </c>
      <c r="T44" s="693" t="s">
        <v>984</v>
      </c>
    </row>
    <row r="45" spans="2:24" ht="16.5">
      <c r="B45" s="1700">
        <v>44713</v>
      </c>
      <c r="C45" s="1701">
        <v>6412.3470000000016</v>
      </c>
      <c r="D45"/>
      <c r="S45" s="1251" t="s">
        <v>950</v>
      </c>
      <c r="T45" s="1252" t="s">
        <v>951</v>
      </c>
    </row>
    <row r="46" spans="2:24" ht="16.5">
      <c r="B46" s="1700" t="s">
        <v>998</v>
      </c>
      <c r="C46" s="1701">
        <v>92470.863000000012</v>
      </c>
      <c r="D46"/>
      <c r="S46" s="692" t="s">
        <v>598</v>
      </c>
      <c r="T46" s="693" t="s">
        <v>984</v>
      </c>
    </row>
    <row r="47" spans="2:24" ht="16.5">
      <c r="B47"/>
      <c r="C47"/>
      <c r="D47"/>
      <c r="S47" s="1251" t="s">
        <v>950</v>
      </c>
      <c r="T47" s="1252" t="s">
        <v>951</v>
      </c>
    </row>
    <row r="48" spans="2:24" ht="16.5">
      <c r="B48"/>
      <c r="C48"/>
      <c r="D48"/>
      <c r="S48" s="692" t="s">
        <v>600</v>
      </c>
      <c r="T48" s="693" t="s">
        <v>984</v>
      </c>
    </row>
    <row r="49" spans="2:21" ht="16.5">
      <c r="B49"/>
      <c r="C49"/>
      <c r="D49"/>
      <c r="S49" s="1251" t="s">
        <v>950</v>
      </c>
      <c r="T49" s="1252" t="s">
        <v>951</v>
      </c>
    </row>
    <row r="50" spans="2:21" ht="16.5">
      <c r="B50"/>
      <c r="C50"/>
      <c r="D50"/>
      <c r="S50" s="692" t="s">
        <v>596</v>
      </c>
      <c r="T50" s="693" t="s">
        <v>984</v>
      </c>
    </row>
    <row r="51" spans="2:21" ht="16.5">
      <c r="B51"/>
      <c r="C51"/>
      <c r="S51" s="1251" t="s">
        <v>950</v>
      </c>
      <c r="T51" s="1252" t="s">
        <v>951</v>
      </c>
    </row>
    <row r="52" spans="2:21" ht="16.5">
      <c r="B52"/>
      <c r="C52"/>
      <c r="S52" s="692" t="s">
        <v>955</v>
      </c>
      <c r="T52" s="693" t="s">
        <v>984</v>
      </c>
    </row>
    <row r="53" spans="2:21" ht="16.5">
      <c r="B53"/>
      <c r="C53"/>
      <c r="S53" s="1251" t="s">
        <v>950</v>
      </c>
      <c r="T53" s="1252" t="s">
        <v>951</v>
      </c>
    </row>
    <row r="54" spans="2:21" ht="14.25">
      <c r="S54" s="692" t="s">
        <v>972</v>
      </c>
      <c r="T54" s="693" t="s">
        <v>984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999</v>
      </c>
      <c r="K61" s="68"/>
    </row>
    <row r="62" spans="2:21" ht="14.25">
      <c r="B62" s="1287" t="s">
        <v>1000</v>
      </c>
      <c r="C62" s="1287"/>
      <c r="D62" s="1287" t="s">
        <v>963</v>
      </c>
      <c r="E62" s="1287" t="s">
        <v>49</v>
      </c>
      <c r="F62" s="1287" t="s">
        <v>966</v>
      </c>
      <c r="G62" s="1287" t="s">
        <v>47</v>
      </c>
      <c r="H62" s="1287" t="s">
        <v>41</v>
      </c>
      <c r="I62" s="1287" t="s">
        <v>40</v>
      </c>
      <c r="J62" s="1287" t="s">
        <v>126</v>
      </c>
      <c r="K62" s="1287" t="s">
        <v>1001</v>
      </c>
      <c r="L62" s="1287" t="s">
        <v>1002</v>
      </c>
      <c r="M62" s="1287" t="s">
        <v>1003</v>
      </c>
      <c r="N62" s="1287" t="s">
        <v>1004</v>
      </c>
      <c r="O62" s="1287" t="s">
        <v>1005</v>
      </c>
      <c r="P62" s="1287" t="s">
        <v>1006</v>
      </c>
      <c r="Q62" s="1287" t="s">
        <v>1007</v>
      </c>
      <c r="R62" s="1287" t="s">
        <v>1008</v>
      </c>
      <c r="S62" s="1287" t="s">
        <v>2163</v>
      </c>
      <c r="T62" s="1287" t="s">
        <v>1128</v>
      </c>
      <c r="U62" s="1287" t="s">
        <v>2248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49042.457350704601</v>
      </c>
      <c r="H63" s="104">
        <f t="shared" ca="1" si="4"/>
        <v>312570.73830061615</v>
      </c>
      <c r="I63" s="104">
        <f t="shared" ca="1" si="4"/>
        <v>12129.235121243417</v>
      </c>
      <c r="J63" s="104">
        <f t="shared" ca="1" si="4"/>
        <v>0</v>
      </c>
      <c r="K63" s="104">
        <f t="shared" ca="1" si="4"/>
        <v>27252</v>
      </c>
      <c r="L63" s="104">
        <f t="shared" ca="1" si="4"/>
        <v>0</v>
      </c>
      <c r="M63" s="104">
        <f t="shared" ca="1" si="4"/>
        <v>0</v>
      </c>
      <c r="N63" s="104">
        <f t="shared" ca="1" si="4"/>
        <v>3246.2423945999981</v>
      </c>
      <c r="O63" s="104">
        <f t="shared" ca="1" si="4"/>
        <v>210615.98366839992</v>
      </c>
      <c r="P63" s="104">
        <f t="shared" ca="1" si="4"/>
        <v>4217.4383920000009</v>
      </c>
      <c r="Q63" s="104">
        <f t="shared" ca="1" si="4"/>
        <v>7039.6231849999986</v>
      </c>
      <c r="R63" s="104">
        <f t="shared" ca="1" si="4"/>
        <v>2699197.1092675477</v>
      </c>
      <c r="S63" s="104">
        <f ca="1">DSUM(MercadoBase,S$62,INDIRECT("P"&amp;5+2*(ROW()-65)&amp;":P"&amp;6+2*(ROW()-65)))</f>
        <v>0</v>
      </c>
      <c r="T63" s="104">
        <f t="shared" ca="1" si="4"/>
        <v>-1654999.5403640398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52524.98478663995</v>
      </c>
      <c r="H64" s="104">
        <f t="shared" ca="1" si="4"/>
        <v>332967.28554411163</v>
      </c>
      <c r="I64" s="104">
        <f t="shared" ca="1" si="4"/>
        <v>13006.137621600648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3195.5166792000059</v>
      </c>
      <c r="O64" s="104">
        <f t="shared" ca="1" si="4"/>
        <v>222208.10260439996</v>
      </c>
      <c r="P64" s="104">
        <f t="shared" ca="1" si="4"/>
        <v>6823.4530860000004</v>
      </c>
      <c r="Q64" s="104">
        <f t="shared" ca="1" si="4"/>
        <v>7528.0636119999999</v>
      </c>
      <c r="R64" s="104">
        <f t="shared" ca="1" si="4"/>
        <v>2810733.7067171847</v>
      </c>
      <c r="S64" s="104">
        <f t="shared" ca="1" si="4"/>
        <v>0</v>
      </c>
      <c r="T64" s="104">
        <f t="shared" ca="1" si="4"/>
        <v>-1723387.6609941074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51694.838388658587</v>
      </c>
      <c r="H65" s="104">
        <f t="shared" ca="1" si="4"/>
        <v>328537.73544127762</v>
      </c>
      <c r="I65" s="104">
        <f t="shared" ca="1" si="4"/>
        <v>12800.889389179789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3223.8693845999969</v>
      </c>
      <c r="O65" s="104">
        <f t="shared" ca="1" si="4"/>
        <v>221918.49689999991</v>
      </c>
      <c r="P65" s="104">
        <f t="shared" ca="1" si="4"/>
        <v>6951.4307340000005</v>
      </c>
      <c r="Q65" s="104">
        <f t="shared" ca="1" si="4"/>
        <v>7732.4253219999991</v>
      </c>
      <c r="R65" s="104">
        <f t="shared" ca="1" si="4"/>
        <v>2789089.1946336664</v>
      </c>
      <c r="S65" s="104">
        <f t="shared" ca="1" si="4"/>
        <v>0</v>
      </c>
      <c r="T65" s="104">
        <f t="shared" ca="1" si="4"/>
        <v>-1710116.433996036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52902.511106947888</v>
      </c>
      <c r="H66" s="104">
        <f t="shared" ca="1" si="4"/>
        <v>335860.37354690488</v>
      </c>
      <c r="I66" s="104">
        <f t="shared" ca="1" si="4"/>
        <v>13100.739414218542</v>
      </c>
      <c r="J66" s="104">
        <f t="shared" ca="1" si="4"/>
        <v>0</v>
      </c>
      <c r="K66" s="104">
        <f t="shared" ca="1" si="4"/>
        <v>13525.216740000002</v>
      </c>
      <c r="L66" s="104">
        <f t="shared" ca="1" si="4"/>
        <v>0</v>
      </c>
      <c r="M66" s="104">
        <f t="shared" ca="1" si="4"/>
        <v>0</v>
      </c>
      <c r="N66" s="104">
        <f t="shared" ca="1" si="4"/>
        <v>3164.8859945999948</v>
      </c>
      <c r="O66" s="104">
        <f t="shared" ca="1" si="4"/>
        <v>232093.36015679987</v>
      </c>
      <c r="P66" s="104">
        <f t="shared" ca="1" si="4"/>
        <v>16479.257549999998</v>
      </c>
      <c r="Q66" s="104">
        <f t="shared" ca="1" si="4"/>
        <v>7870.6745839999994</v>
      </c>
      <c r="R66" s="104">
        <f t="shared" ca="1" si="4"/>
        <v>2833238.4921788825</v>
      </c>
      <c r="S66" s="104">
        <f t="shared" ca="1" si="4"/>
        <v>0</v>
      </c>
      <c r="T66" s="104">
        <f t="shared" ca="1" si="4"/>
        <v>-1737186.3604174363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74549.19317263503</v>
      </c>
      <c r="H67" s="104">
        <f t="shared" ca="1" si="4"/>
        <v>469507.98714655195</v>
      </c>
      <c r="I67" s="104">
        <f t="shared" ca="1" si="4"/>
        <v>18467.881684833246</v>
      </c>
      <c r="J67" s="104">
        <f t="shared" ca="1" si="4"/>
        <v>0</v>
      </c>
      <c r="K67" s="104">
        <f t="shared" ca="1" si="4"/>
        <v>17757.403200000001</v>
      </c>
      <c r="L67" s="104">
        <f t="shared" ca="1" si="4"/>
        <v>0</v>
      </c>
      <c r="M67" s="104">
        <f t="shared" ca="1" si="4"/>
        <v>0</v>
      </c>
      <c r="N67" s="104">
        <f t="shared" ca="1" si="4"/>
        <v>3313.7275284000016</v>
      </c>
      <c r="O67" s="104">
        <f t="shared" ca="1" si="4"/>
        <v>341637.13476519997</v>
      </c>
      <c r="P67" s="104">
        <f t="shared" ca="1" si="4"/>
        <v>112999.386818</v>
      </c>
      <c r="Q67" s="104">
        <f t="shared" ca="1" si="4"/>
        <v>8302.0750800000005</v>
      </c>
      <c r="R67" s="104">
        <f t="shared" ca="1" si="4"/>
        <v>3792445.0003829109</v>
      </c>
      <c r="S67" s="104">
        <f t="shared" ca="1" si="4"/>
        <v>0</v>
      </c>
      <c r="T67" s="104">
        <f t="shared" ca="1" si="4"/>
        <v>-2325319.1517357561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88295.819117512103</v>
      </c>
      <c r="H68" s="104">
        <f t="shared" ca="1" si="4"/>
        <v>557226.21827760572</v>
      </c>
      <c r="I68" s="104">
        <f t="shared" ca="1" si="4"/>
        <v>21852.107664294501</v>
      </c>
      <c r="J68" s="104">
        <f t="shared" ca="1" si="4"/>
        <v>0</v>
      </c>
      <c r="K68" s="104">
        <f t="shared" ca="1" si="4"/>
        <v>12604.050000000001</v>
      </c>
      <c r="L68" s="104">
        <f t="shared" ca="1" si="4"/>
        <v>0</v>
      </c>
      <c r="M68" s="104">
        <f t="shared" ca="1" si="4"/>
        <v>0</v>
      </c>
      <c r="N68" s="104">
        <f t="shared" ca="1" si="4"/>
        <v>3485.4302106000091</v>
      </c>
      <c r="O68" s="104">
        <f t="shared" ca="1" si="4"/>
        <v>433932.63948279986</v>
      </c>
      <c r="P68" s="104">
        <f t="shared" ca="1" si="4"/>
        <v>217366.43417600001</v>
      </c>
      <c r="Q68" s="104">
        <f t="shared" ca="1" si="4"/>
        <v>8782.3293400000002</v>
      </c>
      <c r="R68" s="104">
        <f t="shared" ca="1" si="4"/>
        <v>4478548.7286273474</v>
      </c>
      <c r="S68" s="104">
        <f t="shared" ca="1" si="4"/>
        <v>0</v>
      </c>
      <c r="T68" s="104">
        <f t="shared" ca="1" si="4"/>
        <v>-2746000.3057677862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108245.90181306469</v>
      </c>
      <c r="H69" s="104">
        <f t="shared" ca="1" si="4"/>
        <v>685123.26411540259</v>
      </c>
      <c r="I69" s="104">
        <f t="shared" ca="1" si="4"/>
        <v>26772.864496819275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3620.359800000002</v>
      </c>
      <c r="O69" s="104">
        <f t="shared" ca="1" si="4"/>
        <v>562400.34111359972</v>
      </c>
      <c r="P69" s="104">
        <f t="shared" ca="1" si="4"/>
        <v>228223.99070199998</v>
      </c>
      <c r="Q69" s="104">
        <f t="shared" ca="1" si="4"/>
        <v>9341.16597</v>
      </c>
      <c r="R69" s="104">
        <f t="shared" ca="1" si="4"/>
        <v>5538571.2306356747</v>
      </c>
      <c r="S69" s="104">
        <f t="shared" ca="1" si="4"/>
        <v>0</v>
      </c>
      <c r="T69" s="104">
        <f t="shared" ca="1" si="4"/>
        <v>-3395947.9318881249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99552.754497030197</v>
      </c>
      <c r="H70" s="104">
        <f t="shared" ca="1" si="4"/>
        <v>630515.97036696505</v>
      </c>
      <c r="I70" s="104">
        <f t="shared" ca="1" si="4"/>
        <v>24637.071071050079</v>
      </c>
      <c r="J70" s="104">
        <f t="shared" ca="1" si="4"/>
        <v>0</v>
      </c>
      <c r="K70" s="104">
        <f t="shared" ca="1" si="4"/>
        <v>17269.592400000001</v>
      </c>
      <c r="L70" s="104">
        <f t="shared" ca="1" si="4"/>
        <v>0</v>
      </c>
      <c r="M70" s="104">
        <f t="shared" ca="1" si="4"/>
        <v>0</v>
      </c>
      <c r="N70" s="104">
        <f t="shared" ca="1" si="4"/>
        <v>3800.1574439999977</v>
      </c>
      <c r="O70" s="104">
        <f t="shared" ca="1" si="4"/>
        <v>508526.07577119989</v>
      </c>
      <c r="P70" s="104">
        <f t="shared" ca="1" si="4"/>
        <v>122053.992784</v>
      </c>
      <c r="Q70" s="104">
        <f t="shared" ca="1" si="4"/>
        <v>9676.6523649999981</v>
      </c>
      <c r="R70" s="104">
        <f t="shared" ca="1" si="4"/>
        <v>5213989.7530379668</v>
      </c>
      <c r="S70" s="104">
        <f t="shared" ca="1" si="4"/>
        <v>0</v>
      </c>
      <c r="T70" s="104">
        <f t="shared" ca="1" si="4"/>
        <v>-3196932.3822676479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86614.905093805326</v>
      </c>
      <c r="H71" s="104">
        <f t="shared" ca="1" si="4"/>
        <v>549734.59734808316</v>
      </c>
      <c r="I71" s="104">
        <f t="shared" ca="1" si="4"/>
        <v>21435.687755322982</v>
      </c>
      <c r="J71" s="104">
        <f t="shared" ca="1" si="4"/>
        <v>0</v>
      </c>
      <c r="K71" s="104">
        <f t="shared" ca="1" si="4"/>
        <v>21406.446</v>
      </c>
      <c r="L71" s="104">
        <f t="shared" ca="1" si="4"/>
        <v>0</v>
      </c>
      <c r="M71" s="104">
        <f t="shared" ca="1" si="4"/>
        <v>0</v>
      </c>
      <c r="N71" s="104">
        <f t="shared" ca="1" si="4"/>
        <v>3442.9214916000046</v>
      </c>
      <c r="O71" s="104">
        <f t="shared" ca="1" si="4"/>
        <v>415175.68673839991</v>
      </c>
      <c r="P71" s="104">
        <f t="shared" ca="1" si="4"/>
        <v>66782.981079999998</v>
      </c>
      <c r="Q71" s="104">
        <f t="shared" ca="1" si="4"/>
        <v>9892.985967999999</v>
      </c>
      <c r="R71" s="104">
        <f t="shared" ca="1" si="4"/>
        <v>4632178.7618618784</v>
      </c>
      <c r="S71" s="104">
        <f t="shared" ca="1" si="4"/>
        <v>0</v>
      </c>
      <c r="T71" s="104">
        <f t="shared" ca="1" si="4"/>
        <v>-2840197.8112097885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69055.911981843048</v>
      </c>
      <c r="H72" s="104">
        <f t="shared" ca="1" si="4"/>
        <v>433064.95836347621</v>
      </c>
      <c r="I72" s="104">
        <f t="shared" ca="1" si="4"/>
        <v>17262.184471299639</v>
      </c>
      <c r="J72" s="104">
        <f t="shared" ca="1" si="4"/>
        <v>0</v>
      </c>
      <c r="K72" s="104">
        <f t="shared" ca="1" si="4"/>
        <v>20613.412800000002</v>
      </c>
      <c r="L72" s="104">
        <f t="shared" ca="1" si="4"/>
        <v>0</v>
      </c>
      <c r="M72" s="104">
        <f t="shared" ca="1" si="4"/>
        <v>0</v>
      </c>
      <c r="N72" s="104">
        <f t="shared" ca="1" si="4"/>
        <v>3675.3974045999948</v>
      </c>
      <c r="O72" s="104">
        <f t="shared" ca="1" si="4"/>
        <v>315630.36402560002</v>
      </c>
      <c r="P72" s="104">
        <f t="shared" ca="1" si="4"/>
        <v>20998.139326000004</v>
      </c>
      <c r="Q72" s="104">
        <f t="shared" ca="1" si="4"/>
        <v>20847.622793500002</v>
      </c>
      <c r="R72" s="104">
        <f t="shared" ca="1" si="4"/>
        <v>3732218.3572201887</v>
      </c>
      <c r="S72" s="104">
        <f t="shared" ca="1" si="4"/>
        <v>0</v>
      </c>
      <c r="T72" s="104">
        <f t="shared" ca="1" si="4"/>
        <v>-2288391.4792772513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64687.488742857364</v>
      </c>
      <c r="H73" s="104">
        <f t="shared" ca="1" si="4"/>
        <v>406212.30976032169</v>
      </c>
      <c r="I73" s="104">
        <f t="shared" ca="1" si="4"/>
        <v>16171.854214662015</v>
      </c>
      <c r="J73" s="104">
        <f t="shared" ca="1" si="4"/>
        <v>0</v>
      </c>
      <c r="K73" s="104">
        <f t="shared" ca="1" si="4"/>
        <v>26099.240400000002</v>
      </c>
      <c r="L73" s="104">
        <f t="shared" ca="1" si="4"/>
        <v>0</v>
      </c>
      <c r="M73" s="104">
        <f t="shared" ca="1" si="4"/>
        <v>0</v>
      </c>
      <c r="N73" s="104">
        <f t="shared" ca="1" si="4"/>
        <v>3509.1456012000026</v>
      </c>
      <c r="O73" s="104">
        <f t="shared" ca="1" si="4"/>
        <v>257128.73828119985</v>
      </c>
      <c r="P73" s="104">
        <f t="shared" ca="1" si="4"/>
        <v>3847.8113999999996</v>
      </c>
      <c r="Q73" s="104">
        <f t="shared" ca="1" si="4"/>
        <v>21310.2486125</v>
      </c>
      <c r="R73" s="104">
        <f t="shared" ca="1" si="4"/>
        <v>3228881.2043914171</v>
      </c>
      <c r="S73" s="104">
        <f t="shared" ca="1" si="4"/>
        <v>0</v>
      </c>
      <c r="T73" s="104">
        <f t="shared" ca="1" si="4"/>
        <v>-1979772.7593921321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58522.898053866324</v>
      </c>
      <c r="H74" s="104">
        <f t="shared" ca="1" si="4"/>
        <v>368346.70909449598</v>
      </c>
      <c r="I74" s="104">
        <f t="shared" ca="1" si="4"/>
        <v>14648.266177959626</v>
      </c>
      <c r="J74" s="104">
        <f t="shared" ca="1" si="4"/>
        <v>0</v>
      </c>
      <c r="K74" s="104">
        <f t="shared" ca="1" si="4"/>
        <v>17863.686000000002</v>
      </c>
      <c r="L74" s="104">
        <f t="shared" ca="1" si="4"/>
        <v>0</v>
      </c>
      <c r="M74" s="104">
        <f t="shared" ca="1" si="4"/>
        <v>0</v>
      </c>
      <c r="N74" s="104">
        <f t="shared" ca="1" si="4"/>
        <v>3533.2677737999998</v>
      </c>
      <c r="O74" s="104">
        <f t="shared" ca="1" si="4"/>
        <v>236204.51081919999</v>
      </c>
      <c r="P74" s="104">
        <f t="shared" ca="1" si="4"/>
        <v>2847.3131639999997</v>
      </c>
      <c r="Q74" s="104">
        <f t="shared" ca="1" si="4"/>
        <v>22178.215564500002</v>
      </c>
      <c r="R74" s="104">
        <f t="shared" ca="1" si="4"/>
        <v>3046613.1212638593</v>
      </c>
      <c r="S74" s="104">
        <f t="shared" ca="1" si="4"/>
        <v>0</v>
      </c>
      <c r="T74" s="104">
        <f t="shared" ca="1" si="4"/>
        <v>-1868015.9733599345</v>
      </c>
      <c r="U74" s="104">
        <f t="shared" ca="1" si="4"/>
        <v>0</v>
      </c>
    </row>
    <row r="75" spans="2:21" ht="14.25">
      <c r="B75" s="1288" t="s">
        <v>1009</v>
      </c>
      <c r="C75" s="1289"/>
      <c r="D75" s="1289">
        <f t="shared" ref="D75:Q75" ca="1" si="5">SUM(D63:D74)</f>
        <v>0</v>
      </c>
      <c r="E75" s="1289">
        <f t="shared" ca="1" si="5"/>
        <v>0</v>
      </c>
      <c r="F75" s="1289">
        <f t="shared" ca="1" si="5"/>
        <v>0</v>
      </c>
      <c r="G75" s="1289">
        <f t="shared" ca="1" si="5"/>
        <v>855689.66410556505</v>
      </c>
      <c r="H75" s="1289">
        <f t="shared" ca="1" si="5"/>
        <v>5409668.1473058127</v>
      </c>
      <c r="I75" s="1289">
        <f t="shared" ca="1" si="5"/>
        <v>212284.91908248374</v>
      </c>
      <c r="J75" s="1289">
        <f t="shared" ca="1" si="5"/>
        <v>0</v>
      </c>
      <c r="K75" s="1289">
        <f t="shared" ca="1" si="5"/>
        <v>174391.04754</v>
      </c>
      <c r="L75" s="1289">
        <f t="shared" ca="1" si="5"/>
        <v>0</v>
      </c>
      <c r="M75" s="1289">
        <f t="shared" ca="1" si="5"/>
        <v>0</v>
      </c>
      <c r="N75" s="1289">
        <f t="shared" ca="1" si="5"/>
        <v>41210.92170720001</v>
      </c>
      <c r="O75" s="1289">
        <f t="shared" ca="1" si="5"/>
        <v>3957471.4343267982</v>
      </c>
      <c r="P75" s="1289">
        <f t="shared" ca="1" si="5"/>
        <v>809591.62921200017</v>
      </c>
      <c r="Q75" s="1289">
        <f t="shared" ca="1" si="5"/>
        <v>140502.08239649999</v>
      </c>
      <c r="R75" s="1289">
        <f t="shared" ref="R75:S75" ca="1" si="6">SUM(R63:R74)</f>
        <v>44795704.660218529</v>
      </c>
      <c r="S75" s="1289">
        <f t="shared" ca="1" si="6"/>
        <v>0</v>
      </c>
      <c r="T75" s="1289">
        <f t="shared" ref="T75:U75" ca="1" si="7">SUM(T63:T74)</f>
        <v>-27466267.790670041</v>
      </c>
      <c r="U75" s="1289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1010</v>
      </c>
    </row>
    <row r="78" spans="2:21" ht="14.25">
      <c r="J78" s="95" t="s">
        <v>1011</v>
      </c>
      <c r="K78" s="1290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91" t="s">
        <v>1012</v>
      </c>
      <c r="C79" s="1292">
        <f t="shared" ref="C79:C84" ca="1" si="8">SUM(INDIRECT("dados_MercadoBase["&amp;B79&amp;"]"))</f>
        <v>22669016.125894878</v>
      </c>
      <c r="J79" s="95" t="s">
        <v>1013</v>
      </c>
      <c r="K79" s="1293"/>
      <c r="L79" s="1293"/>
      <c r="M79" s="1293">
        <f>SUMIFS(M63:M74,$B$63:$B$74,42826)</f>
        <v>0</v>
      </c>
      <c r="N79" s="1293">
        <f>SUMIFS(N63:N74,$B$63:$B$74,42826)</f>
        <v>0</v>
      </c>
      <c r="O79" s="1293">
        <f>SUMIFS(O63:O74,$B$63:$B$74,42826)</f>
        <v>0</v>
      </c>
      <c r="P79" s="1293">
        <f>SUMIFS(P63:P74,$B$63:$B$74,42826)</f>
        <v>0</v>
      </c>
      <c r="Q79" s="1293">
        <f>SUMIFS(Q63:Q74,$B$63:$B$74,42826)</f>
        <v>0</v>
      </c>
    </row>
    <row r="80" spans="2:21" ht="14.25">
      <c r="B80" s="118" t="s">
        <v>1014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1015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1016</v>
      </c>
      <c r="C82" s="104">
        <f t="shared" ca="1" si="8"/>
        <v>0</v>
      </c>
    </row>
    <row r="83" spans="2:13" ht="14.25">
      <c r="B83" s="118" t="s">
        <v>1017</v>
      </c>
      <c r="C83" s="104">
        <f t="shared" ca="1" si="8"/>
        <v>2833866.7459415537</v>
      </c>
    </row>
    <row r="84" spans="2:13" ht="14.25">
      <c r="B84" s="118" t="s">
        <v>1016</v>
      </c>
      <c r="C84" s="104">
        <f t="shared" ca="1" si="8"/>
        <v>0</v>
      </c>
    </row>
    <row r="85" spans="2:13" ht="14.25">
      <c r="B85" s="1294"/>
      <c r="C85" s="1295"/>
    </row>
    <row r="86" spans="2:13" ht="14.25"/>
    <row r="87" spans="2:13" ht="14.25">
      <c r="B87" s="1291" t="s">
        <v>1018</v>
      </c>
      <c r="C87" s="1292">
        <f t="shared" ref="C87:C97" ca="1" si="9">SUM(INDIRECT("dados_MercadoBase["&amp;B87&amp;"]"))</f>
        <v>0</v>
      </c>
    </row>
    <row r="88" spans="2:13" ht="14.25">
      <c r="B88" s="118" t="s">
        <v>1019</v>
      </c>
      <c r="C88" s="104">
        <f t="shared" ca="1" si="9"/>
        <v>0</v>
      </c>
    </row>
    <row r="89" spans="2:13" ht="14.25">
      <c r="B89" s="118" t="s">
        <v>1020</v>
      </c>
      <c r="C89" s="104">
        <f t="shared" ca="1" si="9"/>
        <v>0</v>
      </c>
    </row>
    <row r="90" spans="2:13" ht="14.25">
      <c r="B90" s="118" t="s">
        <v>1021</v>
      </c>
      <c r="C90" s="104">
        <f t="shared" ca="1" si="9"/>
        <v>0</v>
      </c>
    </row>
    <row r="91" spans="2:13" ht="14.25">
      <c r="B91" s="118" t="s">
        <v>1022</v>
      </c>
      <c r="C91" s="104">
        <f t="shared" ca="1" si="9"/>
        <v>0</v>
      </c>
    </row>
    <row r="92" spans="2:13" ht="14.25">
      <c r="B92" s="118" t="s">
        <v>1023</v>
      </c>
      <c r="C92" s="104">
        <f t="shared" ca="1" si="9"/>
        <v>0</v>
      </c>
      <c r="G92" s="105"/>
    </row>
    <row r="93" spans="2:13" ht="14.25">
      <c r="B93" s="118" t="s">
        <v>1024</v>
      </c>
      <c r="C93" s="104">
        <f t="shared" ca="1" si="9"/>
        <v>0</v>
      </c>
      <c r="E93" s="106"/>
      <c r="G93" s="79"/>
    </row>
    <row r="94" spans="2:13" ht="14.25">
      <c r="B94" s="118" t="s">
        <v>1025</v>
      </c>
      <c r="C94" s="104">
        <f t="shared" ca="1" si="9"/>
        <v>0</v>
      </c>
      <c r="E94" s="106"/>
      <c r="G94" s="106"/>
    </row>
    <row r="95" spans="2:13" ht="14.25">
      <c r="B95" s="118" t="s">
        <v>1026</v>
      </c>
      <c r="C95" s="104">
        <f t="shared" ca="1" si="9"/>
        <v>0</v>
      </c>
      <c r="E95" s="106"/>
      <c r="G95" s="106"/>
    </row>
    <row r="96" spans="2:13" ht="14.25">
      <c r="B96" s="118" t="s">
        <v>1027</v>
      </c>
      <c r="C96" s="104">
        <f ca="1">SUM(INDIRECT("dados_MercadoBase["&amp;B96&amp;"]"))</f>
        <v>12818289.607688224</v>
      </c>
      <c r="E96" s="106"/>
      <c r="G96" s="106"/>
    </row>
    <row r="97" spans="1:7" ht="14.25">
      <c r="B97" s="1294" t="s">
        <v>1028</v>
      </c>
      <c r="C97" s="1295">
        <f t="shared" ca="1" si="9"/>
        <v>44795704.660218567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1029</v>
      </c>
      <c r="C100" s="231"/>
      <c r="D100" s="232"/>
      <c r="E100" s="106"/>
      <c r="G100" s="252"/>
    </row>
    <row r="101" spans="1:7" ht="12.75" customHeight="1">
      <c r="A101" s="232"/>
      <c r="B101" s="1283" t="s">
        <v>1030</v>
      </c>
      <c r="C101" s="1284" t="s">
        <v>949</v>
      </c>
      <c r="D101" s="232"/>
    </row>
    <row r="102" spans="1:7" ht="12.75" customHeight="1">
      <c r="A102" s="232"/>
      <c r="B102" s="1285" t="s">
        <v>1031</v>
      </c>
      <c r="C102" s="1296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1032</v>
      </c>
      <c r="E109" s="111"/>
    </row>
    <row r="111" spans="1:7" ht="12.75" customHeight="1">
      <c r="B111" s="1255" t="s">
        <v>852</v>
      </c>
      <c r="C111" s="1255" t="s">
        <v>120</v>
      </c>
      <c r="D111" s="1255" t="s">
        <v>959</v>
      </c>
    </row>
    <row r="112" spans="1:7" ht="12.75" customHeight="1">
      <c r="B112" s="1257" t="s">
        <v>984</v>
      </c>
      <c r="C112" s="1258"/>
      <c r="D112" s="1259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296.577</v>
      </c>
      <c r="D117" s="114">
        <f t="shared" ca="1" si="11"/>
        <v>683695.97284000006</v>
      </c>
    </row>
    <row r="118" spans="2:4" ht="12.75" customHeight="1">
      <c r="B118" s="113" t="s">
        <v>972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80" t="s">
        <v>843</v>
      </c>
      <c r="C120" s="1281">
        <f ca="1">SUM(C114:C119)</f>
        <v>296.577</v>
      </c>
      <c r="D120" s="1282">
        <f ca="1">SUM(D114:D119)</f>
        <v>683695.97284000006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78"/>
  <sheetViews>
    <sheetView zoomScaleNormal="100" workbookViewId="0">
      <pane ySplit="2" topLeftCell="A616" activePane="bottomLeft" state="frozen"/>
      <selection pane="bottomLeft" activeCell="A87" sqref="A87:XFD87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1033</v>
      </c>
      <c r="B2" s="264" t="s">
        <v>1030</v>
      </c>
      <c r="C2" s="265" t="s">
        <v>58</v>
      </c>
      <c r="D2" s="264" t="s">
        <v>950</v>
      </c>
      <c r="E2" s="265" t="s">
        <v>587</v>
      </c>
      <c r="F2" s="265" t="s">
        <v>979</v>
      </c>
      <c r="G2" s="265" t="s">
        <v>1034</v>
      </c>
      <c r="H2" s="265" t="s">
        <v>1035</v>
      </c>
      <c r="I2" s="265" t="s">
        <v>1036</v>
      </c>
      <c r="J2" s="265" t="s">
        <v>1037</v>
      </c>
      <c r="K2" s="498" t="s">
        <v>949</v>
      </c>
      <c r="L2" s="291" t="s">
        <v>1038</v>
      </c>
      <c r="M2" s="291" t="s">
        <v>1039</v>
      </c>
      <c r="N2" s="291" t="s">
        <v>1040</v>
      </c>
      <c r="O2" s="291" t="s">
        <v>1041</v>
      </c>
      <c r="P2" s="291" t="s">
        <v>1042</v>
      </c>
      <c r="Q2" s="291" t="s">
        <v>1043</v>
      </c>
      <c r="R2" s="265" t="s">
        <v>1044</v>
      </c>
      <c r="S2" s="265" t="s">
        <v>1045</v>
      </c>
      <c r="T2" s="265" t="s">
        <v>1046</v>
      </c>
      <c r="U2" s="265" t="s">
        <v>1047</v>
      </c>
      <c r="V2" s="265" t="s">
        <v>1048</v>
      </c>
      <c r="W2" s="265" t="s">
        <v>843</v>
      </c>
      <c r="X2" s="265" t="s">
        <v>1049</v>
      </c>
      <c r="Y2" s="265" t="s">
        <v>39</v>
      </c>
      <c r="Z2" s="265" t="s">
        <v>41</v>
      </c>
      <c r="AA2" s="265" t="s">
        <v>126</v>
      </c>
      <c r="AB2" s="265" t="s">
        <v>1025</v>
      </c>
      <c r="AC2" s="265" t="s">
        <v>1026</v>
      </c>
      <c r="AD2" s="265" t="s">
        <v>1027</v>
      </c>
      <c r="AE2" s="265" t="s">
        <v>1028</v>
      </c>
      <c r="AF2" s="265" t="s">
        <v>1012</v>
      </c>
      <c r="AG2" s="265" t="s">
        <v>966</v>
      </c>
      <c r="AH2" s="265" t="s">
        <v>1050</v>
      </c>
      <c r="AI2" s="265" t="s">
        <v>49</v>
      </c>
      <c r="AJ2" s="265" t="s">
        <v>1024</v>
      </c>
      <c r="AK2" s="265" t="s">
        <v>963</v>
      </c>
      <c r="AL2" s="265" t="s">
        <v>47</v>
      </c>
      <c r="AM2" s="265" t="s">
        <v>38</v>
      </c>
      <c r="AN2" s="265" t="s">
        <v>40</v>
      </c>
      <c r="AO2" s="265" t="s">
        <v>1020</v>
      </c>
      <c r="AP2" s="265" t="s">
        <v>1022</v>
      </c>
      <c r="AQ2" s="265" t="s">
        <v>1021</v>
      </c>
      <c r="AR2" s="265" t="s">
        <v>1018</v>
      </c>
      <c r="AS2" s="265" t="s">
        <v>1019</v>
      </c>
      <c r="AT2" s="265" t="s">
        <v>1023</v>
      </c>
      <c r="AU2" s="265" t="s">
        <v>1051</v>
      </c>
      <c r="AV2" s="265" t="s">
        <v>1052</v>
      </c>
      <c r="AW2" s="265" t="s">
        <v>1053</v>
      </c>
      <c r="AX2" s="265" t="s">
        <v>1054</v>
      </c>
      <c r="AY2" s="265" t="s">
        <v>1055</v>
      </c>
      <c r="AZ2" s="265" t="s">
        <v>1056</v>
      </c>
      <c r="BA2" s="265" t="s">
        <v>1057</v>
      </c>
      <c r="BB2" s="265" t="s">
        <v>1058</v>
      </c>
      <c r="BC2" s="265" t="s">
        <v>1059</v>
      </c>
      <c r="BD2" s="265" t="s">
        <v>1060</v>
      </c>
      <c r="BE2" s="265" t="s">
        <v>1061</v>
      </c>
      <c r="BF2" s="265" t="s">
        <v>1062</v>
      </c>
      <c r="BG2" s="265" t="s">
        <v>1063</v>
      </c>
      <c r="BH2" s="265" t="s">
        <v>1064</v>
      </c>
      <c r="BI2" s="265" t="s">
        <v>1065</v>
      </c>
      <c r="BJ2" s="265" t="s">
        <v>1066</v>
      </c>
      <c r="BK2" s="265" t="s">
        <v>232</v>
      </c>
      <c r="BL2" s="265" t="s">
        <v>1067</v>
      </c>
      <c r="BM2" s="265" t="s">
        <v>1068</v>
      </c>
      <c r="BN2" s="265" t="s">
        <v>1001</v>
      </c>
      <c r="BO2" s="265" t="s">
        <v>1002</v>
      </c>
      <c r="BP2" s="265" t="s">
        <v>1003</v>
      </c>
      <c r="BQ2" s="265" t="s">
        <v>1004</v>
      </c>
      <c r="BR2" s="291" t="s">
        <v>1005</v>
      </c>
      <c r="BS2" s="291" t="s">
        <v>1006</v>
      </c>
      <c r="BT2" s="291" t="s">
        <v>1007</v>
      </c>
      <c r="BU2" s="291" t="s">
        <v>1069</v>
      </c>
      <c r="BV2" s="291" t="s">
        <v>1070</v>
      </c>
      <c r="BW2" s="266" t="s">
        <v>1071</v>
      </c>
      <c r="BX2" s="266" t="s">
        <v>1072</v>
      </c>
      <c r="BY2" s="266" t="s">
        <v>1073</v>
      </c>
      <c r="BZ2" s="266" t="s">
        <v>1074</v>
      </c>
      <c r="CA2" s="266" t="s">
        <v>1075</v>
      </c>
      <c r="CB2" s="266" t="s">
        <v>1076</v>
      </c>
      <c r="CC2" s="266" t="s">
        <v>1077</v>
      </c>
      <c r="CD2" s="266" t="s">
        <v>1078</v>
      </c>
      <c r="CE2" s="266" t="s">
        <v>1079</v>
      </c>
      <c r="CF2" s="266" t="s">
        <v>1080</v>
      </c>
      <c r="CG2" s="266" t="s">
        <v>1081</v>
      </c>
      <c r="CH2" s="266" t="s">
        <v>1082</v>
      </c>
      <c r="CI2" s="266" t="s">
        <v>1083</v>
      </c>
      <c r="CJ2" s="291" t="s">
        <v>1084</v>
      </c>
      <c r="CK2" s="266" t="s">
        <v>1085</v>
      </c>
      <c r="CL2" s="266" t="s">
        <v>1086</v>
      </c>
      <c r="CM2" s="266" t="s">
        <v>1087</v>
      </c>
      <c r="CN2" s="266" t="s">
        <v>1088</v>
      </c>
      <c r="CO2" s="291" t="s">
        <v>1089</v>
      </c>
      <c r="CP2" s="291" t="s">
        <v>1090</v>
      </c>
      <c r="CQ2" s="291" t="s">
        <v>1091</v>
      </c>
      <c r="CR2" s="291" t="s">
        <v>1092</v>
      </c>
      <c r="CS2" s="291" t="s">
        <v>1093</v>
      </c>
      <c r="CT2" s="291" t="s">
        <v>1094</v>
      </c>
      <c r="CU2" s="291" t="s">
        <v>1095</v>
      </c>
      <c r="CV2" s="291" t="s">
        <v>1096</v>
      </c>
      <c r="CW2" s="291" t="s">
        <v>1097</v>
      </c>
      <c r="CX2" s="291" t="s">
        <v>1098</v>
      </c>
      <c r="CY2" s="291" t="s">
        <v>1099</v>
      </c>
      <c r="CZ2" s="291" t="s">
        <v>1100</v>
      </c>
      <c r="DA2" s="291" t="s">
        <v>1101</v>
      </c>
      <c r="DB2" s="291" t="s">
        <v>1102</v>
      </c>
      <c r="DC2" s="291" t="s">
        <v>1103</v>
      </c>
      <c r="DD2" s="291" t="s">
        <v>1104</v>
      </c>
      <c r="DE2" s="291" t="s">
        <v>1105</v>
      </c>
      <c r="DF2" s="291" t="s">
        <v>1106</v>
      </c>
      <c r="DG2" s="291" t="s">
        <v>1107</v>
      </c>
      <c r="DH2" s="291" t="s">
        <v>1108</v>
      </c>
      <c r="DI2" s="291" t="s">
        <v>1109</v>
      </c>
      <c r="DJ2" s="291" t="s">
        <v>1110</v>
      </c>
      <c r="DK2" s="291" t="s">
        <v>1111</v>
      </c>
      <c r="DL2" s="291" t="s">
        <v>1112</v>
      </c>
      <c r="DM2" s="291" t="s">
        <v>1113</v>
      </c>
      <c r="DN2" s="291" t="s">
        <v>1114</v>
      </c>
      <c r="DO2" s="291" t="s">
        <v>1115</v>
      </c>
      <c r="DP2" s="291" t="s">
        <v>1116</v>
      </c>
      <c r="DQ2" s="291" t="s">
        <v>1117</v>
      </c>
      <c r="DR2" s="291" t="s">
        <v>2248</v>
      </c>
      <c r="DS2" s="291" t="s">
        <v>1118</v>
      </c>
      <c r="DT2" s="266" t="s">
        <v>1119</v>
      </c>
      <c r="DU2" s="266" t="s">
        <v>1120</v>
      </c>
      <c r="DV2" s="266" t="s">
        <v>1121</v>
      </c>
      <c r="DW2" s="266" t="s">
        <v>1122</v>
      </c>
      <c r="DX2" s="266" t="s">
        <v>1123</v>
      </c>
      <c r="DY2" s="291" t="s">
        <v>1124</v>
      </c>
      <c r="DZ2" s="266" t="s">
        <v>1125</v>
      </c>
      <c r="EA2" s="266" t="s">
        <v>1126</v>
      </c>
      <c r="EB2" s="266" t="s">
        <v>1127</v>
      </c>
      <c r="EC2" s="291" t="s">
        <v>1128</v>
      </c>
      <c r="ED2" s="266" t="s">
        <v>1129</v>
      </c>
      <c r="EE2" s="266" t="s">
        <v>1130</v>
      </c>
      <c r="EF2" s="266" t="s">
        <v>1131</v>
      </c>
      <c r="EG2" s="266" t="s">
        <v>1132</v>
      </c>
      <c r="EH2" s="266" t="s">
        <v>1133</v>
      </c>
      <c r="EI2" s="266" t="s">
        <v>1134</v>
      </c>
      <c r="EJ2" s="266" t="s">
        <v>1135</v>
      </c>
      <c r="EK2" s="266" t="s">
        <v>1136</v>
      </c>
      <c r="EL2" s="266" t="s">
        <v>1137</v>
      </c>
      <c r="EM2" s="266" t="s">
        <v>1138</v>
      </c>
      <c r="EN2" s="266" t="s">
        <v>1139</v>
      </c>
      <c r="EO2" s="266" t="s">
        <v>1140</v>
      </c>
      <c r="EP2" s="291" t="s">
        <v>2163</v>
      </c>
      <c r="EQ2" s="266" t="s">
        <v>2164</v>
      </c>
      <c r="ER2" s="266" t="s">
        <v>2165</v>
      </c>
      <c r="ES2" s="266" t="s">
        <v>2166</v>
      </c>
      <c r="ET2" s="266" t="s">
        <v>2167</v>
      </c>
      <c r="EU2" s="266" t="s">
        <v>2168</v>
      </c>
      <c r="EV2" s="266" t="s">
        <v>1141</v>
      </c>
      <c r="EW2" s="266" t="s">
        <v>1142</v>
      </c>
      <c r="EX2" s="266" t="s">
        <v>1143</v>
      </c>
      <c r="EY2" s="266" t="s">
        <v>1144</v>
      </c>
      <c r="EZ2" s="266" t="s">
        <v>1145</v>
      </c>
      <c r="FA2" s="266" t="s">
        <v>1146</v>
      </c>
      <c r="FB2" s="266" t="s">
        <v>1147</v>
      </c>
      <c r="FC2" s="266" t="s">
        <v>1148</v>
      </c>
      <c r="FD2" s="266" t="s">
        <v>1149</v>
      </c>
      <c r="FE2" s="266" t="s">
        <v>1150</v>
      </c>
      <c r="FF2" s="266" t="s">
        <v>1151</v>
      </c>
      <c r="FG2" s="266" t="s">
        <v>1152</v>
      </c>
      <c r="FH2" s="266" t="s">
        <v>1153</v>
      </c>
      <c r="FI2" s="266" t="s">
        <v>1154</v>
      </c>
    </row>
    <row r="3" spans="1:165" customFormat="1">
      <c r="A3" s="408">
        <v>1</v>
      </c>
      <c r="B3" s="408" t="s">
        <v>1031</v>
      </c>
      <c r="C3" s="408" t="s">
        <v>2227</v>
      </c>
      <c r="D3" s="408" t="s">
        <v>1949</v>
      </c>
      <c r="E3" s="408" t="s">
        <v>964</v>
      </c>
      <c r="F3" s="408" t="s">
        <v>964</v>
      </c>
      <c r="G3" s="408" t="s">
        <v>1317</v>
      </c>
      <c r="H3" s="408" t="s">
        <v>1317</v>
      </c>
      <c r="I3" s="408" t="s">
        <v>1317</v>
      </c>
      <c r="J3" s="408" t="s">
        <v>2228</v>
      </c>
      <c r="K3" s="828">
        <v>44378</v>
      </c>
      <c r="L3" s="408">
        <v>0</v>
      </c>
      <c r="M3" s="408">
        <v>0</v>
      </c>
      <c r="N3" s="408">
        <v>992.53399999999999</v>
      </c>
      <c r="O3" s="408">
        <v>992.53399999999999</v>
      </c>
      <c r="P3" s="408">
        <v>992.53399999999999</v>
      </c>
      <c r="Q3" s="408">
        <v>992.53399999999999</v>
      </c>
      <c r="R3" s="408"/>
      <c r="S3" s="408">
        <v>739.04</v>
      </c>
      <c r="T3" s="408">
        <v>252.22</v>
      </c>
      <c r="U3" s="408"/>
      <c r="V3" s="408">
        <v>983859.25283999997</v>
      </c>
      <c r="W3" s="408">
        <v>983859.25283999997</v>
      </c>
      <c r="X3" s="408">
        <v>672908.27598000003</v>
      </c>
      <c r="Y3" s="408">
        <v>0</v>
      </c>
      <c r="Z3" s="408">
        <v>61391.360956055752</v>
      </c>
      <c r="AA3" s="408">
        <v>0</v>
      </c>
      <c r="AB3" s="408">
        <v>0</v>
      </c>
      <c r="AC3" s="408">
        <v>0</v>
      </c>
      <c r="AD3" s="408">
        <v>122575.5479572637</v>
      </c>
      <c r="AE3" s="408">
        <v>503202.59936230938</v>
      </c>
      <c r="AF3" s="408">
        <v>250339.67229497602</v>
      </c>
      <c r="AG3" s="408">
        <v>0</v>
      </c>
      <c r="AH3" s="408">
        <v>0</v>
      </c>
      <c r="AI3" s="408">
        <v>0</v>
      </c>
      <c r="AJ3" s="408">
        <v>0</v>
      </c>
      <c r="AK3" s="408">
        <v>0</v>
      </c>
      <c r="AL3" s="408">
        <v>9489.6465401115311</v>
      </c>
      <c r="AM3" s="408"/>
      <c r="AN3" s="408">
        <v>2325.8034722895986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34534.474106287133</v>
      </c>
      <c r="BH3" s="408">
        <v>0</v>
      </c>
      <c r="BI3" s="408">
        <v>0</v>
      </c>
      <c r="BJ3" s="408">
        <v>0</v>
      </c>
      <c r="BK3" s="408">
        <v>267996.7</v>
      </c>
      <c r="BL3" s="408">
        <v>8255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284874.14640126313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672905.56409999996</v>
      </c>
      <c r="CJ3" s="408">
        <v>-310953.71874000004</v>
      </c>
      <c r="CK3" s="408"/>
      <c r="CL3" s="408"/>
      <c r="CM3" s="408"/>
      <c r="CN3" s="408"/>
      <c r="CO3" s="408">
        <v>-310950.97685999994</v>
      </c>
      <c r="CP3" s="408">
        <v>0</v>
      </c>
      <c r="CQ3" s="408">
        <v>31</v>
      </c>
      <c r="CR3" s="408">
        <v>-2414.0381477301707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-315.02995248984371</v>
      </c>
      <c r="DA3" s="408">
        <v>0</v>
      </c>
      <c r="DB3" s="408">
        <v>0</v>
      </c>
      <c r="DC3" s="408">
        <v>-3.5096018109470606E-5</v>
      </c>
      <c r="DD3" s="408">
        <v>0</v>
      </c>
      <c r="DE3" s="408">
        <v>0</v>
      </c>
      <c r="DF3" s="408">
        <v>0</v>
      </c>
      <c r="DG3" s="408">
        <v>-4.8414804041385651E-6</v>
      </c>
      <c r="DH3" s="408">
        <v>0</v>
      </c>
      <c r="DI3" s="408">
        <v>-1785.0820686287989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-238.39998312310126</v>
      </c>
      <c r="DP3" s="408">
        <v>-75.526103550982498</v>
      </c>
      <c r="DQ3" s="408">
        <v>0</v>
      </c>
      <c r="DR3" s="408">
        <v>0</v>
      </c>
      <c r="DS3" s="408"/>
      <c r="DT3" s="408"/>
      <c r="DU3" s="408"/>
      <c r="DV3" s="408">
        <v>503202.59936230938</v>
      </c>
      <c r="DW3" s="408">
        <v>0</v>
      </c>
      <c r="DX3" s="408">
        <v>0</v>
      </c>
      <c r="DY3" s="408">
        <v>-310950.97686</v>
      </c>
      <c r="DZ3" s="408">
        <v>0</v>
      </c>
      <c r="EA3" s="408">
        <v>0</v>
      </c>
      <c r="EB3" s="408">
        <v>0</v>
      </c>
      <c r="EC3" s="408">
        <v>-308536.21908353327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265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2229</v>
      </c>
      <c r="C4" s="408" t="s">
        <v>2227</v>
      </c>
      <c r="D4" s="408" t="s">
        <v>1949</v>
      </c>
      <c r="E4" s="408" t="s">
        <v>964</v>
      </c>
      <c r="F4" s="408" t="s">
        <v>964</v>
      </c>
      <c r="G4" s="408" t="s">
        <v>1317</v>
      </c>
      <c r="H4" s="408" t="s">
        <v>1317</v>
      </c>
      <c r="I4" s="408" t="s">
        <v>1317</v>
      </c>
      <c r="J4" s="408" t="s">
        <v>2228</v>
      </c>
      <c r="K4" s="828">
        <v>44378</v>
      </c>
      <c r="L4" s="408">
        <v>0</v>
      </c>
      <c r="M4" s="408">
        <v>0</v>
      </c>
      <c r="N4" s="408">
        <v>-0.377</v>
      </c>
      <c r="O4" s="408">
        <v>-0.377</v>
      </c>
      <c r="P4" s="408">
        <v>-0.377</v>
      </c>
      <c r="Q4" s="408">
        <v>-0.377</v>
      </c>
      <c r="R4" s="408"/>
      <c r="S4" s="408">
        <v>739.04</v>
      </c>
      <c r="T4" s="408">
        <v>252.22</v>
      </c>
      <c r="U4" s="408"/>
      <c r="V4" s="408">
        <v>-373.70501999999999</v>
      </c>
      <c r="W4" s="408">
        <v>-373.70501999999999</v>
      </c>
      <c r="X4" s="408">
        <v>-255.59468999999999</v>
      </c>
      <c r="Y4" s="408">
        <v>0</v>
      </c>
      <c r="Z4" s="408">
        <v>-23.3186400470241</v>
      </c>
      <c r="AA4" s="408">
        <v>0</v>
      </c>
      <c r="AB4" s="408">
        <v>0</v>
      </c>
      <c r="AC4" s="408">
        <v>0</v>
      </c>
      <c r="AD4" s="408">
        <v>-46.558587997880593</v>
      </c>
      <c r="AE4" s="408">
        <v>-191.13438931018044</v>
      </c>
      <c r="AF4" s="408">
        <v>-95.087983338813544</v>
      </c>
      <c r="AG4" s="408">
        <v>0</v>
      </c>
      <c r="AH4" s="408">
        <v>0</v>
      </c>
      <c r="AI4" s="408">
        <v>0</v>
      </c>
      <c r="AJ4" s="408">
        <v>0</v>
      </c>
      <c r="AK4" s="408">
        <v>0</v>
      </c>
      <c r="AL4" s="408">
        <v>-3.6045080023677252</v>
      </c>
      <c r="AM4" s="408"/>
      <c r="AN4" s="408">
        <v>-0.8834235492720437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-13.117431481511213</v>
      </c>
      <c r="BH4" s="408">
        <v>0</v>
      </c>
      <c r="BI4" s="408">
        <v>0</v>
      </c>
      <c r="BJ4" s="408">
        <v>0</v>
      </c>
      <c r="BK4" s="408">
        <v>-111.62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-108.20541482032476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-257.62860000000001</v>
      </c>
      <c r="CJ4" s="408">
        <v>116.04642000000001</v>
      </c>
      <c r="CK4" s="408"/>
      <c r="CL4" s="408"/>
      <c r="CM4" s="408"/>
      <c r="CN4" s="408"/>
      <c r="CO4" s="408">
        <v>118.11032999999999</v>
      </c>
      <c r="CP4" s="408">
        <v>0</v>
      </c>
      <c r="CQ4" s="408">
        <v>31</v>
      </c>
      <c r="CR4" s="408">
        <v>0.91693824261363943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0.11965967119380139</v>
      </c>
      <c r="DA4" s="408">
        <v>0</v>
      </c>
      <c r="DB4" s="408">
        <v>0</v>
      </c>
      <c r="DC4" s="408">
        <v>1.3330719639270683E-8</v>
      </c>
      <c r="DD4" s="408">
        <v>0</v>
      </c>
      <c r="DE4" s="408">
        <v>0</v>
      </c>
      <c r="DF4" s="408">
        <v>0</v>
      </c>
      <c r="DG4" s="408">
        <v>1.8389698652754305E-9</v>
      </c>
      <c r="DH4" s="408">
        <v>0</v>
      </c>
      <c r="DI4" s="408">
        <v>0.67803817287171597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9.0552861299874277E-2</v>
      </c>
      <c r="DP4" s="408">
        <v>2.8687522078558736E-2</v>
      </c>
      <c r="DQ4" s="408">
        <v>0</v>
      </c>
      <c r="DR4" s="408">
        <v>0</v>
      </c>
      <c r="DS4" s="408"/>
      <c r="DT4" s="408"/>
      <c r="DU4" s="408"/>
      <c r="DV4" s="408">
        <v>-191.13438931018044</v>
      </c>
      <c r="DW4" s="408">
        <v>0</v>
      </c>
      <c r="DX4" s="408">
        <v>0</v>
      </c>
      <c r="DY4" s="408">
        <v>118.11032999999998</v>
      </c>
      <c r="DZ4" s="408">
        <v>0</v>
      </c>
      <c r="EA4" s="408">
        <v>0</v>
      </c>
      <c r="EB4" s="408">
        <v>0</v>
      </c>
      <c r="EC4" s="408">
        <v>117.19311841659031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265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2230</v>
      </c>
      <c r="C5" s="408" t="s">
        <v>2227</v>
      </c>
      <c r="D5" s="408" t="s">
        <v>1949</v>
      </c>
      <c r="E5" s="408" t="s">
        <v>964</v>
      </c>
      <c r="F5" s="408" t="s">
        <v>964</v>
      </c>
      <c r="G5" s="408" t="s">
        <v>1317</v>
      </c>
      <c r="H5" s="408" t="s">
        <v>1317</v>
      </c>
      <c r="I5" s="408" t="s">
        <v>1317</v>
      </c>
      <c r="J5" s="408" t="s">
        <v>2228</v>
      </c>
      <c r="K5" s="828">
        <v>44378</v>
      </c>
      <c r="L5" s="408">
        <v>0</v>
      </c>
      <c r="M5" s="408">
        <v>0</v>
      </c>
      <c r="N5" s="408">
        <v>44.189</v>
      </c>
      <c r="O5" s="408">
        <v>44.189</v>
      </c>
      <c r="P5" s="408">
        <v>44.189</v>
      </c>
      <c r="Q5" s="408">
        <v>44.189</v>
      </c>
      <c r="R5" s="408"/>
      <c r="S5" s="408">
        <v>739.04</v>
      </c>
      <c r="T5" s="408">
        <v>252.22</v>
      </c>
      <c r="U5" s="408"/>
      <c r="V5" s="408">
        <v>43802.788139999997</v>
      </c>
      <c r="W5" s="408">
        <v>43802.788139999997</v>
      </c>
      <c r="X5" s="408">
        <v>29958.816330000001</v>
      </c>
      <c r="Y5" s="408">
        <v>0</v>
      </c>
      <c r="Z5" s="408">
        <v>2733.2291380316919</v>
      </c>
      <c r="AA5" s="408">
        <v>0</v>
      </c>
      <c r="AB5" s="408">
        <v>0</v>
      </c>
      <c r="AC5" s="408">
        <v>0</v>
      </c>
      <c r="AD5" s="408">
        <v>5457.234602223728</v>
      </c>
      <c r="AE5" s="408">
        <v>22403.282570895393</v>
      </c>
      <c r="AF5" s="408">
        <v>11145.471872039341</v>
      </c>
      <c r="AG5" s="408">
        <v>0</v>
      </c>
      <c r="AH5" s="408">
        <v>0</v>
      </c>
      <c r="AI5" s="408">
        <v>0</v>
      </c>
      <c r="AJ5" s="408">
        <v>0</v>
      </c>
      <c r="AK5" s="408">
        <v>0</v>
      </c>
      <c r="AL5" s="408">
        <v>422.49231861174377</v>
      </c>
      <c r="AM5" s="408"/>
      <c r="AN5" s="408">
        <v>103.54801914796377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1537.5230231737373</v>
      </c>
      <c r="BH5" s="408">
        <v>0</v>
      </c>
      <c r="BI5" s="408">
        <v>0</v>
      </c>
      <c r="BJ5" s="408">
        <v>0</v>
      </c>
      <c r="BK5" s="408">
        <v>26857.43</v>
      </c>
      <c r="BL5" s="408">
        <v>453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12682.994895213078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29959.494299999998</v>
      </c>
      <c r="CJ5" s="408">
        <v>-13843.323839999997</v>
      </c>
      <c r="CK5" s="408"/>
      <c r="CL5" s="408"/>
      <c r="CM5" s="408"/>
      <c r="CN5" s="408"/>
      <c r="CO5" s="408">
        <v>-13843.971809999999</v>
      </c>
      <c r="CP5" s="408">
        <v>0</v>
      </c>
      <c r="CQ5" s="408">
        <v>31</v>
      </c>
      <c r="CR5" s="408">
        <v>-107.47635014019761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-14.025573502342013</v>
      </c>
      <c r="DA5" s="408">
        <v>0</v>
      </c>
      <c r="DB5" s="408">
        <v>0</v>
      </c>
      <c r="DC5" s="408">
        <v>-1.562522811582312E-6</v>
      </c>
      <c r="DD5" s="408">
        <v>0</v>
      </c>
      <c r="DE5" s="408">
        <v>0</v>
      </c>
      <c r="DF5" s="408">
        <v>0</v>
      </c>
      <c r="DG5" s="408">
        <v>-2.1554978957283311E-7</v>
      </c>
      <c r="DH5" s="408">
        <v>0</v>
      </c>
      <c r="DI5" s="408">
        <v>-79.474347005379968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-10.613900233369066</v>
      </c>
      <c r="DP5" s="408">
        <v>-3.3625276210329957</v>
      </c>
      <c r="DQ5" s="408">
        <v>0</v>
      </c>
      <c r="DR5" s="408">
        <v>0</v>
      </c>
      <c r="DS5" s="408"/>
      <c r="DT5" s="408"/>
      <c r="DU5" s="408"/>
      <c r="DV5" s="408">
        <v>22403.282570895393</v>
      </c>
      <c r="DW5" s="408">
        <v>0</v>
      </c>
      <c r="DX5" s="408">
        <v>0</v>
      </c>
      <c r="DY5" s="408">
        <v>-13843.971809999999</v>
      </c>
      <c r="DZ5" s="408">
        <v>0</v>
      </c>
      <c r="EA5" s="408">
        <v>0</v>
      </c>
      <c r="EB5" s="408">
        <v>0</v>
      </c>
      <c r="EC5" s="408">
        <v>-13736.463420983313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265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1031</v>
      </c>
      <c r="C6" s="408" t="s">
        <v>2227</v>
      </c>
      <c r="D6" s="408" t="s">
        <v>1949</v>
      </c>
      <c r="E6" s="408" t="s">
        <v>964</v>
      </c>
      <c r="F6" s="408" t="s">
        <v>2231</v>
      </c>
      <c r="G6" s="408" t="s">
        <v>1317</v>
      </c>
      <c r="H6" s="408" t="s">
        <v>1317</v>
      </c>
      <c r="I6" s="408" t="s">
        <v>1317</v>
      </c>
      <c r="J6" s="408" t="s">
        <v>2228</v>
      </c>
      <c r="K6" s="828">
        <v>44378</v>
      </c>
      <c r="L6" s="408">
        <v>0</v>
      </c>
      <c r="M6" s="408">
        <v>0</v>
      </c>
      <c r="N6" s="408">
        <v>8.0399999999999991</v>
      </c>
      <c r="O6" s="408">
        <v>8.0399999999999991</v>
      </c>
      <c r="P6" s="408">
        <v>8.0399999999999991</v>
      </c>
      <c r="Q6" s="408">
        <v>8.0399999999999991</v>
      </c>
      <c r="R6" s="408"/>
      <c r="S6" s="408">
        <v>667.62</v>
      </c>
      <c r="T6" s="408">
        <v>252.22</v>
      </c>
      <c r="U6" s="408"/>
      <c r="V6" s="408">
        <v>7395.5135999999993</v>
      </c>
      <c r="W6" s="408">
        <v>7395.5135999999993</v>
      </c>
      <c r="X6" s="408">
        <v>4893.0635999999995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992.92055040572927</v>
      </c>
      <c r="AE6" s="408">
        <v>4076.1816712303726</v>
      </c>
      <c r="AF6" s="408">
        <v>2027.8710505147501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18.840120255032442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279.7457536110083</v>
      </c>
      <c r="BH6" s="408">
        <v>0</v>
      </c>
      <c r="BI6" s="408">
        <v>0</v>
      </c>
      <c r="BJ6" s="408">
        <v>0</v>
      </c>
      <c r="BK6" s="408">
        <v>550.75</v>
      </c>
      <c r="BL6" s="408">
        <v>28</v>
      </c>
      <c r="BM6" s="408"/>
      <c r="BN6" s="408"/>
      <c r="BO6" s="408"/>
      <c r="BP6" s="408"/>
      <c r="BQ6" s="408"/>
      <c r="BR6" s="408"/>
      <c r="BS6" s="408"/>
      <c r="BT6" s="408">
        <v>3180.4631999999992</v>
      </c>
      <c r="BU6" s="408"/>
      <c r="BV6" s="408">
        <v>2307.6168041257583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1712.6003999999998</v>
      </c>
      <c r="CJ6" s="408">
        <v>-875.9076</v>
      </c>
      <c r="CK6" s="408"/>
      <c r="CL6" s="408"/>
      <c r="CM6" s="408"/>
      <c r="CN6" s="408"/>
      <c r="CO6" s="408">
        <v>-2502.4499999999998</v>
      </c>
      <c r="CP6" s="408">
        <v>0</v>
      </c>
      <c r="CQ6" s="408">
        <v>31</v>
      </c>
      <c r="CR6" s="408">
        <v>-3.1636911296400285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-2.5518932530455913</v>
      </c>
      <c r="DA6" s="408">
        <v>0</v>
      </c>
      <c r="DB6" s="408">
        <v>0</v>
      </c>
      <c r="DC6" s="408">
        <v>-2.8429440135369077E-7</v>
      </c>
      <c r="DD6" s="408">
        <v>0</v>
      </c>
      <c r="DE6" s="408">
        <v>0</v>
      </c>
      <c r="DF6" s="408">
        <v>0</v>
      </c>
      <c r="DG6" s="408">
        <v>-3.9218321035150439E-8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-0.61179755308119965</v>
      </c>
      <c r="DQ6" s="408">
        <v>0</v>
      </c>
      <c r="DR6" s="408">
        <v>0</v>
      </c>
      <c r="DS6" s="408"/>
      <c r="DT6" s="408"/>
      <c r="DU6" s="408"/>
      <c r="DV6" s="408">
        <v>4076.1816712303726</v>
      </c>
      <c r="DW6" s="408">
        <v>0</v>
      </c>
      <c r="DX6" s="408">
        <v>0</v>
      </c>
      <c r="DY6" s="408">
        <v>-2502.4499999999998</v>
      </c>
      <c r="DZ6" s="408">
        <v>0</v>
      </c>
      <c r="EA6" s="408">
        <v>0</v>
      </c>
      <c r="EB6" s="408">
        <v>0</v>
      </c>
      <c r="EC6" s="408">
        <v>-2499.2909073458513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265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2230</v>
      </c>
      <c r="C7" s="408" t="s">
        <v>2227</v>
      </c>
      <c r="D7" s="408" t="s">
        <v>1949</v>
      </c>
      <c r="E7" s="408" t="s">
        <v>964</v>
      </c>
      <c r="F7" s="408" t="s">
        <v>2231</v>
      </c>
      <c r="G7" s="408" t="s">
        <v>1317</v>
      </c>
      <c r="H7" s="408" t="s">
        <v>1317</v>
      </c>
      <c r="I7" s="408" t="s">
        <v>1317</v>
      </c>
      <c r="J7" s="408" t="s">
        <v>2228</v>
      </c>
      <c r="K7" s="828">
        <v>44378</v>
      </c>
      <c r="L7" s="408">
        <v>0</v>
      </c>
      <c r="M7" s="408">
        <v>0</v>
      </c>
      <c r="N7" s="408">
        <v>0.09</v>
      </c>
      <c r="O7" s="408">
        <v>-8.5500000000000007E-2</v>
      </c>
      <c r="P7" s="408">
        <v>0.09</v>
      </c>
      <c r="Q7" s="408">
        <v>-8.5500000000000007E-2</v>
      </c>
      <c r="R7" s="408"/>
      <c r="S7" s="408">
        <v>667.62</v>
      </c>
      <c r="T7" s="408">
        <v>252.22</v>
      </c>
      <c r="U7" s="408"/>
      <c r="V7" s="408">
        <v>82.785600000000002</v>
      </c>
      <c r="W7" s="408">
        <v>82.785600000000002</v>
      </c>
      <c r="X7" s="408">
        <v>54.773099999999999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11.114782280661149</v>
      </c>
      <c r="AE7" s="408">
        <v>45.628899304817608</v>
      </c>
      <c r="AF7" s="408">
        <v>22.700049072926308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0.21089686852648257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>
        <v>0</v>
      </c>
      <c r="BG7" s="408">
        <v>3.1314823165411383</v>
      </c>
      <c r="BH7" s="408">
        <v>0</v>
      </c>
      <c r="BI7" s="408">
        <v>0</v>
      </c>
      <c r="BJ7" s="408">
        <v>0</v>
      </c>
      <c r="BK7" s="408">
        <v>7.05</v>
      </c>
      <c r="BL7" s="408">
        <v>0</v>
      </c>
      <c r="BM7" s="408"/>
      <c r="BN7" s="408"/>
      <c r="BO7" s="408"/>
      <c r="BP7" s="408"/>
      <c r="BQ7" s="408"/>
      <c r="BR7" s="408"/>
      <c r="BS7" s="408"/>
      <c r="BT7" s="408">
        <v>72.985454999999988</v>
      </c>
      <c r="BU7" s="408"/>
      <c r="BV7" s="408">
        <v>25.831531389467447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-19.1709</v>
      </c>
      <c r="CJ7" s="408">
        <v>8.3258249999999983</v>
      </c>
      <c r="CK7" s="408"/>
      <c r="CL7" s="408"/>
      <c r="CM7" s="408"/>
      <c r="CN7" s="408"/>
      <c r="CO7" s="408">
        <v>-28.012499999999999</v>
      </c>
      <c r="CP7" s="408">
        <v>0</v>
      </c>
      <c r="CQ7" s="408">
        <v>31</v>
      </c>
      <c r="CR7" s="408">
        <v>-3.541445294372636E-2</v>
      </c>
      <c r="CS7" s="408">
        <v>0</v>
      </c>
      <c r="CT7" s="408">
        <v>0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-2.8565969250509582E-2</v>
      </c>
      <c r="DA7" s="408">
        <v>0</v>
      </c>
      <c r="DB7" s="408">
        <v>0</v>
      </c>
      <c r="DC7" s="408">
        <v>-3.1824001212044095E-9</v>
      </c>
      <c r="DD7" s="408">
        <v>0</v>
      </c>
      <c r="DE7" s="408">
        <v>0</v>
      </c>
      <c r="DF7" s="408">
        <v>0</v>
      </c>
      <c r="DG7" s="408">
        <v>-4.39011493824637E-10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-6.8484800718044692E-3</v>
      </c>
      <c r="DQ7" s="408">
        <v>0</v>
      </c>
      <c r="DR7" s="408">
        <v>0</v>
      </c>
      <c r="DS7" s="408"/>
      <c r="DT7" s="408"/>
      <c r="DU7" s="408"/>
      <c r="DV7" s="408">
        <v>45.628899304817608</v>
      </c>
      <c r="DW7" s="408">
        <v>0</v>
      </c>
      <c r="DX7" s="408">
        <v>0</v>
      </c>
      <c r="DY7" s="408">
        <v>-28.012500000000003</v>
      </c>
      <c r="DZ7" s="408">
        <v>0</v>
      </c>
      <c r="EA7" s="408">
        <v>0</v>
      </c>
      <c r="EB7" s="408">
        <v>0</v>
      </c>
      <c r="EC7" s="408">
        <v>-27.977137022528186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265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1031</v>
      </c>
      <c r="C8" s="408" t="s">
        <v>2227</v>
      </c>
      <c r="D8" s="408" t="s">
        <v>1949</v>
      </c>
      <c r="E8" s="408" t="s">
        <v>964</v>
      </c>
      <c r="F8" s="408" t="s">
        <v>2232</v>
      </c>
      <c r="G8" s="408" t="s">
        <v>1317</v>
      </c>
      <c r="H8" s="408" t="s">
        <v>1317</v>
      </c>
      <c r="I8" s="408" t="s">
        <v>1317</v>
      </c>
      <c r="J8" s="408" t="s">
        <v>2228</v>
      </c>
      <c r="K8" s="828">
        <v>44378</v>
      </c>
      <c r="L8" s="408">
        <v>0</v>
      </c>
      <c r="M8" s="408">
        <v>0</v>
      </c>
      <c r="N8" s="408">
        <v>13.337999999999999</v>
      </c>
      <c r="O8" s="408">
        <v>13.337999999999999</v>
      </c>
      <c r="P8" s="408">
        <v>13.337999999999999</v>
      </c>
      <c r="Q8" s="408">
        <v>13.337999999999999</v>
      </c>
      <c r="R8" s="408"/>
      <c r="S8" s="408">
        <v>667.62</v>
      </c>
      <c r="T8" s="408">
        <v>252.22</v>
      </c>
      <c r="U8" s="408"/>
      <c r="V8" s="408">
        <v>12268.825919999999</v>
      </c>
      <c r="W8" s="408">
        <v>12268.825919999999</v>
      </c>
      <c r="X8" s="408">
        <v>8117.3734199999999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1647.2107339939823</v>
      </c>
      <c r="AE8" s="408">
        <v>6762.2028769739691</v>
      </c>
      <c r="AF8" s="408">
        <v>3364.147272607679</v>
      </c>
      <c r="AG8" s="408">
        <v>0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31.254915915624718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464.08567931139669</v>
      </c>
      <c r="BH8" s="408">
        <v>0</v>
      </c>
      <c r="BI8" s="408">
        <v>0</v>
      </c>
      <c r="BJ8" s="408">
        <v>0</v>
      </c>
      <c r="BK8" s="408">
        <v>1885.8</v>
      </c>
      <c r="BL8" s="408">
        <v>110</v>
      </c>
      <c r="BM8" s="408"/>
      <c r="BN8" s="408"/>
      <c r="BO8" s="408"/>
      <c r="BP8" s="408"/>
      <c r="BQ8" s="408"/>
      <c r="BR8" s="408"/>
      <c r="BS8" s="408"/>
      <c r="BT8" s="408">
        <v>3247.00272</v>
      </c>
      <c r="BU8" s="408"/>
      <c r="BV8" s="408">
        <v>3828.2329519190757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4871.1010000000006</v>
      </c>
      <c r="CJ8" s="408">
        <v>-2490.1711999999998</v>
      </c>
      <c r="CK8" s="408"/>
      <c r="CL8" s="408"/>
      <c r="CM8" s="408"/>
      <c r="CN8" s="408"/>
      <c r="CO8" s="408">
        <v>-4151.4524999999994</v>
      </c>
      <c r="CP8" s="408">
        <v>0</v>
      </c>
      <c r="CQ8" s="408">
        <v>31</v>
      </c>
      <c r="CR8" s="408">
        <v>-5.2484219262614715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-4.2334766429257797</v>
      </c>
      <c r="DA8" s="408">
        <v>0</v>
      </c>
      <c r="DB8" s="408">
        <v>0</v>
      </c>
      <c r="DC8" s="408">
        <v>-4.7163212002487853E-7</v>
      </c>
      <c r="DD8" s="408">
        <v>0</v>
      </c>
      <c r="DE8" s="408">
        <v>0</v>
      </c>
      <c r="DF8" s="408">
        <v>0</v>
      </c>
      <c r="DG8" s="408">
        <v>-6.5061499299190473E-8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-1.0149447466414259</v>
      </c>
      <c r="DQ8" s="408">
        <v>0</v>
      </c>
      <c r="DR8" s="408">
        <v>0</v>
      </c>
      <c r="DS8" s="408"/>
      <c r="DT8" s="408"/>
      <c r="DU8" s="408"/>
      <c r="DV8" s="408">
        <v>6762.2028769739691</v>
      </c>
      <c r="DW8" s="408">
        <v>0</v>
      </c>
      <c r="DX8" s="408">
        <v>0</v>
      </c>
      <c r="DY8" s="408">
        <v>-4151.4524999999985</v>
      </c>
      <c r="DZ8" s="408">
        <v>0</v>
      </c>
      <c r="EA8" s="408">
        <v>0</v>
      </c>
      <c r="EB8" s="408">
        <v>0</v>
      </c>
      <c r="EC8" s="408">
        <v>-4146.2117067386771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265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2230</v>
      </c>
      <c r="C9" s="408" t="s">
        <v>2227</v>
      </c>
      <c r="D9" s="408" t="s">
        <v>1949</v>
      </c>
      <c r="E9" s="408" t="s">
        <v>964</v>
      </c>
      <c r="F9" s="408" t="s">
        <v>2232</v>
      </c>
      <c r="G9" s="408" t="s">
        <v>1317</v>
      </c>
      <c r="H9" s="408" t="s">
        <v>1317</v>
      </c>
      <c r="I9" s="408" t="s">
        <v>1317</v>
      </c>
      <c r="J9" s="408" t="s">
        <v>2228</v>
      </c>
      <c r="K9" s="828">
        <v>44378</v>
      </c>
      <c r="L9" s="408">
        <v>0</v>
      </c>
      <c r="M9" s="408">
        <v>0</v>
      </c>
      <c r="N9" s="408">
        <v>4.2999999999999997E-2</v>
      </c>
      <c r="O9" s="408">
        <v>-8.6E-3</v>
      </c>
      <c r="P9" s="408">
        <v>4.2999999999999997E-2</v>
      </c>
      <c r="Q9" s="408">
        <v>-8.6E-3</v>
      </c>
      <c r="R9" s="408"/>
      <c r="S9" s="408">
        <v>667.62</v>
      </c>
      <c r="T9" s="408">
        <v>252.22</v>
      </c>
      <c r="U9" s="408"/>
      <c r="V9" s="408">
        <v>39.553119999999993</v>
      </c>
      <c r="W9" s="408">
        <v>39.553119999999993</v>
      </c>
      <c r="X9" s="408">
        <v>26.169370000000001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5.3103959785381045</v>
      </c>
      <c r="AE9" s="408">
        <v>21.800474112301746</v>
      </c>
      <c r="AF9" s="408">
        <v>10.845579001509236</v>
      </c>
      <c r="AG9" s="408">
        <v>0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0.100761837184875</v>
      </c>
      <c r="AO9" s="408">
        <v>0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1.4961526623474326</v>
      </c>
      <c r="BH9" s="408">
        <v>0</v>
      </c>
      <c r="BI9" s="408">
        <v>0</v>
      </c>
      <c r="BJ9" s="408">
        <v>0</v>
      </c>
      <c r="BK9" s="408">
        <v>16.399999999999999</v>
      </c>
      <c r="BL9" s="408">
        <v>0</v>
      </c>
      <c r="BM9" s="408"/>
      <c r="BN9" s="408"/>
      <c r="BO9" s="408"/>
      <c r="BP9" s="408"/>
      <c r="BQ9" s="408"/>
      <c r="BR9" s="408"/>
      <c r="BS9" s="408"/>
      <c r="BT9" s="408">
        <v>29.309659999999997</v>
      </c>
      <c r="BU9" s="408"/>
      <c r="BV9" s="408">
        <v>12.341731663856669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-3.6515</v>
      </c>
      <c r="CJ9" s="408">
        <v>1.0648400000000007</v>
      </c>
      <c r="CK9" s="408"/>
      <c r="CL9" s="408"/>
      <c r="CM9" s="408"/>
      <c r="CN9" s="408"/>
      <c r="CO9" s="408">
        <v>-13.383749999999999</v>
      </c>
      <c r="CP9" s="408">
        <v>0</v>
      </c>
      <c r="CQ9" s="408">
        <v>31</v>
      </c>
      <c r="CR9" s="408">
        <v>-1.6920238628671314E-2</v>
      </c>
      <c r="CS9" s="408">
        <v>0</v>
      </c>
      <c r="CT9" s="408">
        <v>0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-1.3648185308577254E-2</v>
      </c>
      <c r="DA9" s="408">
        <v>0</v>
      </c>
      <c r="DB9" s="408">
        <v>0</v>
      </c>
      <c r="DC9" s="408">
        <v>-1.520479742112002E-9</v>
      </c>
      <c r="DD9" s="408">
        <v>0</v>
      </c>
      <c r="DE9" s="408">
        <v>0</v>
      </c>
      <c r="DF9" s="408">
        <v>0</v>
      </c>
      <c r="DG9" s="408">
        <v>-2.097497731057274E-10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-3.2720515898621433E-3</v>
      </c>
      <c r="DQ9" s="408">
        <v>0</v>
      </c>
      <c r="DR9" s="408">
        <v>0</v>
      </c>
      <c r="DS9" s="408"/>
      <c r="DT9" s="408"/>
      <c r="DU9" s="408"/>
      <c r="DV9" s="408">
        <v>21.800474112301746</v>
      </c>
      <c r="DW9" s="408">
        <v>0</v>
      </c>
      <c r="DX9" s="408">
        <v>0</v>
      </c>
      <c r="DY9" s="408">
        <v>-13.383749999999997</v>
      </c>
      <c r="DZ9" s="408">
        <v>0</v>
      </c>
      <c r="EA9" s="408">
        <v>0</v>
      </c>
      <c r="EB9" s="408">
        <v>0</v>
      </c>
      <c r="EC9" s="408">
        <v>-13.366854355207913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265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1031</v>
      </c>
      <c r="C10" s="408" t="s">
        <v>2227</v>
      </c>
      <c r="D10" s="408" t="s">
        <v>1949</v>
      </c>
      <c r="E10" s="408" t="s">
        <v>964</v>
      </c>
      <c r="F10" s="408" t="s">
        <v>2233</v>
      </c>
      <c r="G10" s="408" t="s">
        <v>1317</v>
      </c>
      <c r="H10" s="408" t="s">
        <v>1317</v>
      </c>
      <c r="I10" s="408" t="s">
        <v>1317</v>
      </c>
      <c r="J10" s="408" t="s">
        <v>2228</v>
      </c>
      <c r="K10" s="828">
        <v>44378</v>
      </c>
      <c r="L10" s="408">
        <v>0</v>
      </c>
      <c r="M10" s="408">
        <v>0</v>
      </c>
      <c r="N10" s="408">
        <v>8.3789999999999996</v>
      </c>
      <c r="O10" s="408">
        <v>8.3789999999999996</v>
      </c>
      <c r="P10" s="408">
        <v>8.3789999999999996</v>
      </c>
      <c r="Q10" s="408">
        <v>8.3789999999999996</v>
      </c>
      <c r="R10" s="408"/>
      <c r="S10" s="408">
        <v>667.62</v>
      </c>
      <c r="T10" s="408">
        <v>252.22</v>
      </c>
      <c r="U10" s="408"/>
      <c r="V10" s="408">
        <v>7707.3393599999999</v>
      </c>
      <c r="W10" s="408">
        <v>7707.3393599999999</v>
      </c>
      <c r="X10" s="408">
        <v>5099.3756100000001</v>
      </c>
      <c r="Y10" s="408">
        <v>0</v>
      </c>
      <c r="Z10" s="408">
        <v>0</v>
      </c>
      <c r="AA10" s="408">
        <v>0</v>
      </c>
      <c r="AB10" s="408">
        <v>0</v>
      </c>
      <c r="AC10" s="408">
        <v>0</v>
      </c>
      <c r="AD10" s="408">
        <v>1034.7862303295531</v>
      </c>
      <c r="AE10" s="408">
        <v>4248.0505252785197</v>
      </c>
      <c r="AF10" s="408">
        <v>2113.3745686894395</v>
      </c>
      <c r="AG10" s="408">
        <v>0</v>
      </c>
      <c r="AH10" s="408">
        <v>0</v>
      </c>
      <c r="AI10" s="408">
        <v>0</v>
      </c>
      <c r="AJ10" s="408">
        <v>0</v>
      </c>
      <c r="AK10" s="408">
        <v>0</v>
      </c>
      <c r="AL10" s="408">
        <v>0</v>
      </c>
      <c r="AM10" s="408"/>
      <c r="AN10" s="408">
        <v>19.634498459815529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291.54100366997994</v>
      </c>
      <c r="BH10" s="408">
        <v>0</v>
      </c>
      <c r="BI10" s="408">
        <v>0</v>
      </c>
      <c r="BJ10" s="408">
        <v>0</v>
      </c>
      <c r="BK10" s="408">
        <v>2035.39</v>
      </c>
      <c r="BL10" s="408">
        <v>106</v>
      </c>
      <c r="BM10" s="408"/>
      <c r="BN10" s="408"/>
      <c r="BO10" s="408"/>
      <c r="BP10" s="408"/>
      <c r="BQ10" s="408"/>
      <c r="BR10" s="408"/>
      <c r="BS10" s="408"/>
      <c r="BT10" s="408">
        <v>509.86214999999993</v>
      </c>
      <c r="BU10" s="408"/>
      <c r="BV10" s="408">
        <v>2404.9155723594195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4590.0612000000001</v>
      </c>
      <c r="CJ10" s="408">
        <v>-2346.6077399999995</v>
      </c>
      <c r="CK10" s="408"/>
      <c r="CL10" s="408"/>
      <c r="CM10" s="408"/>
      <c r="CN10" s="408"/>
      <c r="CO10" s="408">
        <v>-2607.9637499999999</v>
      </c>
      <c r="CP10" s="408">
        <v>0</v>
      </c>
      <c r="CQ10" s="408">
        <v>31</v>
      </c>
      <c r="CR10" s="408">
        <v>-3.2970855690614371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-2.6594917372226519</v>
      </c>
      <c r="DA10" s="408">
        <v>0</v>
      </c>
      <c r="DB10" s="408">
        <v>0</v>
      </c>
      <c r="DC10" s="408">
        <v>-2.9628154152305797E-7</v>
      </c>
      <c r="DD10" s="408">
        <v>0</v>
      </c>
      <c r="DE10" s="408">
        <v>0</v>
      </c>
      <c r="DF10" s="408">
        <v>0</v>
      </c>
      <c r="DG10" s="408">
        <v>-4.0871952933230205E-8</v>
      </c>
      <c r="DH10" s="408">
        <v>0</v>
      </c>
      <c r="DI10" s="408">
        <v>0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0</v>
      </c>
      <c r="DP10" s="408">
        <v>-0.63759349468499948</v>
      </c>
      <c r="DQ10" s="408">
        <v>0</v>
      </c>
      <c r="DR10" s="408">
        <v>0</v>
      </c>
      <c r="DS10" s="408"/>
      <c r="DT10" s="408"/>
      <c r="DU10" s="408"/>
      <c r="DV10" s="408">
        <v>4248.0505252785197</v>
      </c>
      <c r="DW10" s="408">
        <v>0</v>
      </c>
      <c r="DX10" s="408">
        <v>0</v>
      </c>
      <c r="DY10" s="408">
        <v>-2607.9637499999999</v>
      </c>
      <c r="DZ10" s="408">
        <v>0</v>
      </c>
      <c r="EA10" s="408">
        <v>0</v>
      </c>
      <c r="EB10" s="408">
        <v>0</v>
      </c>
      <c r="EC10" s="408">
        <v>-2604.671456797375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265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2230</v>
      </c>
      <c r="C11" s="408" t="s">
        <v>2227</v>
      </c>
      <c r="D11" s="408" t="s">
        <v>1949</v>
      </c>
      <c r="E11" s="408" t="s">
        <v>964</v>
      </c>
      <c r="F11" s="408" t="s">
        <v>2233</v>
      </c>
      <c r="G11" s="408" t="s">
        <v>1317</v>
      </c>
      <c r="H11" s="408" t="s">
        <v>1317</v>
      </c>
      <c r="I11" s="408" t="s">
        <v>1317</v>
      </c>
      <c r="J11" s="408" t="s">
        <v>2228</v>
      </c>
      <c r="K11" s="828">
        <v>44378</v>
      </c>
      <c r="L11" s="408">
        <v>0</v>
      </c>
      <c r="M11" s="408">
        <v>0</v>
      </c>
      <c r="N11" s="408">
        <v>0</v>
      </c>
      <c r="O11" s="408">
        <v>0</v>
      </c>
      <c r="P11" s="408">
        <v>0</v>
      </c>
      <c r="Q11" s="408">
        <v>0</v>
      </c>
      <c r="R11" s="408"/>
      <c r="S11" s="408"/>
      <c r="T11" s="408"/>
      <c r="U11" s="408"/>
      <c r="V11" s="408"/>
      <c r="W11" s="408"/>
      <c r="X11" s="408"/>
      <c r="Y11" s="408"/>
      <c r="Z11" s="408"/>
      <c r="AA11" s="408">
        <v>0</v>
      </c>
      <c r="AB11" s="408"/>
      <c r="AC11" s="408"/>
      <c r="AD11" s="408"/>
      <c r="AE11" s="408"/>
      <c r="AF11" s="408"/>
      <c r="AG11" s="408"/>
      <c r="AH11" s="408"/>
      <c r="AI11" s="408"/>
      <c r="AJ11" s="408"/>
      <c r="AK11" s="408"/>
      <c r="AL11" s="408"/>
      <c r="AM11" s="408"/>
      <c r="AN11" s="408"/>
      <c r="AO11" s="408"/>
      <c r="AP11" s="408"/>
      <c r="AQ11" s="408"/>
      <c r="AR11" s="408"/>
      <c r="AS11" s="408"/>
      <c r="AT11" s="408"/>
      <c r="AU11" s="408"/>
      <c r="AV11" s="408"/>
      <c r="AW11" s="408"/>
      <c r="AX11" s="408"/>
      <c r="AY11" s="408"/>
      <c r="AZ11" s="408">
        <v>0</v>
      </c>
      <c r="BA11" s="408"/>
      <c r="BB11" s="408"/>
      <c r="BC11" s="408"/>
      <c r="BD11" s="408"/>
      <c r="BE11" s="408"/>
      <c r="BF11" s="408"/>
      <c r="BG11" s="408"/>
      <c r="BH11" s="408"/>
      <c r="BI11" s="408">
        <v>0</v>
      </c>
      <c r="BJ11" s="408">
        <v>0</v>
      </c>
      <c r="BK11" s="408">
        <v>37.729999999999997</v>
      </c>
      <c r="BL11" s="408">
        <v>1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/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/>
      <c r="CJ11" s="408">
        <v>-0.03</v>
      </c>
      <c r="CK11" s="408"/>
      <c r="CL11" s="408"/>
      <c r="CM11" s="408"/>
      <c r="CN11" s="408"/>
      <c r="CO11" s="408">
        <v>0</v>
      </c>
      <c r="CP11" s="408">
        <v>0</v>
      </c>
      <c r="CQ11" s="408">
        <v>31</v>
      </c>
      <c r="CR11" s="408"/>
      <c r="CS11" s="408"/>
      <c r="CT11" s="408"/>
      <c r="CU11" s="408"/>
      <c r="CV11" s="408"/>
      <c r="CW11" s="408"/>
      <c r="CX11" s="408"/>
      <c r="CY11" s="408"/>
      <c r="CZ11" s="408"/>
      <c r="DA11" s="408"/>
      <c r="DB11" s="408"/>
      <c r="DC11" s="408"/>
      <c r="DD11" s="408"/>
      <c r="DE11" s="408"/>
      <c r="DF11" s="408"/>
      <c r="DG11" s="408"/>
      <c r="DH11" s="408"/>
      <c r="DI11" s="408"/>
      <c r="DJ11" s="408"/>
      <c r="DK11" s="408">
        <v>0</v>
      </c>
      <c r="DL11" s="408"/>
      <c r="DM11" s="408"/>
      <c r="DN11" s="408"/>
      <c r="DO11" s="408"/>
      <c r="DP11" s="408"/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>
        <v>265</v>
      </c>
      <c r="EW11" s="408"/>
      <c r="EX11" s="408"/>
      <c r="EY11" s="408"/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1031</v>
      </c>
      <c r="C12" s="408" t="s">
        <v>2227</v>
      </c>
      <c r="D12" s="408" t="s">
        <v>1949</v>
      </c>
      <c r="E12" s="408" t="s">
        <v>964</v>
      </c>
      <c r="F12" s="408" t="s">
        <v>2234</v>
      </c>
      <c r="G12" s="408" t="s">
        <v>1317</v>
      </c>
      <c r="H12" s="408" t="s">
        <v>1317</v>
      </c>
      <c r="I12" s="408" t="s">
        <v>1317</v>
      </c>
      <c r="J12" s="408" t="s">
        <v>2228</v>
      </c>
      <c r="K12" s="828">
        <v>44378</v>
      </c>
      <c r="L12" s="408">
        <v>0</v>
      </c>
      <c r="M12" s="408">
        <v>0</v>
      </c>
      <c r="N12" s="408">
        <v>1.22</v>
      </c>
      <c r="O12" s="408">
        <v>1.22</v>
      </c>
      <c r="P12" s="408">
        <v>1.22</v>
      </c>
      <c r="Q12" s="408">
        <v>1.22</v>
      </c>
      <c r="R12" s="408"/>
      <c r="S12" s="408">
        <v>667.62</v>
      </c>
      <c r="T12" s="408">
        <v>252.22</v>
      </c>
      <c r="U12" s="408"/>
      <c r="V12" s="408">
        <v>1122.2048</v>
      </c>
      <c r="W12" s="408">
        <v>1122.2048</v>
      </c>
      <c r="X12" s="408">
        <v>742.47979999999995</v>
      </c>
      <c r="Y12" s="408">
        <v>0</v>
      </c>
      <c r="Z12" s="408">
        <v>0</v>
      </c>
      <c r="AA12" s="408">
        <v>0</v>
      </c>
      <c r="AB12" s="408">
        <v>0</v>
      </c>
      <c r="AC12" s="408">
        <v>0</v>
      </c>
      <c r="AD12" s="408">
        <v>150.66704869340668</v>
      </c>
      <c r="AE12" s="408">
        <v>618.52507946530534</v>
      </c>
      <c r="AF12" s="408">
        <v>307.71177632189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2.8588242178034307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>
        <v>0</v>
      </c>
      <c r="BG12" s="408">
        <v>42.448982513113208</v>
      </c>
      <c r="BH12" s="408">
        <v>0</v>
      </c>
      <c r="BI12" s="408">
        <v>0</v>
      </c>
      <c r="BJ12" s="408">
        <v>0</v>
      </c>
      <c r="BK12" s="408">
        <v>443.64</v>
      </c>
      <c r="BL12" s="408">
        <v>24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350.16075883500321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742.47979999999995</v>
      </c>
      <c r="CJ12" s="408">
        <v>-379.755</v>
      </c>
      <c r="CK12" s="408"/>
      <c r="CL12" s="408"/>
      <c r="CM12" s="408"/>
      <c r="CN12" s="408"/>
      <c r="CO12" s="408">
        <v>-379.72499999999997</v>
      </c>
      <c r="CP12" s="408">
        <v>0</v>
      </c>
      <c r="CQ12" s="408">
        <v>31</v>
      </c>
      <c r="CR12" s="408">
        <v>-0.48006258434833171</v>
      </c>
      <c r="CS12" s="408">
        <v>0</v>
      </c>
      <c r="CT12" s="408">
        <v>0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-0.3872275831735692</v>
      </c>
      <c r="DA12" s="408">
        <v>0</v>
      </c>
      <c r="DB12" s="408">
        <v>0</v>
      </c>
      <c r="DC12" s="408">
        <v>-4.3139266381331254E-8</v>
      </c>
      <c r="DD12" s="408">
        <v>0</v>
      </c>
      <c r="DE12" s="408">
        <v>0</v>
      </c>
      <c r="DF12" s="408">
        <v>0</v>
      </c>
      <c r="DG12" s="408">
        <v>-5.9510441019483551E-9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0</v>
      </c>
      <c r="DP12" s="408">
        <v>-9.2834952084460909E-2</v>
      </c>
      <c r="DQ12" s="408">
        <v>0</v>
      </c>
      <c r="DR12" s="408">
        <v>0</v>
      </c>
      <c r="DS12" s="408"/>
      <c r="DT12" s="408"/>
      <c r="DU12" s="408"/>
      <c r="DV12" s="408">
        <v>618.52507946530534</v>
      </c>
      <c r="DW12" s="408">
        <v>0</v>
      </c>
      <c r="DX12" s="408">
        <v>0</v>
      </c>
      <c r="DY12" s="408">
        <v>-379.72500000000002</v>
      </c>
      <c r="DZ12" s="408">
        <v>0</v>
      </c>
      <c r="EA12" s="408">
        <v>0</v>
      </c>
      <c r="EB12" s="408">
        <v>0</v>
      </c>
      <c r="EC12" s="408">
        <v>-379.24563519427096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265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2230</v>
      </c>
      <c r="C13" s="408" t="s">
        <v>2227</v>
      </c>
      <c r="D13" s="408" t="s">
        <v>1949</v>
      </c>
      <c r="E13" s="408" t="s">
        <v>964</v>
      </c>
      <c r="F13" s="408" t="s">
        <v>2234</v>
      </c>
      <c r="G13" s="408" t="s">
        <v>1317</v>
      </c>
      <c r="H13" s="408" t="s">
        <v>1317</v>
      </c>
      <c r="I13" s="408" t="s">
        <v>1317</v>
      </c>
      <c r="J13" s="408" t="s">
        <v>2228</v>
      </c>
      <c r="K13" s="828">
        <v>44378</v>
      </c>
      <c r="L13" s="408">
        <v>0</v>
      </c>
      <c r="M13" s="408">
        <v>0</v>
      </c>
      <c r="N13" s="408">
        <v>0</v>
      </c>
      <c r="O13" s="408">
        <v>0</v>
      </c>
      <c r="P13" s="408">
        <v>0</v>
      </c>
      <c r="Q13" s="408">
        <v>0</v>
      </c>
      <c r="R13" s="408"/>
      <c r="S13" s="408"/>
      <c r="T13" s="408"/>
      <c r="U13" s="408"/>
      <c r="V13" s="408"/>
      <c r="W13" s="408"/>
      <c r="X13" s="408"/>
      <c r="Y13" s="408"/>
      <c r="Z13" s="408"/>
      <c r="AA13" s="408">
        <v>0</v>
      </c>
      <c r="AB13" s="408"/>
      <c r="AC13" s="408"/>
      <c r="AD13" s="408"/>
      <c r="AE13" s="408"/>
      <c r="AF13" s="408"/>
      <c r="AG13" s="408"/>
      <c r="AH13" s="408"/>
      <c r="AI13" s="408"/>
      <c r="AJ13" s="408"/>
      <c r="AK13" s="408"/>
      <c r="AL13" s="408"/>
      <c r="AM13" s="408"/>
      <c r="AN13" s="408"/>
      <c r="AO13" s="408"/>
      <c r="AP13" s="408"/>
      <c r="AQ13" s="408"/>
      <c r="AR13" s="408"/>
      <c r="AS13" s="408"/>
      <c r="AT13" s="408"/>
      <c r="AU13" s="408"/>
      <c r="AV13" s="408"/>
      <c r="AW13" s="408"/>
      <c r="AX13" s="408"/>
      <c r="AY13" s="408"/>
      <c r="AZ13" s="408">
        <v>0</v>
      </c>
      <c r="BA13" s="408"/>
      <c r="BB13" s="408"/>
      <c r="BC13" s="408"/>
      <c r="BD13" s="408"/>
      <c r="BE13" s="408"/>
      <c r="BF13" s="408"/>
      <c r="BG13" s="408"/>
      <c r="BH13" s="408"/>
      <c r="BI13" s="408">
        <v>0</v>
      </c>
      <c r="BJ13" s="408">
        <v>0</v>
      </c>
      <c r="BK13" s="408">
        <v>28.28</v>
      </c>
      <c r="BL13" s="408">
        <v>2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/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/>
      <c r="CJ13" s="408">
        <v>-0.03</v>
      </c>
      <c r="CK13" s="408"/>
      <c r="CL13" s="408"/>
      <c r="CM13" s="408"/>
      <c r="CN13" s="408"/>
      <c r="CO13" s="408">
        <v>0</v>
      </c>
      <c r="CP13" s="408">
        <v>0</v>
      </c>
      <c r="CQ13" s="408">
        <v>31</v>
      </c>
      <c r="CR13" s="408"/>
      <c r="CS13" s="408"/>
      <c r="CT13" s="408"/>
      <c r="CU13" s="408"/>
      <c r="CV13" s="408"/>
      <c r="CW13" s="408"/>
      <c r="CX13" s="408"/>
      <c r="CY13" s="408"/>
      <c r="CZ13" s="408"/>
      <c r="DA13" s="408"/>
      <c r="DB13" s="408"/>
      <c r="DC13" s="408"/>
      <c r="DD13" s="408"/>
      <c r="DE13" s="408"/>
      <c r="DF13" s="408"/>
      <c r="DG13" s="408"/>
      <c r="DH13" s="408"/>
      <c r="DI13" s="408"/>
      <c r="DJ13" s="408"/>
      <c r="DK13" s="408">
        <v>0</v>
      </c>
      <c r="DL13" s="408"/>
      <c r="DM13" s="408"/>
      <c r="DN13" s="408"/>
      <c r="DO13" s="408"/>
      <c r="DP13" s="408"/>
      <c r="DQ13" s="408"/>
      <c r="DR13" s="408"/>
      <c r="DS13" s="408"/>
      <c r="DT13" s="408"/>
      <c r="DU13" s="408"/>
      <c r="DV13" s="408"/>
      <c r="DW13" s="408"/>
      <c r="DX13" s="408"/>
      <c r="DY13" s="408"/>
      <c r="DZ13" s="408"/>
      <c r="EA13" s="408"/>
      <c r="EB13" s="408"/>
      <c r="EC13" s="408"/>
      <c r="ED13" s="408"/>
      <c r="EE13" s="408"/>
      <c r="EF13" s="408"/>
      <c r="EG13" s="408"/>
      <c r="EH13" s="408"/>
      <c r="EI13" s="408"/>
      <c r="EJ13" s="408"/>
      <c r="EK13" s="408"/>
      <c r="EL13" s="408"/>
      <c r="EM13" s="408"/>
      <c r="EN13" s="408"/>
      <c r="EO13" s="408"/>
      <c r="EP13" s="408"/>
      <c r="EQ13" s="408"/>
      <c r="ER13" s="408"/>
      <c r="ES13" s="408"/>
      <c r="ET13" s="408"/>
      <c r="EU13" s="408"/>
      <c r="EV13" s="408">
        <v>265</v>
      </c>
      <c r="EW13" s="408"/>
      <c r="EX13" s="408"/>
      <c r="EY13" s="408"/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13</v>
      </c>
      <c r="B14" s="408" t="s">
        <v>1031</v>
      </c>
      <c r="C14" s="408" t="s">
        <v>2227</v>
      </c>
      <c r="D14" s="408" t="s">
        <v>1952</v>
      </c>
      <c r="E14" s="408" t="s">
        <v>965</v>
      </c>
      <c r="F14" s="408" t="s">
        <v>1317</v>
      </c>
      <c r="G14" s="408" t="s">
        <v>1317</v>
      </c>
      <c r="H14" s="408" t="s">
        <v>1317</v>
      </c>
      <c r="I14" s="408" t="s">
        <v>1317</v>
      </c>
      <c r="J14" s="408" t="s">
        <v>2228</v>
      </c>
      <c r="K14" s="828">
        <v>44378</v>
      </c>
      <c r="L14" s="408">
        <v>0</v>
      </c>
      <c r="M14" s="408">
        <v>0</v>
      </c>
      <c r="N14" s="408">
        <v>32.374000000000002</v>
      </c>
      <c r="O14" s="408">
        <v>32.374000000000002</v>
      </c>
      <c r="P14" s="408">
        <v>32.374000000000002</v>
      </c>
      <c r="Q14" s="408">
        <v>32.374000000000002</v>
      </c>
      <c r="R14" s="408"/>
      <c r="S14" s="408">
        <v>739.04</v>
      </c>
      <c r="T14" s="408">
        <v>252.22</v>
      </c>
      <c r="U14" s="408"/>
      <c r="V14" s="408">
        <v>32091.051240000001</v>
      </c>
      <c r="W14" s="408">
        <v>32091.051240000001</v>
      </c>
      <c r="X14" s="408">
        <v>21948.600780000001</v>
      </c>
      <c r="Y14" s="408">
        <v>0</v>
      </c>
      <c r="Z14" s="408">
        <v>2002.4340925261492</v>
      </c>
      <c r="AA14" s="408">
        <v>0</v>
      </c>
      <c r="AB14" s="408">
        <v>0</v>
      </c>
      <c r="AC14" s="408">
        <v>0</v>
      </c>
      <c r="AD14" s="408">
        <v>3998.1106839347121</v>
      </c>
      <c r="AE14" s="408">
        <v>16413.222067712948</v>
      </c>
      <c r="AF14" s="408">
        <v>8165.4598742990711</v>
      </c>
      <c r="AG14" s="408">
        <v>0</v>
      </c>
      <c r="AH14" s="408">
        <v>0</v>
      </c>
      <c r="AI14" s="408">
        <v>0</v>
      </c>
      <c r="AJ14" s="408">
        <v>0</v>
      </c>
      <c r="AK14" s="408">
        <v>0</v>
      </c>
      <c r="AL14" s="408">
        <v>309.52875880279242</v>
      </c>
      <c r="AM14" s="408"/>
      <c r="AN14" s="408">
        <v>75.861946907514977</v>
      </c>
      <c r="AO14" s="408">
        <v>0</v>
      </c>
      <c r="AP14" s="408">
        <v>0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1126.4289835078091</v>
      </c>
      <c r="BH14" s="408">
        <v>0</v>
      </c>
      <c r="BI14" s="408">
        <v>0</v>
      </c>
      <c r="BJ14" s="408">
        <v>0</v>
      </c>
      <c r="BK14" s="408">
        <v>4594.46</v>
      </c>
      <c r="BL14" s="408">
        <v>16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9291.88885780688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21945.888899999998</v>
      </c>
      <c r="CJ14" s="408">
        <v>-10145.192339999998</v>
      </c>
      <c r="CK14" s="408"/>
      <c r="CL14" s="408"/>
      <c r="CM14" s="408"/>
      <c r="CN14" s="408"/>
      <c r="CO14" s="408">
        <v>-10142.45046</v>
      </c>
      <c r="CP14" s="408">
        <v>0</v>
      </c>
      <c r="CQ14" s="408">
        <v>31</v>
      </c>
      <c r="CR14" s="408">
        <v>-78.73994341213438</v>
      </c>
      <c r="CS14" s="408">
        <v>0</v>
      </c>
      <c r="CT14" s="408">
        <v>0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-10.275496539066808</v>
      </c>
      <c r="DA14" s="408">
        <v>0</v>
      </c>
      <c r="DB14" s="408">
        <v>0</v>
      </c>
      <c r="DC14" s="408">
        <v>-1.1447446013335139E-6</v>
      </c>
      <c r="DD14" s="408">
        <v>0</v>
      </c>
      <c r="DE14" s="408">
        <v>0</v>
      </c>
      <c r="DF14" s="408">
        <v>0</v>
      </c>
      <c r="DG14" s="408">
        <v>-1.5791738405823708E-7</v>
      </c>
      <c r="DH14" s="408">
        <v>0</v>
      </c>
      <c r="DI14" s="408">
        <v>-58.224954399334138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-7.7760167950189043</v>
      </c>
      <c r="DP14" s="408">
        <v>-2.4634743760510958</v>
      </c>
      <c r="DQ14" s="408">
        <v>0</v>
      </c>
      <c r="DR14" s="408">
        <v>0</v>
      </c>
      <c r="DS14" s="408"/>
      <c r="DT14" s="408"/>
      <c r="DU14" s="408"/>
      <c r="DV14" s="408">
        <v>16413.222067712948</v>
      </c>
      <c r="DW14" s="408">
        <v>0</v>
      </c>
      <c r="DX14" s="408">
        <v>0</v>
      </c>
      <c r="DY14" s="408">
        <v>-10142.45046</v>
      </c>
      <c r="DZ14" s="408">
        <v>0</v>
      </c>
      <c r="EA14" s="408">
        <v>0</v>
      </c>
      <c r="EB14" s="408">
        <v>0</v>
      </c>
      <c r="EC14" s="408">
        <v>-10063.687044081416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265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14</v>
      </c>
      <c r="B15" s="408" t="s">
        <v>2230</v>
      </c>
      <c r="C15" s="408" t="s">
        <v>2227</v>
      </c>
      <c r="D15" s="408" t="s">
        <v>1952</v>
      </c>
      <c r="E15" s="408" t="s">
        <v>965</v>
      </c>
      <c r="F15" s="408" t="s">
        <v>1317</v>
      </c>
      <c r="G15" s="408" t="s">
        <v>1317</v>
      </c>
      <c r="H15" s="408" t="s">
        <v>1317</v>
      </c>
      <c r="I15" s="408" t="s">
        <v>1317</v>
      </c>
      <c r="J15" s="408" t="s">
        <v>2228</v>
      </c>
      <c r="K15" s="828">
        <v>44378</v>
      </c>
      <c r="L15" s="408">
        <v>0</v>
      </c>
      <c r="M15" s="408">
        <v>0</v>
      </c>
      <c r="N15" s="408">
        <v>6.8</v>
      </c>
      <c r="O15" s="408">
        <v>6.8</v>
      </c>
      <c r="P15" s="408">
        <v>6.8</v>
      </c>
      <c r="Q15" s="408">
        <v>6.8</v>
      </c>
      <c r="R15" s="408"/>
      <c r="S15" s="408">
        <v>739.04</v>
      </c>
      <c r="T15" s="408">
        <v>252.22</v>
      </c>
      <c r="U15" s="408"/>
      <c r="V15" s="408">
        <v>6740.5679999999993</v>
      </c>
      <c r="W15" s="408">
        <v>6740.5679999999993</v>
      </c>
      <c r="X15" s="408">
        <v>4610.1959999999999</v>
      </c>
      <c r="Y15" s="408">
        <v>0</v>
      </c>
      <c r="Z15" s="408">
        <v>420.6014650391615</v>
      </c>
      <c r="AA15" s="408">
        <v>0</v>
      </c>
      <c r="AB15" s="408">
        <v>0</v>
      </c>
      <c r="AC15" s="408">
        <v>0</v>
      </c>
      <c r="AD15" s="408">
        <v>839.78355009439792</v>
      </c>
      <c r="AE15" s="408">
        <v>3447.5168363639973</v>
      </c>
      <c r="AF15" s="408">
        <v>1715.1148188433212</v>
      </c>
      <c r="AG15" s="408">
        <v>0</v>
      </c>
      <c r="AH15" s="408">
        <v>0</v>
      </c>
      <c r="AI15" s="408">
        <v>0</v>
      </c>
      <c r="AJ15" s="408">
        <v>0</v>
      </c>
      <c r="AK15" s="408">
        <v>0</v>
      </c>
      <c r="AL15" s="408">
        <v>65.014998451195041</v>
      </c>
      <c r="AM15" s="408"/>
      <c r="AN15" s="408">
        <v>15.93443006644535</v>
      </c>
      <c r="AO15" s="408">
        <v>0</v>
      </c>
      <c r="AP15" s="408">
        <v>0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>
        <v>0</v>
      </c>
      <c r="BG15" s="408">
        <v>236.60088613866378</v>
      </c>
      <c r="BH15" s="408">
        <v>0</v>
      </c>
      <c r="BI15" s="408">
        <v>0</v>
      </c>
      <c r="BJ15" s="408">
        <v>0</v>
      </c>
      <c r="BK15" s="408">
        <v>1750.62</v>
      </c>
      <c r="BL15" s="408">
        <v>12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1951.715704981985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4610.1959999999999</v>
      </c>
      <c r="CJ15" s="408">
        <v>-2130.402</v>
      </c>
      <c r="CK15" s="408"/>
      <c r="CL15" s="408"/>
      <c r="CM15" s="408"/>
      <c r="CN15" s="408"/>
      <c r="CO15" s="408">
        <v>-2130.3719999999998</v>
      </c>
      <c r="CP15" s="408">
        <v>0</v>
      </c>
      <c r="CQ15" s="408">
        <v>31</v>
      </c>
      <c r="CR15" s="408">
        <v>-16.538939124066928</v>
      </c>
      <c r="CS15" s="408">
        <v>0</v>
      </c>
      <c r="CT15" s="408">
        <v>0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-2.1583176767052237</v>
      </c>
      <c r="DA15" s="408">
        <v>0</v>
      </c>
      <c r="DB15" s="408">
        <v>0</v>
      </c>
      <c r="DC15" s="408">
        <v>-2.4044811652856879E-7</v>
      </c>
      <c r="DD15" s="408">
        <v>0</v>
      </c>
      <c r="DE15" s="408">
        <v>0</v>
      </c>
      <c r="DF15" s="408">
        <v>0</v>
      </c>
      <c r="DG15" s="408">
        <v>-3.316975494271901E-8</v>
      </c>
      <c r="DH15" s="408">
        <v>0</v>
      </c>
      <c r="DI15" s="408">
        <v>-12.229866248084022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-1.6333142091224033</v>
      </c>
      <c r="DP15" s="408">
        <v>-0.51744071653633839</v>
      </c>
      <c r="DQ15" s="408">
        <v>0</v>
      </c>
      <c r="DR15" s="408">
        <v>0</v>
      </c>
      <c r="DS15" s="408"/>
      <c r="DT15" s="408"/>
      <c r="DU15" s="408"/>
      <c r="DV15" s="408">
        <v>3447.5168363639973</v>
      </c>
      <c r="DW15" s="408">
        <v>0</v>
      </c>
      <c r="DX15" s="408">
        <v>0</v>
      </c>
      <c r="DY15" s="408">
        <v>-2130.3719999999998</v>
      </c>
      <c r="DZ15" s="408">
        <v>0</v>
      </c>
      <c r="EA15" s="408">
        <v>0</v>
      </c>
      <c r="EB15" s="408">
        <v>0</v>
      </c>
      <c r="EC15" s="408">
        <v>-2113.8281305910186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265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15</v>
      </c>
      <c r="B16" s="408" t="s">
        <v>1031</v>
      </c>
      <c r="C16" s="408" t="s">
        <v>2235</v>
      </c>
      <c r="D16" s="408" t="s">
        <v>596</v>
      </c>
      <c r="E16" s="408" t="s">
        <v>965</v>
      </c>
      <c r="F16" s="408" t="s">
        <v>1317</v>
      </c>
      <c r="G16" s="408" t="s">
        <v>1317</v>
      </c>
      <c r="H16" s="408" t="s">
        <v>1317</v>
      </c>
      <c r="I16" s="408" t="s">
        <v>968</v>
      </c>
      <c r="J16" s="408" t="s">
        <v>2228</v>
      </c>
      <c r="K16" s="828">
        <v>44378</v>
      </c>
      <c r="L16" s="408">
        <v>0</v>
      </c>
      <c r="M16" s="408">
        <v>0</v>
      </c>
      <c r="N16" s="408">
        <v>19.803999999999998</v>
      </c>
      <c r="O16" s="408">
        <v>19.803999999999998</v>
      </c>
      <c r="P16" s="408">
        <v>19.803999999999998</v>
      </c>
      <c r="Q16" s="408">
        <v>19.803999999999998</v>
      </c>
      <c r="R16" s="408"/>
      <c r="S16" s="408">
        <v>2641.06</v>
      </c>
      <c r="T16" s="408">
        <v>252.22</v>
      </c>
      <c r="U16" s="408"/>
      <c r="V16" s="408">
        <v>57298.517119999997</v>
      </c>
      <c r="W16" s="408">
        <v>57298.517119999997</v>
      </c>
      <c r="X16" s="408">
        <v>34010.201359999992</v>
      </c>
      <c r="Y16" s="408">
        <v>0</v>
      </c>
      <c r="Z16" s="408">
        <v>1065.6977249798429</v>
      </c>
      <c r="AA16" s="408">
        <v>0</v>
      </c>
      <c r="AB16" s="408">
        <v>0</v>
      </c>
      <c r="AC16" s="408">
        <v>0</v>
      </c>
      <c r="AD16" s="408">
        <v>12828.377480639048</v>
      </c>
      <c r="AE16" s="408">
        <v>37867.037107227552</v>
      </c>
      <c r="AF16" s="408">
        <v>4995.0196871136959</v>
      </c>
      <c r="AG16" s="408">
        <v>0</v>
      </c>
      <c r="AH16" s="408">
        <v>0</v>
      </c>
      <c r="AI16" s="408">
        <v>0</v>
      </c>
      <c r="AJ16" s="408">
        <v>0</v>
      </c>
      <c r="AK16" s="408">
        <v>0</v>
      </c>
      <c r="AL16" s="408">
        <v>189.34662195992155</v>
      </c>
      <c r="AM16" s="408"/>
      <c r="AN16" s="408">
        <v>47.646565149801759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305.43394855934628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5300.4536356730423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34003.332000000002</v>
      </c>
      <c r="CJ16" s="408">
        <v>-23295.215120000001</v>
      </c>
      <c r="CK16" s="408"/>
      <c r="CL16" s="408"/>
      <c r="CM16" s="408"/>
      <c r="CN16" s="408"/>
      <c r="CO16" s="408">
        <v>-23288.315759999998</v>
      </c>
      <c r="CP16" s="408">
        <v>0</v>
      </c>
      <c r="CQ16" s="408">
        <v>31</v>
      </c>
      <c r="CR16" s="408">
        <v>-70.261468434480776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-32.970059816996582</v>
      </c>
      <c r="DA16" s="408">
        <v>0</v>
      </c>
      <c r="DB16" s="408">
        <v>0</v>
      </c>
      <c r="DC16" s="408">
        <v>-7.0026999310357496E-7</v>
      </c>
      <c r="DD16" s="408">
        <v>0</v>
      </c>
      <c r="DE16" s="408">
        <v>0</v>
      </c>
      <c r="DF16" s="408">
        <v>0</v>
      </c>
      <c r="DG16" s="408">
        <v>-4.2820204271265538E-8</v>
      </c>
      <c r="DH16" s="408">
        <v>0</v>
      </c>
      <c r="DI16" s="408">
        <v>-30.987387635888126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-4.7567874408029525</v>
      </c>
      <c r="DP16" s="408">
        <v>-1.5472327977093911</v>
      </c>
      <c r="DQ16" s="408">
        <v>0</v>
      </c>
      <c r="DR16" s="408">
        <v>0</v>
      </c>
      <c r="DS16" s="408"/>
      <c r="DT16" s="408"/>
      <c r="DU16" s="408"/>
      <c r="DV16" s="408">
        <v>37867.037107227552</v>
      </c>
      <c r="DW16" s="408">
        <v>0</v>
      </c>
      <c r="DX16" s="408">
        <v>0</v>
      </c>
      <c r="DY16" s="408">
        <v>-23288.315760000001</v>
      </c>
      <c r="DZ16" s="408">
        <v>0</v>
      </c>
      <c r="EA16" s="408">
        <v>0</v>
      </c>
      <c r="EB16" s="408">
        <v>0</v>
      </c>
      <c r="EC16" s="408">
        <v>-23217.989079877043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265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16</v>
      </c>
      <c r="B17" s="408" t="s">
        <v>1031</v>
      </c>
      <c r="C17" s="408" t="s">
        <v>2235</v>
      </c>
      <c r="D17" s="408" t="s">
        <v>596</v>
      </c>
      <c r="E17" s="408" t="s">
        <v>965</v>
      </c>
      <c r="F17" s="408" t="s">
        <v>1317</v>
      </c>
      <c r="G17" s="408" t="s">
        <v>1317</v>
      </c>
      <c r="H17" s="408" t="s">
        <v>1317</v>
      </c>
      <c r="I17" s="408" t="s">
        <v>2236</v>
      </c>
      <c r="J17" s="408" t="s">
        <v>2228</v>
      </c>
      <c r="K17" s="828">
        <v>44378</v>
      </c>
      <c r="L17" s="408">
        <v>0</v>
      </c>
      <c r="M17" s="408">
        <v>0</v>
      </c>
      <c r="N17" s="408">
        <v>307.83600000000001</v>
      </c>
      <c r="O17" s="408">
        <v>307.83600000000001</v>
      </c>
      <c r="P17" s="408">
        <v>307.83600000000001</v>
      </c>
      <c r="Q17" s="408">
        <v>307.83600000000001</v>
      </c>
      <c r="R17" s="408"/>
      <c r="S17" s="408">
        <v>81.2</v>
      </c>
      <c r="T17" s="408">
        <v>252.22</v>
      </c>
      <c r="U17" s="408"/>
      <c r="V17" s="408">
        <v>102638.67912000002</v>
      </c>
      <c r="W17" s="408">
        <v>102638.67912000002</v>
      </c>
      <c r="X17" s="408">
        <v>102059.94744</v>
      </c>
      <c r="Y17" s="408">
        <v>0</v>
      </c>
      <c r="Z17" s="408">
        <v>16565.34664042087</v>
      </c>
      <c r="AA17" s="408">
        <v>0</v>
      </c>
      <c r="AB17" s="408">
        <v>0</v>
      </c>
      <c r="AC17" s="408">
        <v>0</v>
      </c>
      <c r="AD17" s="408">
        <v>0</v>
      </c>
      <c r="AE17" s="408">
        <v>0</v>
      </c>
      <c r="AF17" s="408">
        <v>77643.247849037158</v>
      </c>
      <c r="AG17" s="408">
        <v>0</v>
      </c>
      <c r="AH17" s="408">
        <v>0</v>
      </c>
      <c r="AI17" s="408">
        <v>0</v>
      </c>
      <c r="AJ17" s="408">
        <v>0</v>
      </c>
      <c r="AK17" s="408">
        <v>0</v>
      </c>
      <c r="AL17" s="408">
        <v>2943.2289798855995</v>
      </c>
      <c r="AM17" s="408"/>
      <c r="AN17" s="408">
        <v>740.6245217862238</v>
      </c>
      <c r="AO17" s="408">
        <v>0</v>
      </c>
      <c r="AP17" s="408">
        <v>0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4747.7057659419779</v>
      </c>
      <c r="BH17" s="408">
        <v>0</v>
      </c>
      <c r="BI17" s="408">
        <v>0</v>
      </c>
      <c r="BJ17" s="408">
        <v>0</v>
      </c>
      <c r="BK17" s="408">
        <v>0</v>
      </c>
      <c r="BL17" s="408">
        <v>0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82390.953614979138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102061.27359999999</v>
      </c>
      <c r="CJ17" s="408">
        <v>-577.43552000001364</v>
      </c>
      <c r="CK17" s="408"/>
      <c r="CL17" s="408"/>
      <c r="CM17" s="408"/>
      <c r="CN17" s="408"/>
      <c r="CO17" s="408">
        <v>-578.73168000000305</v>
      </c>
      <c r="CP17" s="408">
        <v>0</v>
      </c>
      <c r="CQ17" s="408">
        <v>31</v>
      </c>
      <c r="CR17" s="408">
        <v>-579.66259660544165</v>
      </c>
      <c r="CS17" s="408">
        <v>0</v>
      </c>
      <c r="CT17" s="408">
        <v>0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0</v>
      </c>
      <c r="DA17" s="408">
        <v>0</v>
      </c>
      <c r="DB17" s="408">
        <v>0</v>
      </c>
      <c r="DC17" s="408">
        <v>-1.0885094525292516E-5</v>
      </c>
      <c r="DD17" s="408">
        <v>0</v>
      </c>
      <c r="DE17" s="408">
        <v>0</v>
      </c>
      <c r="DF17" s="408">
        <v>0</v>
      </c>
      <c r="DG17" s="408">
        <v>-6.6560278355609626E-7</v>
      </c>
      <c r="DH17" s="408">
        <v>0</v>
      </c>
      <c r="DI17" s="408">
        <v>-481.67205919416301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-73.940134246970956</v>
      </c>
      <c r="DP17" s="408">
        <v>-24.05039161359673</v>
      </c>
      <c r="DQ17" s="408">
        <v>0</v>
      </c>
      <c r="DR17" s="408">
        <v>0</v>
      </c>
      <c r="DS17" s="408"/>
      <c r="DT17" s="408"/>
      <c r="DU17" s="408"/>
      <c r="DV17" s="408">
        <v>0</v>
      </c>
      <c r="DW17" s="408">
        <v>0</v>
      </c>
      <c r="DX17" s="408">
        <v>0</v>
      </c>
      <c r="DY17" s="408">
        <v>-578.73168000000442</v>
      </c>
      <c r="DZ17" s="408">
        <v>0</v>
      </c>
      <c r="EA17" s="408">
        <v>0</v>
      </c>
      <c r="EB17" s="408">
        <v>0</v>
      </c>
      <c r="EC17" s="408">
        <v>0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265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17</v>
      </c>
      <c r="B18" s="408" t="s">
        <v>1031</v>
      </c>
      <c r="C18" s="408" t="s">
        <v>2235</v>
      </c>
      <c r="D18" s="408" t="s">
        <v>596</v>
      </c>
      <c r="E18" s="408" t="s">
        <v>965</v>
      </c>
      <c r="F18" s="408" t="s">
        <v>1317</v>
      </c>
      <c r="G18" s="408" t="s">
        <v>1317</v>
      </c>
      <c r="H18" s="408" t="s">
        <v>1317</v>
      </c>
      <c r="I18" s="408" t="s">
        <v>1317</v>
      </c>
      <c r="J18" s="408" t="s">
        <v>2228</v>
      </c>
      <c r="K18" s="828">
        <v>44378</v>
      </c>
      <c r="L18" s="408">
        <v>1342</v>
      </c>
      <c r="M18" s="408">
        <v>1342</v>
      </c>
      <c r="N18" s="408">
        <v>0</v>
      </c>
      <c r="O18" s="408">
        <v>0</v>
      </c>
      <c r="P18" s="408">
        <v>0</v>
      </c>
      <c r="Q18" s="408">
        <v>0</v>
      </c>
      <c r="R18" s="408">
        <v>74.44</v>
      </c>
      <c r="S18" s="408"/>
      <c r="T18" s="408"/>
      <c r="U18" s="408">
        <v>99898.48</v>
      </c>
      <c r="V18" s="408"/>
      <c r="W18" s="408">
        <v>99898.48</v>
      </c>
      <c r="X18" s="408">
        <v>60953.64</v>
      </c>
      <c r="Y18" s="408">
        <v>0</v>
      </c>
      <c r="Z18" s="408">
        <v>0</v>
      </c>
      <c r="AA18" s="408">
        <v>0</v>
      </c>
      <c r="AB18" s="408">
        <v>0</v>
      </c>
      <c r="AC18" s="408">
        <v>0</v>
      </c>
      <c r="AD18" s="408">
        <v>36525.338175866316</v>
      </c>
      <c r="AE18" s="408">
        <v>63371.303907667148</v>
      </c>
      <c r="AF18" s="408"/>
      <c r="AG18" s="408"/>
      <c r="AH18" s="408"/>
      <c r="AI18" s="408">
        <v>0</v>
      </c>
      <c r="AJ18" s="408">
        <v>0</v>
      </c>
      <c r="AK18" s="408">
        <v>0</v>
      </c>
      <c r="AL18" s="408">
        <v>0</v>
      </c>
      <c r="AM18" s="408"/>
      <c r="AN18" s="408">
        <v>0</v>
      </c>
      <c r="AO18" s="408">
        <v>0</v>
      </c>
      <c r="AP18" s="408">
        <v>0</v>
      </c>
      <c r="AQ18" s="408">
        <v>0</v>
      </c>
      <c r="AR18" s="408">
        <v>0</v>
      </c>
      <c r="AS18" s="408"/>
      <c r="AT18" s="408"/>
      <c r="AU18" s="408">
        <v>0</v>
      </c>
      <c r="AV18" s="408">
        <v>0</v>
      </c>
      <c r="AW18" s="408">
        <v>0</v>
      </c>
      <c r="AX18" s="408"/>
      <c r="AY18" s="408"/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/>
      <c r="BG18" s="408">
        <v>0</v>
      </c>
      <c r="BH18" s="408">
        <v>0</v>
      </c>
      <c r="BI18" s="408">
        <v>0</v>
      </c>
      <c r="BJ18" s="408">
        <v>0</v>
      </c>
      <c r="BK18" s="408">
        <v>42176.88</v>
      </c>
      <c r="BL18" s="408">
        <v>5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0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60953.64</v>
      </c>
      <c r="CJ18" s="408">
        <v>-38944.869999999981</v>
      </c>
      <c r="CK18" s="408"/>
      <c r="CL18" s="408"/>
      <c r="CM18" s="408"/>
      <c r="CN18" s="408"/>
      <c r="CO18" s="408">
        <v>-38944.839999999997</v>
      </c>
      <c r="CP18" s="408">
        <v>0</v>
      </c>
      <c r="CQ18" s="408">
        <v>31</v>
      </c>
      <c r="CR18" s="408">
        <v>-93.873335603944724</v>
      </c>
      <c r="CS18" s="408">
        <v>0</v>
      </c>
      <c r="CT18" s="408">
        <v>0</v>
      </c>
      <c r="CU18" s="408">
        <v>0</v>
      </c>
      <c r="CV18" s="408">
        <v>0</v>
      </c>
      <c r="CW18" s="408"/>
      <c r="CX18" s="408"/>
      <c r="CY18" s="408"/>
      <c r="CZ18" s="408">
        <v>-93.873335603944724</v>
      </c>
      <c r="DA18" s="408">
        <v>0</v>
      </c>
      <c r="DB18" s="408">
        <v>0</v>
      </c>
      <c r="DC18" s="408"/>
      <c r="DD18" s="408"/>
      <c r="DE18" s="408">
        <v>0</v>
      </c>
      <c r="DF18" s="408">
        <v>0</v>
      </c>
      <c r="DG18" s="408">
        <v>0</v>
      </c>
      <c r="DH18" s="408">
        <v>0</v>
      </c>
      <c r="DI18" s="408">
        <v>0</v>
      </c>
      <c r="DJ18" s="408"/>
      <c r="DK18" s="408">
        <v>0</v>
      </c>
      <c r="DL18" s="408">
        <v>0</v>
      </c>
      <c r="DM18" s="408"/>
      <c r="DN18" s="408">
        <v>0</v>
      </c>
      <c r="DO18" s="408">
        <v>0</v>
      </c>
      <c r="DP18" s="408">
        <v>0</v>
      </c>
      <c r="DQ18" s="408">
        <v>0</v>
      </c>
      <c r="DR18" s="408">
        <v>0</v>
      </c>
      <c r="DS18" s="408"/>
      <c r="DT18" s="408"/>
      <c r="DU18" s="408">
        <v>63371.303907667148</v>
      </c>
      <c r="DV18" s="408"/>
      <c r="DW18" s="408">
        <v>0</v>
      </c>
      <c r="DX18" s="408">
        <v>0</v>
      </c>
      <c r="DY18" s="408">
        <v>-38944.839999999997</v>
      </c>
      <c r="DZ18" s="408"/>
      <c r="EA18" s="408">
        <v>0</v>
      </c>
      <c r="EB18" s="408"/>
      <c r="EC18" s="408">
        <v>-38855.805854030106</v>
      </c>
      <c r="ED18" s="408"/>
      <c r="EE18" s="408">
        <v>0</v>
      </c>
      <c r="EF18" s="408">
        <v>0</v>
      </c>
      <c r="EG18" s="408"/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/>
      <c r="EN18" s="408"/>
      <c r="EO18" s="408">
        <v>0</v>
      </c>
      <c r="EP18" s="408">
        <v>0</v>
      </c>
      <c r="EQ18" s="408"/>
      <c r="ER18" s="408">
        <v>0</v>
      </c>
      <c r="ES18" s="408"/>
      <c r="ET18" s="408">
        <v>0</v>
      </c>
      <c r="EU18" s="408"/>
      <c r="EV18" s="408">
        <v>265</v>
      </c>
      <c r="EW18" s="408"/>
      <c r="EX18" s="408"/>
      <c r="EY18" s="408"/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19</v>
      </c>
      <c r="B19" s="408" t="s">
        <v>1031</v>
      </c>
      <c r="C19" s="408" t="s">
        <v>2227</v>
      </c>
      <c r="D19" s="408" t="s">
        <v>1952</v>
      </c>
      <c r="E19" s="408" t="s">
        <v>993</v>
      </c>
      <c r="F19" s="408" t="s">
        <v>1317</v>
      </c>
      <c r="G19" s="408" t="s">
        <v>1317</v>
      </c>
      <c r="H19" s="408" t="s">
        <v>1317</v>
      </c>
      <c r="I19" s="408" t="s">
        <v>1317</v>
      </c>
      <c r="J19" s="408" t="s">
        <v>2228</v>
      </c>
      <c r="K19" s="828">
        <v>44378</v>
      </c>
      <c r="L19" s="408">
        <v>0</v>
      </c>
      <c r="M19" s="408">
        <v>0</v>
      </c>
      <c r="N19" s="408">
        <v>340.55</v>
      </c>
      <c r="O19" s="408">
        <v>340.55</v>
      </c>
      <c r="P19" s="408">
        <v>340.55</v>
      </c>
      <c r="Q19" s="408">
        <v>340.55</v>
      </c>
      <c r="R19" s="408"/>
      <c r="S19" s="408">
        <v>739.04</v>
      </c>
      <c r="T19" s="408">
        <v>252.22</v>
      </c>
      <c r="U19" s="408"/>
      <c r="V19" s="408">
        <v>337573.59299999999</v>
      </c>
      <c r="W19" s="408">
        <v>337573.59299999999</v>
      </c>
      <c r="X19" s="408">
        <v>230882.68350000001</v>
      </c>
      <c r="Y19" s="408">
        <v>0</v>
      </c>
      <c r="Z19" s="408">
        <v>21064.092488100949</v>
      </c>
      <c r="AA19" s="408">
        <v>0</v>
      </c>
      <c r="AB19" s="408">
        <v>0</v>
      </c>
      <c r="AC19" s="408">
        <v>0</v>
      </c>
      <c r="AD19" s="408">
        <v>42057.101174212825</v>
      </c>
      <c r="AE19" s="408">
        <v>172654.6850917293</v>
      </c>
      <c r="AF19" s="408">
        <v>85894.463464278393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3256.0084886109516</v>
      </c>
      <c r="AM19" s="408"/>
      <c r="AN19" s="408">
        <v>798.01031751881828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11849.181143312053</v>
      </c>
      <c r="BH19" s="408">
        <v>0</v>
      </c>
      <c r="BI19" s="408">
        <v>0</v>
      </c>
      <c r="BJ19" s="408">
        <v>0</v>
      </c>
      <c r="BK19" s="408">
        <v>97296.49</v>
      </c>
      <c r="BL19" s="408">
        <v>859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97743.644607590453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230882.68350000001</v>
      </c>
      <c r="CJ19" s="408">
        <v>-106690.93950000001</v>
      </c>
      <c r="CK19" s="408"/>
      <c r="CL19" s="408"/>
      <c r="CM19" s="408"/>
      <c r="CN19" s="408"/>
      <c r="CO19" s="408">
        <v>-106690.90949999999</v>
      </c>
      <c r="CP19" s="408">
        <v>0</v>
      </c>
      <c r="CQ19" s="408">
        <v>31</v>
      </c>
      <c r="CR19" s="408">
        <v>-828.28466451476561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-108.09045364734629</v>
      </c>
      <c r="DA19" s="408">
        <v>0</v>
      </c>
      <c r="DB19" s="408">
        <v>0</v>
      </c>
      <c r="DC19" s="408">
        <v>-1.2041855370625854E-5</v>
      </c>
      <c r="DD19" s="408">
        <v>0</v>
      </c>
      <c r="DE19" s="408">
        <v>0</v>
      </c>
      <c r="DF19" s="408">
        <v>0</v>
      </c>
      <c r="DG19" s="408">
        <v>-1.6611720639048144E-6</v>
      </c>
      <c r="DH19" s="408">
        <v>0</v>
      </c>
      <c r="DI19" s="408">
        <v>-612.48249276250135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-81.797816752446124</v>
      </c>
      <c r="DP19" s="408">
        <v>-25.913887649477942</v>
      </c>
      <c r="DQ19" s="408">
        <v>0</v>
      </c>
      <c r="DR19" s="408">
        <v>0</v>
      </c>
      <c r="DS19" s="408"/>
      <c r="DT19" s="408"/>
      <c r="DU19" s="408"/>
      <c r="DV19" s="408">
        <v>172654.6850917293</v>
      </c>
      <c r="DW19" s="408">
        <v>0</v>
      </c>
      <c r="DX19" s="408">
        <v>0</v>
      </c>
      <c r="DY19" s="408">
        <v>-106690.90949999998</v>
      </c>
      <c r="DZ19" s="408">
        <v>0</v>
      </c>
      <c r="EA19" s="408">
        <v>0</v>
      </c>
      <c r="EB19" s="408">
        <v>0</v>
      </c>
      <c r="EC19" s="408">
        <v>-105862.37792246639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265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20</v>
      </c>
      <c r="B20" s="408" t="s">
        <v>2230</v>
      </c>
      <c r="C20" s="408" t="s">
        <v>2227</v>
      </c>
      <c r="D20" s="408" t="s">
        <v>1952</v>
      </c>
      <c r="E20" s="408" t="s">
        <v>993</v>
      </c>
      <c r="F20" s="408" t="s">
        <v>1317</v>
      </c>
      <c r="G20" s="408" t="s">
        <v>1317</v>
      </c>
      <c r="H20" s="408" t="s">
        <v>1317</v>
      </c>
      <c r="I20" s="408" t="s">
        <v>1317</v>
      </c>
      <c r="J20" s="408" t="s">
        <v>2228</v>
      </c>
      <c r="K20" s="828">
        <v>44378</v>
      </c>
      <c r="L20" s="408">
        <v>0</v>
      </c>
      <c r="M20" s="408">
        <v>0</v>
      </c>
      <c r="N20" s="408">
        <v>62.747</v>
      </c>
      <c r="O20" s="408">
        <v>62.747</v>
      </c>
      <c r="P20" s="408">
        <v>62.747</v>
      </c>
      <c r="Q20" s="408">
        <v>62.747</v>
      </c>
      <c r="R20" s="408"/>
      <c r="S20" s="408">
        <v>739.04</v>
      </c>
      <c r="T20" s="408">
        <v>252.22</v>
      </c>
      <c r="U20" s="408"/>
      <c r="V20" s="408">
        <v>62198.591220000002</v>
      </c>
      <c r="W20" s="408">
        <v>62198.591220000002</v>
      </c>
      <c r="X20" s="408">
        <v>42540.583590000002</v>
      </c>
      <c r="Y20" s="408">
        <v>0</v>
      </c>
      <c r="Z20" s="408">
        <v>3881.1000186488627</v>
      </c>
      <c r="AA20" s="408">
        <v>0</v>
      </c>
      <c r="AB20" s="408">
        <v>0</v>
      </c>
      <c r="AC20" s="408">
        <v>0</v>
      </c>
      <c r="AD20" s="408">
        <v>7749.1027084960569</v>
      </c>
      <c r="AE20" s="408">
        <v>31811.961607548783</v>
      </c>
      <c r="AF20" s="408">
        <v>15826.221990876747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599.92589820840226</v>
      </c>
      <c r="AM20" s="408"/>
      <c r="AN20" s="408">
        <v>147.03495343812446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2183.23467684452</v>
      </c>
      <c r="BH20" s="408">
        <v>0</v>
      </c>
      <c r="BI20" s="408">
        <v>0</v>
      </c>
      <c r="BJ20" s="408">
        <v>0</v>
      </c>
      <c r="BK20" s="408">
        <v>26814.880000000001</v>
      </c>
      <c r="BL20" s="408">
        <v>108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18009.456667721268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42542.6175</v>
      </c>
      <c r="CJ20" s="408">
        <v>-19656.003720000008</v>
      </c>
      <c r="CK20" s="408"/>
      <c r="CL20" s="408"/>
      <c r="CM20" s="408"/>
      <c r="CN20" s="408"/>
      <c r="CO20" s="408">
        <v>-19658.007629999996</v>
      </c>
      <c r="CP20" s="408">
        <v>0</v>
      </c>
      <c r="CQ20" s="408">
        <v>31</v>
      </c>
      <c r="CR20" s="408">
        <v>-152.61306076732217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-19.915876361797018</v>
      </c>
      <c r="DA20" s="408">
        <v>0</v>
      </c>
      <c r="DB20" s="408">
        <v>0</v>
      </c>
      <c r="DC20" s="408">
        <v>-2.2187359718373045E-6</v>
      </c>
      <c r="DD20" s="408">
        <v>0</v>
      </c>
      <c r="DE20" s="408">
        <v>0</v>
      </c>
      <c r="DF20" s="408">
        <v>0</v>
      </c>
      <c r="DG20" s="408">
        <v>-3.060736162296962E-7</v>
      </c>
      <c r="DH20" s="408">
        <v>0</v>
      </c>
      <c r="DI20" s="408">
        <v>-112.85109080419534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-15.071406864676987</v>
      </c>
      <c r="DP20" s="408">
        <v>-4.7746842118390589</v>
      </c>
      <c r="DQ20" s="408">
        <v>0</v>
      </c>
      <c r="DR20" s="408">
        <v>0</v>
      </c>
      <c r="DS20" s="408"/>
      <c r="DT20" s="408"/>
      <c r="DU20" s="408"/>
      <c r="DV20" s="408">
        <v>31811.961607548783</v>
      </c>
      <c r="DW20" s="408">
        <v>0</v>
      </c>
      <c r="DX20" s="408">
        <v>0</v>
      </c>
      <c r="DY20" s="408">
        <v>-19658.00763</v>
      </c>
      <c r="DZ20" s="408">
        <v>0</v>
      </c>
      <c r="EA20" s="408">
        <v>0</v>
      </c>
      <c r="EB20" s="408">
        <v>0</v>
      </c>
      <c r="EC20" s="408">
        <v>-19505.349075028622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265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21</v>
      </c>
      <c r="B21" s="408" t="s">
        <v>1031</v>
      </c>
      <c r="C21" s="408" t="s">
        <v>2235</v>
      </c>
      <c r="D21" s="408" t="s">
        <v>596</v>
      </c>
      <c r="E21" s="408" t="s">
        <v>993</v>
      </c>
      <c r="F21" s="408" t="s">
        <v>1317</v>
      </c>
      <c r="G21" s="408" t="s">
        <v>1317</v>
      </c>
      <c r="H21" s="408" t="s">
        <v>1317</v>
      </c>
      <c r="I21" s="408" t="s">
        <v>968</v>
      </c>
      <c r="J21" s="408" t="s">
        <v>2228</v>
      </c>
      <c r="K21" s="828">
        <v>44378</v>
      </c>
      <c r="L21" s="408">
        <v>0</v>
      </c>
      <c r="M21" s="408">
        <v>0</v>
      </c>
      <c r="N21" s="408">
        <v>6.1849999999999996</v>
      </c>
      <c r="O21" s="408">
        <v>6.1849999999999996</v>
      </c>
      <c r="P21" s="408">
        <v>6.1849999999999996</v>
      </c>
      <c r="Q21" s="408">
        <v>6.1849999999999996</v>
      </c>
      <c r="R21" s="408"/>
      <c r="S21" s="408">
        <v>2641.06</v>
      </c>
      <c r="T21" s="408">
        <v>252.22</v>
      </c>
      <c r="U21" s="408"/>
      <c r="V21" s="408">
        <v>17894.936799999999</v>
      </c>
      <c r="W21" s="408">
        <v>17894.936799999999</v>
      </c>
      <c r="X21" s="408">
        <v>10621.747899999998</v>
      </c>
      <c r="Y21" s="408">
        <v>0</v>
      </c>
      <c r="Z21" s="408">
        <v>332.82874313271702</v>
      </c>
      <c r="AA21" s="408">
        <v>0</v>
      </c>
      <c r="AB21" s="408">
        <v>0</v>
      </c>
      <c r="AC21" s="408">
        <v>0</v>
      </c>
      <c r="AD21" s="408">
        <v>4006.4388364851807</v>
      </c>
      <c r="AE21" s="408">
        <v>11826.278757230983</v>
      </c>
      <c r="AF21" s="408">
        <v>1559.9978168449913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59.134965503035481</v>
      </c>
      <c r="AM21" s="408"/>
      <c r="AN21" s="408">
        <v>14.880529461296904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95.390273270024082</v>
      </c>
      <c r="BH21" s="408">
        <v>0</v>
      </c>
      <c r="BI21" s="408">
        <v>0</v>
      </c>
      <c r="BJ21" s="408">
        <v>0</v>
      </c>
      <c r="BK21" s="408">
        <v>0</v>
      </c>
      <c r="BL21" s="408">
        <v>0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1655.3880901150155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10630.3346</v>
      </c>
      <c r="CJ21" s="408">
        <v>-7264.6321999999982</v>
      </c>
      <c r="CK21" s="408"/>
      <c r="CL21" s="408"/>
      <c r="CM21" s="408"/>
      <c r="CN21" s="408"/>
      <c r="CO21" s="408">
        <v>-7273.1889000000001</v>
      </c>
      <c r="CP21" s="408">
        <v>0</v>
      </c>
      <c r="CQ21" s="408">
        <v>31</v>
      </c>
      <c r="CR21" s="408">
        <v>-21.943404477241529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-10.296900624526643</v>
      </c>
      <c r="DA21" s="408">
        <v>0</v>
      </c>
      <c r="DB21" s="408">
        <v>0</v>
      </c>
      <c r="DC21" s="408">
        <v>-2.1870164346182719E-7</v>
      </c>
      <c r="DD21" s="408">
        <v>0</v>
      </c>
      <c r="DE21" s="408">
        <v>0</v>
      </c>
      <c r="DF21" s="408">
        <v>0</v>
      </c>
      <c r="DG21" s="408">
        <v>-1.3373210094869137E-8</v>
      </c>
      <c r="DH21" s="408">
        <v>0</v>
      </c>
      <c r="DI21" s="408">
        <v>-9.6776909981805375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-1.4855953505032389</v>
      </c>
      <c r="DP21" s="408">
        <v>-0.48321727195680708</v>
      </c>
      <c r="DQ21" s="408">
        <v>0</v>
      </c>
      <c r="DR21" s="408">
        <v>0</v>
      </c>
      <c r="DS21" s="408"/>
      <c r="DT21" s="408"/>
      <c r="DU21" s="408"/>
      <c r="DV21" s="408">
        <v>11826.278757230983</v>
      </c>
      <c r="DW21" s="408">
        <v>0</v>
      </c>
      <c r="DX21" s="408">
        <v>0</v>
      </c>
      <c r="DY21" s="408">
        <v>-7273.188900000001</v>
      </c>
      <c r="DZ21" s="408">
        <v>0</v>
      </c>
      <c r="EA21" s="408">
        <v>0</v>
      </c>
      <c r="EB21" s="408">
        <v>0</v>
      </c>
      <c r="EC21" s="408">
        <v>-7251.2251292183137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265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22</v>
      </c>
      <c r="B22" s="408" t="s">
        <v>2230</v>
      </c>
      <c r="C22" s="408" t="s">
        <v>2235</v>
      </c>
      <c r="D22" s="408" t="s">
        <v>596</v>
      </c>
      <c r="E22" s="408" t="s">
        <v>993</v>
      </c>
      <c r="F22" s="408" t="s">
        <v>1317</v>
      </c>
      <c r="G22" s="408" t="s">
        <v>1317</v>
      </c>
      <c r="H22" s="408" t="s">
        <v>1317</v>
      </c>
      <c r="I22" s="408" t="s">
        <v>968</v>
      </c>
      <c r="J22" s="408" t="s">
        <v>2228</v>
      </c>
      <c r="K22" s="828">
        <v>44378</v>
      </c>
      <c r="L22" s="408">
        <v>0</v>
      </c>
      <c r="M22" s="408">
        <v>0</v>
      </c>
      <c r="N22" s="408">
        <v>1.23</v>
      </c>
      <c r="O22" s="408">
        <v>1.23</v>
      </c>
      <c r="P22" s="408">
        <v>1.23</v>
      </c>
      <c r="Q22" s="408">
        <v>1.23</v>
      </c>
      <c r="R22" s="408"/>
      <c r="S22" s="408">
        <v>2641.06</v>
      </c>
      <c r="T22" s="408">
        <v>252.22</v>
      </c>
      <c r="U22" s="408"/>
      <c r="V22" s="408">
        <v>3558.7343999999998</v>
      </c>
      <c r="W22" s="408">
        <v>3558.7343999999998</v>
      </c>
      <c r="X22" s="408">
        <v>2112.3281999999999</v>
      </c>
      <c r="Y22" s="408">
        <v>0</v>
      </c>
      <c r="Z22" s="408">
        <v>66.189062902706866</v>
      </c>
      <c r="AA22" s="408">
        <v>0</v>
      </c>
      <c r="AB22" s="408">
        <v>0</v>
      </c>
      <c r="AC22" s="408">
        <v>0</v>
      </c>
      <c r="AD22" s="408">
        <v>796.75339836326145</v>
      </c>
      <c r="AE22" s="408">
        <v>2351.8711190612953</v>
      </c>
      <c r="AF22" s="408">
        <v>310.23400399665957</v>
      </c>
      <c r="AG22" s="408">
        <v>0</v>
      </c>
      <c r="AH22" s="408">
        <v>0</v>
      </c>
      <c r="AI22" s="408">
        <v>0</v>
      </c>
      <c r="AJ22" s="408">
        <v>0</v>
      </c>
      <c r="AK22" s="408">
        <v>0</v>
      </c>
      <c r="AL22" s="408">
        <v>11.760065896319103</v>
      </c>
      <c r="AM22" s="408"/>
      <c r="AN22" s="408">
        <v>2.9592645492959084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18.970094765097755</v>
      </c>
      <c r="BH22" s="408">
        <v>0</v>
      </c>
      <c r="BI22" s="408">
        <v>0</v>
      </c>
      <c r="BJ22" s="408">
        <v>0</v>
      </c>
      <c r="BK22" s="408">
        <v>0</v>
      </c>
      <c r="BL22" s="408">
        <v>0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329.20409876175734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2112.3281999999999</v>
      </c>
      <c r="CJ22" s="408">
        <v>-1446.4362000000006</v>
      </c>
      <c r="CK22" s="408"/>
      <c r="CL22" s="408"/>
      <c r="CM22" s="408"/>
      <c r="CN22" s="408"/>
      <c r="CO22" s="408">
        <v>-1446.4062000000001</v>
      </c>
      <c r="CP22" s="408">
        <v>0</v>
      </c>
      <c r="CQ22" s="408">
        <v>31</v>
      </c>
      <c r="CR22" s="408">
        <v>-4.3638459995161156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-2.0477263974401012</v>
      </c>
      <c r="DA22" s="408">
        <v>0</v>
      </c>
      <c r="DB22" s="408">
        <v>0</v>
      </c>
      <c r="DC22" s="408">
        <v>-4.349283244664548E-8</v>
      </c>
      <c r="DD22" s="408">
        <v>0</v>
      </c>
      <c r="DE22" s="408">
        <v>0</v>
      </c>
      <c r="DF22" s="408">
        <v>0</v>
      </c>
      <c r="DG22" s="408">
        <v>-2.6595046165311942E-9</v>
      </c>
      <c r="DH22" s="408">
        <v>0</v>
      </c>
      <c r="DI22" s="408">
        <v>-1.9245852753051054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-0.29543771723831647</v>
      </c>
      <c r="DP22" s="408">
        <v>-9.6096563380254185E-2</v>
      </c>
      <c r="DQ22" s="408">
        <v>0</v>
      </c>
      <c r="DR22" s="408">
        <v>0</v>
      </c>
      <c r="DS22" s="408"/>
      <c r="DT22" s="408"/>
      <c r="DU22" s="408"/>
      <c r="DV22" s="408">
        <v>2351.8711190612953</v>
      </c>
      <c r="DW22" s="408">
        <v>0</v>
      </c>
      <c r="DX22" s="408">
        <v>0</v>
      </c>
      <c r="DY22" s="408">
        <v>-1446.4062000000001</v>
      </c>
      <c r="DZ22" s="408">
        <v>0</v>
      </c>
      <c r="EA22" s="408">
        <v>0</v>
      </c>
      <c r="EB22" s="408">
        <v>0</v>
      </c>
      <c r="EC22" s="408">
        <v>-1442.038303789576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265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23</v>
      </c>
      <c r="B23" s="408" t="s">
        <v>1031</v>
      </c>
      <c r="C23" s="408" t="s">
        <v>2235</v>
      </c>
      <c r="D23" s="408" t="s">
        <v>596</v>
      </c>
      <c r="E23" s="408" t="s">
        <v>993</v>
      </c>
      <c r="F23" s="408" t="s">
        <v>1317</v>
      </c>
      <c r="G23" s="408" t="s">
        <v>1317</v>
      </c>
      <c r="H23" s="408" t="s">
        <v>1317</v>
      </c>
      <c r="I23" s="408" t="s">
        <v>2236</v>
      </c>
      <c r="J23" s="408" t="s">
        <v>2228</v>
      </c>
      <c r="K23" s="828">
        <v>44378</v>
      </c>
      <c r="L23" s="408">
        <v>0</v>
      </c>
      <c r="M23" s="408">
        <v>0</v>
      </c>
      <c r="N23" s="408">
        <v>212.73</v>
      </c>
      <c r="O23" s="408">
        <v>212.73</v>
      </c>
      <c r="P23" s="408">
        <v>212.73</v>
      </c>
      <c r="Q23" s="408">
        <v>212.73</v>
      </c>
      <c r="R23" s="408"/>
      <c r="S23" s="408">
        <v>81.2</v>
      </c>
      <c r="T23" s="408">
        <v>252.22</v>
      </c>
      <c r="U23" s="408"/>
      <c r="V23" s="408">
        <v>70928.436599999986</v>
      </c>
      <c r="W23" s="408">
        <v>70928.436599999986</v>
      </c>
      <c r="X23" s="408">
        <v>70528.504199999996</v>
      </c>
      <c r="Y23" s="408">
        <v>0</v>
      </c>
      <c r="Z23" s="408">
        <v>11447.479147392545</v>
      </c>
      <c r="AA23" s="408">
        <v>0</v>
      </c>
      <c r="AB23" s="408">
        <v>0</v>
      </c>
      <c r="AC23" s="408">
        <v>0</v>
      </c>
      <c r="AD23" s="408">
        <v>0</v>
      </c>
      <c r="AE23" s="408">
        <v>0</v>
      </c>
      <c r="AF23" s="408">
        <v>53655.349325373485</v>
      </c>
      <c r="AG23" s="408">
        <v>0</v>
      </c>
      <c r="AH23" s="408">
        <v>0</v>
      </c>
      <c r="AI23" s="408">
        <v>0</v>
      </c>
      <c r="AJ23" s="408">
        <v>0</v>
      </c>
      <c r="AK23" s="408">
        <v>0</v>
      </c>
      <c r="AL23" s="408">
        <v>2033.9177383121646</v>
      </c>
      <c r="AM23" s="408"/>
      <c r="AN23" s="408">
        <v>511.80841265993377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3280.9010238855653</v>
      </c>
      <c r="BH23" s="408">
        <v>0</v>
      </c>
      <c r="BI23" s="408">
        <v>0</v>
      </c>
      <c r="BJ23" s="408">
        <v>0</v>
      </c>
      <c r="BK23" s="408">
        <v>0</v>
      </c>
      <c r="BL23" s="408">
        <v>0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56936.250349259048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70528.504199999996</v>
      </c>
      <c r="CJ23" s="408">
        <v>-399.96239999998943</v>
      </c>
      <c r="CK23" s="408"/>
      <c r="CL23" s="408"/>
      <c r="CM23" s="408"/>
      <c r="CN23" s="408"/>
      <c r="CO23" s="408">
        <v>-399.93240000000202</v>
      </c>
      <c r="CP23" s="408">
        <v>0</v>
      </c>
      <c r="CQ23" s="408">
        <v>31</v>
      </c>
      <c r="CR23" s="408">
        <v>-400.57570971513633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0</v>
      </c>
      <c r="DA23" s="408">
        <v>0</v>
      </c>
      <c r="DB23" s="408">
        <v>0</v>
      </c>
      <c r="DC23" s="408">
        <v>-7.5221323641017079E-6</v>
      </c>
      <c r="DD23" s="408">
        <v>0</v>
      </c>
      <c r="DE23" s="408">
        <v>0</v>
      </c>
      <c r="DF23" s="408">
        <v>0</v>
      </c>
      <c r="DG23" s="408">
        <v>-4.5996466724318452E-7</v>
      </c>
      <c r="DH23" s="408">
        <v>0</v>
      </c>
      <c r="DI23" s="408">
        <v>-332.85937041923171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-51.096313486265672</v>
      </c>
      <c r="DP23" s="408">
        <v>-16.620017827545894</v>
      </c>
      <c r="DQ23" s="408">
        <v>0</v>
      </c>
      <c r="DR23" s="408">
        <v>0</v>
      </c>
      <c r="DS23" s="408"/>
      <c r="DT23" s="408"/>
      <c r="DU23" s="408"/>
      <c r="DV23" s="408">
        <v>0</v>
      </c>
      <c r="DW23" s="408">
        <v>0</v>
      </c>
      <c r="DX23" s="408">
        <v>0</v>
      </c>
      <c r="DY23" s="408">
        <v>-399.93240000000151</v>
      </c>
      <c r="DZ23" s="408">
        <v>0</v>
      </c>
      <c r="EA23" s="408">
        <v>0</v>
      </c>
      <c r="EB23" s="408">
        <v>0</v>
      </c>
      <c r="EC23" s="408">
        <v>0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265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24</v>
      </c>
      <c r="B24" s="408" t="s">
        <v>2230</v>
      </c>
      <c r="C24" s="408" t="s">
        <v>2235</v>
      </c>
      <c r="D24" s="408" t="s">
        <v>596</v>
      </c>
      <c r="E24" s="408" t="s">
        <v>993</v>
      </c>
      <c r="F24" s="408" t="s">
        <v>1317</v>
      </c>
      <c r="G24" s="408" t="s">
        <v>1317</v>
      </c>
      <c r="H24" s="408" t="s">
        <v>1317</v>
      </c>
      <c r="I24" s="408" t="s">
        <v>2236</v>
      </c>
      <c r="J24" s="408" t="s">
        <v>2228</v>
      </c>
      <c r="K24" s="828">
        <v>44378</v>
      </c>
      <c r="L24" s="408">
        <v>0</v>
      </c>
      <c r="M24" s="408">
        <v>0</v>
      </c>
      <c r="N24" s="408">
        <v>15.42</v>
      </c>
      <c r="O24" s="408">
        <v>15.42</v>
      </c>
      <c r="P24" s="408">
        <v>15.42</v>
      </c>
      <c r="Q24" s="408">
        <v>15.42</v>
      </c>
      <c r="R24" s="408"/>
      <c r="S24" s="408">
        <v>81.2</v>
      </c>
      <c r="T24" s="408">
        <v>252.22</v>
      </c>
      <c r="U24" s="408"/>
      <c r="V24" s="408">
        <v>5141.3364000000001</v>
      </c>
      <c r="W24" s="408">
        <v>5141.3364000000001</v>
      </c>
      <c r="X24" s="408">
        <v>5112.3467999999993</v>
      </c>
      <c r="Y24" s="408">
        <v>0</v>
      </c>
      <c r="Z24" s="408">
        <v>829.78483736564215</v>
      </c>
      <c r="AA24" s="408">
        <v>0</v>
      </c>
      <c r="AB24" s="408">
        <v>0</v>
      </c>
      <c r="AC24" s="408">
        <v>0</v>
      </c>
      <c r="AD24" s="408">
        <v>0</v>
      </c>
      <c r="AE24" s="408">
        <v>0</v>
      </c>
      <c r="AF24" s="408">
        <v>3889.275074494708</v>
      </c>
      <c r="AG24" s="408">
        <v>0</v>
      </c>
      <c r="AH24" s="408">
        <v>0</v>
      </c>
      <c r="AI24" s="408">
        <v>0</v>
      </c>
      <c r="AJ24" s="408">
        <v>0</v>
      </c>
      <c r="AK24" s="408">
        <v>0</v>
      </c>
      <c r="AL24" s="408">
        <v>147.43107001726875</v>
      </c>
      <c r="AM24" s="408"/>
      <c r="AN24" s="408">
        <v>37.099072642392606</v>
      </c>
      <c r="AO24" s="408">
        <v>0</v>
      </c>
      <c r="AP24" s="408">
        <v>0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>
        <v>0</v>
      </c>
      <c r="BG24" s="408">
        <v>237.82021242098162</v>
      </c>
      <c r="BH24" s="408">
        <v>0</v>
      </c>
      <c r="BI24" s="408">
        <v>0</v>
      </c>
      <c r="BJ24" s="408">
        <v>0</v>
      </c>
      <c r="BK24" s="408">
        <v>0</v>
      </c>
      <c r="BL24" s="408">
        <v>0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4127.0952869156899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5112.3467999999993</v>
      </c>
      <c r="CJ24" s="408">
        <v>-29.019600000000537</v>
      </c>
      <c r="CK24" s="408"/>
      <c r="CL24" s="408"/>
      <c r="CM24" s="408"/>
      <c r="CN24" s="408"/>
      <c r="CO24" s="408">
        <v>-28.989600000000149</v>
      </c>
      <c r="CP24" s="408">
        <v>0</v>
      </c>
      <c r="CQ24" s="408">
        <v>31</v>
      </c>
      <c r="CR24" s="408">
        <v>-29.036231108952961</v>
      </c>
      <c r="CS24" s="408">
        <v>0</v>
      </c>
      <c r="CT24" s="408">
        <v>0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0</v>
      </c>
      <c r="DA24" s="408">
        <v>0</v>
      </c>
      <c r="DB24" s="408">
        <v>0</v>
      </c>
      <c r="DC24" s="408">
        <v>-5.4525162340723909E-7</v>
      </c>
      <c r="DD24" s="408">
        <v>0</v>
      </c>
      <c r="DE24" s="408">
        <v>0</v>
      </c>
      <c r="DF24" s="408">
        <v>0</v>
      </c>
      <c r="DG24" s="408">
        <v>-3.3341109428874915E-8</v>
      </c>
      <c r="DH24" s="408">
        <v>0</v>
      </c>
      <c r="DI24" s="408">
        <v>-24.127727597727358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-3.7037801624510962</v>
      </c>
      <c r="DP24" s="408">
        <v>-1.2047227701817249</v>
      </c>
      <c r="DQ24" s="408">
        <v>0</v>
      </c>
      <c r="DR24" s="408">
        <v>0</v>
      </c>
      <c r="DS24" s="408"/>
      <c r="DT24" s="408"/>
      <c r="DU24" s="408"/>
      <c r="DV24" s="408">
        <v>0</v>
      </c>
      <c r="DW24" s="408">
        <v>0</v>
      </c>
      <c r="DX24" s="408">
        <v>0</v>
      </c>
      <c r="DY24" s="408">
        <v>-28.98960000000011</v>
      </c>
      <c r="DZ24" s="408">
        <v>0</v>
      </c>
      <c r="EA24" s="408">
        <v>0</v>
      </c>
      <c r="EB24" s="408">
        <v>0</v>
      </c>
      <c r="EC24" s="408">
        <v>0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265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25</v>
      </c>
      <c r="B25" s="408" t="s">
        <v>1031</v>
      </c>
      <c r="C25" s="408" t="s">
        <v>2235</v>
      </c>
      <c r="D25" s="408" t="s">
        <v>596</v>
      </c>
      <c r="E25" s="408" t="s">
        <v>993</v>
      </c>
      <c r="F25" s="408" t="s">
        <v>1317</v>
      </c>
      <c r="G25" s="408" t="s">
        <v>1317</v>
      </c>
      <c r="H25" s="408" t="s">
        <v>1317</v>
      </c>
      <c r="I25" s="408" t="s">
        <v>1317</v>
      </c>
      <c r="J25" s="408" t="s">
        <v>2228</v>
      </c>
      <c r="K25" s="828">
        <v>44378</v>
      </c>
      <c r="L25" s="408">
        <v>2587</v>
      </c>
      <c r="M25" s="408">
        <v>2587</v>
      </c>
      <c r="N25" s="408">
        <v>0</v>
      </c>
      <c r="O25" s="408">
        <v>0</v>
      </c>
      <c r="P25" s="408">
        <v>0</v>
      </c>
      <c r="Q25" s="408">
        <v>0</v>
      </c>
      <c r="R25" s="408">
        <v>74.44</v>
      </c>
      <c r="S25" s="408"/>
      <c r="T25" s="408"/>
      <c r="U25" s="408">
        <v>192576.28</v>
      </c>
      <c r="V25" s="408"/>
      <c r="W25" s="408">
        <v>192576.28</v>
      </c>
      <c r="X25" s="408">
        <v>117501.54000000001</v>
      </c>
      <c r="Y25" s="408">
        <v>0</v>
      </c>
      <c r="Z25" s="408">
        <v>0</v>
      </c>
      <c r="AA25" s="408">
        <v>0</v>
      </c>
      <c r="AB25" s="408">
        <v>0</v>
      </c>
      <c r="AC25" s="408">
        <v>0</v>
      </c>
      <c r="AD25" s="408">
        <v>70410.618376278813</v>
      </c>
      <c r="AE25" s="408">
        <v>122162.118635719</v>
      </c>
      <c r="AF25" s="408"/>
      <c r="AG25" s="408"/>
      <c r="AH25" s="408"/>
      <c r="AI25" s="408">
        <v>0</v>
      </c>
      <c r="AJ25" s="408">
        <v>0</v>
      </c>
      <c r="AK25" s="408">
        <v>0</v>
      </c>
      <c r="AL25" s="408">
        <v>0</v>
      </c>
      <c r="AM25" s="408"/>
      <c r="AN25" s="408">
        <v>0</v>
      </c>
      <c r="AO25" s="408">
        <v>0</v>
      </c>
      <c r="AP25" s="408">
        <v>0</v>
      </c>
      <c r="AQ25" s="408">
        <v>0</v>
      </c>
      <c r="AR25" s="408">
        <v>0</v>
      </c>
      <c r="AS25" s="408"/>
      <c r="AT25" s="408"/>
      <c r="AU25" s="408">
        <v>0</v>
      </c>
      <c r="AV25" s="408">
        <v>0</v>
      </c>
      <c r="AW25" s="408">
        <v>0</v>
      </c>
      <c r="AX25" s="408"/>
      <c r="AY25" s="408"/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/>
      <c r="BG25" s="408">
        <v>0</v>
      </c>
      <c r="BH25" s="408">
        <v>0</v>
      </c>
      <c r="BI25" s="408">
        <v>0</v>
      </c>
      <c r="BJ25" s="408">
        <v>0</v>
      </c>
      <c r="BK25" s="408">
        <v>80068.37</v>
      </c>
      <c r="BL25" s="408">
        <v>13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0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117501.54000000001</v>
      </c>
      <c r="CJ25" s="408">
        <v>-75074.770000000019</v>
      </c>
      <c r="CK25" s="408"/>
      <c r="CL25" s="408"/>
      <c r="CM25" s="408"/>
      <c r="CN25" s="408"/>
      <c r="CO25" s="408">
        <v>-75074.739999999991</v>
      </c>
      <c r="CP25" s="408">
        <v>0</v>
      </c>
      <c r="CQ25" s="408">
        <v>31</v>
      </c>
      <c r="CR25" s="408">
        <v>-180.96148972235096</v>
      </c>
      <c r="CS25" s="408">
        <v>0</v>
      </c>
      <c r="CT25" s="408">
        <v>0</v>
      </c>
      <c r="CU25" s="408">
        <v>0</v>
      </c>
      <c r="CV25" s="408">
        <v>0</v>
      </c>
      <c r="CW25" s="408"/>
      <c r="CX25" s="408"/>
      <c r="CY25" s="408"/>
      <c r="CZ25" s="408">
        <v>-180.96148972235096</v>
      </c>
      <c r="DA25" s="408">
        <v>0</v>
      </c>
      <c r="DB25" s="408">
        <v>0</v>
      </c>
      <c r="DC25" s="408"/>
      <c r="DD25" s="408"/>
      <c r="DE25" s="408">
        <v>0</v>
      </c>
      <c r="DF25" s="408">
        <v>0</v>
      </c>
      <c r="DG25" s="408">
        <v>0</v>
      </c>
      <c r="DH25" s="408">
        <v>0</v>
      </c>
      <c r="DI25" s="408">
        <v>0</v>
      </c>
      <c r="DJ25" s="408"/>
      <c r="DK25" s="408">
        <v>0</v>
      </c>
      <c r="DL25" s="408">
        <v>0</v>
      </c>
      <c r="DM25" s="408"/>
      <c r="DN25" s="408">
        <v>0</v>
      </c>
      <c r="DO25" s="408">
        <v>0</v>
      </c>
      <c r="DP25" s="408">
        <v>0</v>
      </c>
      <c r="DQ25" s="408">
        <v>0</v>
      </c>
      <c r="DR25" s="408">
        <v>0</v>
      </c>
      <c r="DS25" s="408"/>
      <c r="DT25" s="408"/>
      <c r="DU25" s="408">
        <v>122162.118635719</v>
      </c>
      <c r="DV25" s="408"/>
      <c r="DW25" s="408">
        <v>0</v>
      </c>
      <c r="DX25" s="408">
        <v>0</v>
      </c>
      <c r="DY25" s="408">
        <v>-75074.739999999991</v>
      </c>
      <c r="DZ25" s="408"/>
      <c r="EA25" s="408">
        <v>0</v>
      </c>
      <c r="EB25" s="408"/>
      <c r="EC25" s="408">
        <v>-74903.107112053549</v>
      </c>
      <c r="ED25" s="408"/>
      <c r="EE25" s="408">
        <v>0</v>
      </c>
      <c r="EF25" s="408">
        <v>0</v>
      </c>
      <c r="EG25" s="408"/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/>
      <c r="EN25" s="408"/>
      <c r="EO25" s="408">
        <v>0</v>
      </c>
      <c r="EP25" s="408">
        <v>0</v>
      </c>
      <c r="EQ25" s="408"/>
      <c r="ER25" s="408">
        <v>0</v>
      </c>
      <c r="ES25" s="408"/>
      <c r="ET25" s="408">
        <v>0</v>
      </c>
      <c r="EU25" s="408"/>
      <c r="EV25" s="408">
        <v>265</v>
      </c>
      <c r="EW25" s="408"/>
      <c r="EX25" s="408"/>
      <c r="EY25" s="408"/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26</v>
      </c>
      <c r="B26" s="408" t="s">
        <v>2230</v>
      </c>
      <c r="C26" s="408" t="s">
        <v>2235</v>
      </c>
      <c r="D26" s="408" t="s">
        <v>596</v>
      </c>
      <c r="E26" s="408" t="s">
        <v>993</v>
      </c>
      <c r="F26" s="408" t="s">
        <v>1317</v>
      </c>
      <c r="G26" s="408" t="s">
        <v>1317</v>
      </c>
      <c r="H26" s="408" t="s">
        <v>1317</v>
      </c>
      <c r="I26" s="408" t="s">
        <v>1317</v>
      </c>
      <c r="J26" s="408" t="s">
        <v>2228</v>
      </c>
      <c r="K26" s="828">
        <v>44378</v>
      </c>
      <c r="L26" s="408">
        <v>219</v>
      </c>
      <c r="M26" s="408">
        <v>219</v>
      </c>
      <c r="N26" s="408">
        <v>0</v>
      </c>
      <c r="O26" s="408">
        <v>0</v>
      </c>
      <c r="P26" s="408">
        <v>0</v>
      </c>
      <c r="Q26" s="408">
        <v>0</v>
      </c>
      <c r="R26" s="408">
        <v>74.44</v>
      </c>
      <c r="S26" s="408"/>
      <c r="T26" s="408"/>
      <c r="U26" s="408">
        <v>16302.359999999999</v>
      </c>
      <c r="V26" s="408"/>
      <c r="W26" s="408">
        <v>16302.359999999999</v>
      </c>
      <c r="X26" s="408">
        <v>9946.98</v>
      </c>
      <c r="Y26" s="408">
        <v>0</v>
      </c>
      <c r="Z26" s="408">
        <v>0</v>
      </c>
      <c r="AA26" s="408">
        <v>0</v>
      </c>
      <c r="AB26" s="408">
        <v>0</v>
      </c>
      <c r="AC26" s="408">
        <v>0</v>
      </c>
      <c r="AD26" s="408">
        <v>5960.543264168944</v>
      </c>
      <c r="AE26" s="408">
        <v>10341.516807585025</v>
      </c>
      <c r="AF26" s="408"/>
      <c r="AG26" s="408"/>
      <c r="AH26" s="408"/>
      <c r="AI26" s="408">
        <v>0</v>
      </c>
      <c r="AJ26" s="408">
        <v>0</v>
      </c>
      <c r="AK26" s="408">
        <v>0</v>
      </c>
      <c r="AL26" s="408">
        <v>0</v>
      </c>
      <c r="AM26" s="408"/>
      <c r="AN26" s="408">
        <v>0</v>
      </c>
      <c r="AO26" s="408">
        <v>0</v>
      </c>
      <c r="AP26" s="408">
        <v>0</v>
      </c>
      <c r="AQ26" s="408">
        <v>0</v>
      </c>
      <c r="AR26" s="408">
        <v>0</v>
      </c>
      <c r="AS26" s="408"/>
      <c r="AT26" s="408"/>
      <c r="AU26" s="408">
        <v>0</v>
      </c>
      <c r="AV26" s="408">
        <v>0</v>
      </c>
      <c r="AW26" s="408">
        <v>0</v>
      </c>
      <c r="AX26" s="408"/>
      <c r="AY26" s="408"/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/>
      <c r="BG26" s="408">
        <v>0</v>
      </c>
      <c r="BH26" s="408">
        <v>0</v>
      </c>
      <c r="BI26" s="408">
        <v>0</v>
      </c>
      <c r="BJ26" s="408">
        <v>0</v>
      </c>
      <c r="BK26" s="408">
        <v>7219.5</v>
      </c>
      <c r="BL26" s="408">
        <v>1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0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9946.98</v>
      </c>
      <c r="CJ26" s="408">
        <v>-6355.41</v>
      </c>
      <c r="CK26" s="408"/>
      <c r="CL26" s="408"/>
      <c r="CM26" s="408"/>
      <c r="CN26" s="408"/>
      <c r="CO26" s="408">
        <v>-6355.3799999999992</v>
      </c>
      <c r="CP26" s="408">
        <v>0</v>
      </c>
      <c r="CQ26" s="408">
        <v>31</v>
      </c>
      <c r="CR26" s="408">
        <v>-15.319121085888582</v>
      </c>
      <c r="CS26" s="408">
        <v>0</v>
      </c>
      <c r="CT26" s="408">
        <v>0</v>
      </c>
      <c r="CU26" s="408">
        <v>0</v>
      </c>
      <c r="CV26" s="408">
        <v>0</v>
      </c>
      <c r="CW26" s="408"/>
      <c r="CX26" s="408"/>
      <c r="CY26" s="408"/>
      <c r="CZ26" s="408">
        <v>-15.319121085888582</v>
      </c>
      <c r="DA26" s="408">
        <v>0</v>
      </c>
      <c r="DB26" s="408">
        <v>0</v>
      </c>
      <c r="DC26" s="408"/>
      <c r="DD26" s="408"/>
      <c r="DE26" s="408">
        <v>0</v>
      </c>
      <c r="DF26" s="408">
        <v>0</v>
      </c>
      <c r="DG26" s="408">
        <v>0</v>
      </c>
      <c r="DH26" s="408">
        <v>0</v>
      </c>
      <c r="DI26" s="408">
        <v>0</v>
      </c>
      <c r="DJ26" s="408"/>
      <c r="DK26" s="408">
        <v>0</v>
      </c>
      <c r="DL26" s="408">
        <v>0</v>
      </c>
      <c r="DM26" s="408"/>
      <c r="DN26" s="408">
        <v>0</v>
      </c>
      <c r="DO26" s="408">
        <v>0</v>
      </c>
      <c r="DP26" s="408">
        <v>0</v>
      </c>
      <c r="DQ26" s="408">
        <v>0</v>
      </c>
      <c r="DR26" s="408">
        <v>0</v>
      </c>
      <c r="DS26" s="408"/>
      <c r="DT26" s="408"/>
      <c r="DU26" s="408">
        <v>10341.516807585025</v>
      </c>
      <c r="DV26" s="408"/>
      <c r="DW26" s="408">
        <v>0</v>
      </c>
      <c r="DX26" s="408">
        <v>0</v>
      </c>
      <c r="DY26" s="408">
        <v>-6355.3799999999992</v>
      </c>
      <c r="DZ26" s="408"/>
      <c r="EA26" s="408">
        <v>0</v>
      </c>
      <c r="EB26" s="408"/>
      <c r="EC26" s="408">
        <v>-6340.8505827366553</v>
      </c>
      <c r="ED26" s="408"/>
      <c r="EE26" s="408">
        <v>0</v>
      </c>
      <c r="EF26" s="408">
        <v>0</v>
      </c>
      <c r="EG26" s="408"/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/>
      <c r="EN26" s="408"/>
      <c r="EO26" s="408">
        <v>0</v>
      </c>
      <c r="EP26" s="408">
        <v>0</v>
      </c>
      <c r="EQ26" s="408"/>
      <c r="ER26" s="408">
        <v>0</v>
      </c>
      <c r="ES26" s="408"/>
      <c r="ET26" s="408">
        <v>0</v>
      </c>
      <c r="EU26" s="408"/>
      <c r="EV26" s="408">
        <v>265</v>
      </c>
      <c r="EW26" s="408"/>
      <c r="EX26" s="408"/>
      <c r="EY26" s="408"/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28</v>
      </c>
      <c r="B27" s="408" t="s">
        <v>1031</v>
      </c>
      <c r="C27" s="408" t="s">
        <v>2227</v>
      </c>
      <c r="D27" s="408" t="s">
        <v>2237</v>
      </c>
      <c r="E27" s="408" t="s">
        <v>969</v>
      </c>
      <c r="F27" s="408" t="s">
        <v>1317</v>
      </c>
      <c r="G27" s="408" t="s">
        <v>1317</v>
      </c>
      <c r="H27" s="408" t="s">
        <v>1317</v>
      </c>
      <c r="I27" s="408" t="s">
        <v>1317</v>
      </c>
      <c r="J27" s="408" t="s">
        <v>2228</v>
      </c>
      <c r="K27" s="828">
        <v>44378</v>
      </c>
      <c r="L27" s="408">
        <v>0</v>
      </c>
      <c r="M27" s="408">
        <v>0</v>
      </c>
      <c r="N27" s="408">
        <v>2436.2240000000002</v>
      </c>
      <c r="O27" s="408">
        <v>2436.2240000000002</v>
      </c>
      <c r="P27" s="408">
        <v>2436.2240000000002</v>
      </c>
      <c r="Q27" s="408">
        <v>2436.2240000000002</v>
      </c>
      <c r="R27" s="408"/>
      <c r="S27" s="408">
        <v>739.04</v>
      </c>
      <c r="T27" s="408">
        <v>252.22</v>
      </c>
      <c r="U27" s="408"/>
      <c r="V27" s="408">
        <v>2414931.4022400002</v>
      </c>
      <c r="W27" s="408">
        <v>2414931.4022400002</v>
      </c>
      <c r="X27" s="408">
        <v>1651686.78528</v>
      </c>
      <c r="Y27" s="408">
        <v>0</v>
      </c>
      <c r="Z27" s="408">
        <v>150688.1446417009</v>
      </c>
      <c r="AA27" s="408">
        <v>0</v>
      </c>
      <c r="AB27" s="408">
        <v>0</v>
      </c>
      <c r="AC27" s="408">
        <v>0</v>
      </c>
      <c r="AD27" s="408">
        <v>300867.77052134922</v>
      </c>
      <c r="AE27" s="408">
        <v>1235135.7731108887</v>
      </c>
      <c r="AF27" s="408">
        <v>614471.15947378706</v>
      </c>
      <c r="AG27" s="408">
        <v>0</v>
      </c>
      <c r="AH27" s="408">
        <v>0</v>
      </c>
      <c r="AI27" s="408">
        <v>0</v>
      </c>
      <c r="AJ27" s="408">
        <v>0</v>
      </c>
      <c r="AK27" s="408">
        <v>0</v>
      </c>
      <c r="AL27" s="408">
        <v>23292.80876275944</v>
      </c>
      <c r="AM27" s="408"/>
      <c r="AN27" s="408">
        <v>5708.8001403229064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>
        <v>0</v>
      </c>
      <c r="BG27" s="408">
        <v>84766.581945923535</v>
      </c>
      <c r="BH27" s="408">
        <v>0</v>
      </c>
      <c r="BI27" s="408">
        <v>0</v>
      </c>
      <c r="BJ27" s="408">
        <v>0</v>
      </c>
      <c r="BK27" s="408">
        <v>97239.44</v>
      </c>
      <c r="BL27" s="408">
        <v>12117</v>
      </c>
      <c r="BM27" s="408"/>
      <c r="BN27" s="408"/>
      <c r="BO27" s="408"/>
      <c r="BP27" s="408"/>
      <c r="BQ27" s="408"/>
      <c r="BR27" s="408">
        <v>198186.82239999995</v>
      </c>
      <c r="BS27" s="408"/>
      <c r="BT27" s="408"/>
      <c r="BU27" s="408"/>
      <c r="BV27" s="408">
        <v>699237.74141971057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1453497.5763999999</v>
      </c>
      <c r="CJ27" s="408">
        <v>-671645.01104000001</v>
      </c>
      <c r="CK27" s="408"/>
      <c r="CL27" s="408"/>
      <c r="CM27" s="408"/>
      <c r="CN27" s="408"/>
      <c r="CO27" s="408">
        <v>-763244.61696000001</v>
      </c>
      <c r="CP27" s="408">
        <v>0</v>
      </c>
      <c r="CQ27" s="408">
        <v>31</v>
      </c>
      <c r="CR27" s="408">
        <v>-5925.3765336156357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-773.25666523724794</v>
      </c>
      <c r="DA27" s="408">
        <v>0</v>
      </c>
      <c r="DB27" s="408">
        <v>0</v>
      </c>
      <c r="DC27" s="408">
        <v>-8.6145009845495224E-5</v>
      </c>
      <c r="DD27" s="408">
        <v>0</v>
      </c>
      <c r="DE27" s="408">
        <v>0</v>
      </c>
      <c r="DF27" s="408">
        <v>0</v>
      </c>
      <c r="DG27" s="408">
        <v>-1.1883661500178277E-5</v>
      </c>
      <c r="DH27" s="408">
        <v>0</v>
      </c>
      <c r="DI27" s="408">
        <v>-4381.5725985841418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-585.16459938308617</v>
      </c>
      <c r="DP27" s="408">
        <v>-185.38257238279857</v>
      </c>
      <c r="DQ27" s="408">
        <v>0</v>
      </c>
      <c r="DR27" s="408">
        <v>0</v>
      </c>
      <c r="DS27" s="408"/>
      <c r="DT27" s="408"/>
      <c r="DU27" s="408"/>
      <c r="DV27" s="408">
        <v>1235135.7731108887</v>
      </c>
      <c r="DW27" s="408">
        <v>0</v>
      </c>
      <c r="DX27" s="408">
        <v>0</v>
      </c>
      <c r="DY27" s="408">
        <v>-763244.61696000001</v>
      </c>
      <c r="DZ27" s="408">
        <v>0</v>
      </c>
      <c r="EA27" s="408">
        <v>0</v>
      </c>
      <c r="EB27" s="408">
        <v>0</v>
      </c>
      <c r="EC27" s="408">
        <v>-757317.47406190797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265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29</v>
      </c>
      <c r="B28" s="408" t="s">
        <v>2229</v>
      </c>
      <c r="C28" s="408" t="s">
        <v>2227</v>
      </c>
      <c r="D28" s="408" t="s">
        <v>2237</v>
      </c>
      <c r="E28" s="408" t="s">
        <v>969</v>
      </c>
      <c r="F28" s="408" t="s">
        <v>1317</v>
      </c>
      <c r="G28" s="408" t="s">
        <v>1317</v>
      </c>
      <c r="H28" s="408" t="s">
        <v>1317</v>
      </c>
      <c r="I28" s="408" t="s">
        <v>1317</v>
      </c>
      <c r="J28" s="408" t="s">
        <v>2228</v>
      </c>
      <c r="K28" s="828">
        <v>44378</v>
      </c>
      <c r="L28" s="408">
        <v>0</v>
      </c>
      <c r="M28" s="408">
        <v>0</v>
      </c>
      <c r="N28" s="408">
        <v>-8.2919999999999998</v>
      </c>
      <c r="O28" s="408">
        <v>-8.2919999999999998</v>
      </c>
      <c r="P28" s="408">
        <v>-8.2919999999999998</v>
      </c>
      <c r="Q28" s="408">
        <v>-8.2919999999999998</v>
      </c>
      <c r="R28" s="408"/>
      <c r="S28" s="408">
        <v>739.04</v>
      </c>
      <c r="T28" s="408">
        <v>252.22</v>
      </c>
      <c r="U28" s="408"/>
      <c r="V28" s="408">
        <v>-8219.5279200000004</v>
      </c>
      <c r="W28" s="408">
        <v>-8219.5279200000004</v>
      </c>
      <c r="X28" s="408">
        <v>-5621.7272400000002</v>
      </c>
      <c r="Y28" s="408">
        <v>0</v>
      </c>
      <c r="Z28" s="408">
        <v>-512.88637472128335</v>
      </c>
      <c r="AA28" s="408">
        <v>0</v>
      </c>
      <c r="AB28" s="408">
        <v>0</v>
      </c>
      <c r="AC28" s="408">
        <v>0</v>
      </c>
      <c r="AD28" s="408">
        <v>-1024.0419407915806</v>
      </c>
      <c r="AE28" s="408">
        <v>-4203.9425892838626</v>
      </c>
      <c r="AF28" s="408">
        <v>-2091.431187918944</v>
      </c>
      <c r="AG28" s="408">
        <v>0</v>
      </c>
      <c r="AH28" s="408">
        <v>0</v>
      </c>
      <c r="AI28" s="408">
        <v>0</v>
      </c>
      <c r="AJ28" s="408">
        <v>0</v>
      </c>
      <c r="AK28" s="408">
        <v>0</v>
      </c>
      <c r="AL28" s="408">
        <v>-79.28005399372195</v>
      </c>
      <c r="AM28" s="408"/>
      <c r="AN28" s="408">
        <v>-19.430631486906595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-288.51390409732352</v>
      </c>
      <c r="BH28" s="408">
        <v>0</v>
      </c>
      <c r="BI28" s="408">
        <v>0</v>
      </c>
      <c r="BJ28" s="408">
        <v>0</v>
      </c>
      <c r="BK28" s="408">
        <v>-5.58</v>
      </c>
      <c r="BL28" s="408">
        <v>0</v>
      </c>
      <c r="BM28" s="408"/>
      <c r="BN28" s="408"/>
      <c r="BO28" s="408"/>
      <c r="BP28" s="408"/>
      <c r="BQ28" s="408"/>
      <c r="BR28" s="408">
        <v>-674.5541999999997</v>
      </c>
      <c r="BS28" s="408"/>
      <c r="BT28" s="408"/>
      <c r="BU28" s="408"/>
      <c r="BV28" s="408">
        <v>-2379.9450920162676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-4945.9798000000001</v>
      </c>
      <c r="CJ28" s="408">
        <v>2287.1847199999993</v>
      </c>
      <c r="CK28" s="408"/>
      <c r="CL28" s="408"/>
      <c r="CM28" s="408"/>
      <c r="CN28" s="408"/>
      <c r="CO28" s="408">
        <v>2597.8006799999998</v>
      </c>
      <c r="CP28" s="408">
        <v>0</v>
      </c>
      <c r="CQ28" s="408">
        <v>31</v>
      </c>
      <c r="CR28" s="408">
        <v>20.167776943639637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2.6318779669470587</v>
      </c>
      <c r="DA28" s="408">
        <v>0</v>
      </c>
      <c r="DB28" s="408">
        <v>0</v>
      </c>
      <c r="DC28" s="408">
        <v>2.9320517569431104E-7</v>
      </c>
      <c r="DD28" s="408">
        <v>0</v>
      </c>
      <c r="DE28" s="408">
        <v>0</v>
      </c>
      <c r="DF28" s="408">
        <v>0</v>
      </c>
      <c r="DG28" s="408">
        <v>4.0447559968015412E-8</v>
      </c>
      <c r="DH28" s="408">
        <v>0</v>
      </c>
      <c r="DI28" s="408">
        <v>14.913242783693022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1.9916825620651366</v>
      </c>
      <c r="DP28" s="408">
        <v>0.63097329728225304</v>
      </c>
      <c r="DQ28" s="408">
        <v>0</v>
      </c>
      <c r="DR28" s="408">
        <v>0</v>
      </c>
      <c r="DS28" s="408"/>
      <c r="DT28" s="408"/>
      <c r="DU28" s="408"/>
      <c r="DV28" s="408">
        <v>-4203.9425892838626</v>
      </c>
      <c r="DW28" s="408">
        <v>0</v>
      </c>
      <c r="DX28" s="408">
        <v>0</v>
      </c>
      <c r="DY28" s="408">
        <v>2597.8006799999998</v>
      </c>
      <c r="DZ28" s="408">
        <v>0</v>
      </c>
      <c r="EA28" s="408">
        <v>0</v>
      </c>
      <c r="EB28" s="408">
        <v>0</v>
      </c>
      <c r="EC28" s="408">
        <v>2577.6268910089307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265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30</v>
      </c>
      <c r="B29" s="408" t="s">
        <v>2230</v>
      </c>
      <c r="C29" s="408" t="s">
        <v>2227</v>
      </c>
      <c r="D29" s="408" t="s">
        <v>2237</v>
      </c>
      <c r="E29" s="408" t="s">
        <v>969</v>
      </c>
      <c r="F29" s="408" t="s">
        <v>1317</v>
      </c>
      <c r="G29" s="408" t="s">
        <v>1317</v>
      </c>
      <c r="H29" s="408" t="s">
        <v>1317</v>
      </c>
      <c r="I29" s="408" t="s">
        <v>1317</v>
      </c>
      <c r="J29" s="408" t="s">
        <v>2228</v>
      </c>
      <c r="K29" s="828">
        <v>44378</v>
      </c>
      <c r="L29" s="408">
        <v>0</v>
      </c>
      <c r="M29" s="408">
        <v>0</v>
      </c>
      <c r="N29" s="408">
        <v>119.592</v>
      </c>
      <c r="O29" s="408">
        <v>119.592</v>
      </c>
      <c r="P29" s="408">
        <v>119.592</v>
      </c>
      <c r="Q29" s="408">
        <v>119.592</v>
      </c>
      <c r="R29" s="408"/>
      <c r="S29" s="408">
        <v>739.04</v>
      </c>
      <c r="T29" s="408">
        <v>252.22</v>
      </c>
      <c r="U29" s="408"/>
      <c r="V29" s="408">
        <v>118546.76591999999</v>
      </c>
      <c r="W29" s="408">
        <v>118546.76591999999</v>
      </c>
      <c r="X29" s="408">
        <v>81079.788239999994</v>
      </c>
      <c r="Y29" s="408">
        <v>0</v>
      </c>
      <c r="Z29" s="408">
        <v>7397.142706906382</v>
      </c>
      <c r="AA29" s="408">
        <v>0</v>
      </c>
      <c r="AB29" s="408">
        <v>0</v>
      </c>
      <c r="AC29" s="408">
        <v>0</v>
      </c>
      <c r="AD29" s="408">
        <v>14769.322694542536</v>
      </c>
      <c r="AE29" s="408">
        <v>60631.681396241642</v>
      </c>
      <c r="AF29" s="408">
        <v>30163.825208104481</v>
      </c>
      <c r="AG29" s="408">
        <v>0</v>
      </c>
      <c r="AH29" s="408">
        <v>0</v>
      </c>
      <c r="AI29" s="408">
        <v>0</v>
      </c>
      <c r="AJ29" s="408">
        <v>0</v>
      </c>
      <c r="AK29" s="408">
        <v>0</v>
      </c>
      <c r="AL29" s="408">
        <v>1143.4226021728407</v>
      </c>
      <c r="AM29" s="408"/>
      <c r="AN29" s="408">
        <v>280.23975889799004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4161.1137022198645</v>
      </c>
      <c r="BH29" s="408">
        <v>0</v>
      </c>
      <c r="BI29" s="408">
        <v>0</v>
      </c>
      <c r="BJ29" s="408">
        <v>0</v>
      </c>
      <c r="BK29" s="408">
        <v>6033.25</v>
      </c>
      <c r="BL29" s="408">
        <v>747</v>
      </c>
      <c r="BM29" s="408"/>
      <c r="BN29" s="408"/>
      <c r="BO29" s="408"/>
      <c r="BP29" s="408"/>
      <c r="BQ29" s="408"/>
      <c r="BR29" s="408">
        <v>9728.8091999999961</v>
      </c>
      <c r="BS29" s="408"/>
      <c r="BT29" s="408"/>
      <c r="BU29" s="408"/>
      <c r="BV29" s="408">
        <v>34324.938910324345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71349.785800000012</v>
      </c>
      <c r="CJ29" s="408">
        <v>-32971.541719999979</v>
      </c>
      <c r="CK29" s="408"/>
      <c r="CL29" s="408"/>
      <c r="CM29" s="408"/>
      <c r="CN29" s="408"/>
      <c r="CO29" s="408">
        <v>-37466.977679999996</v>
      </c>
      <c r="CP29" s="408">
        <v>0</v>
      </c>
      <c r="CQ29" s="408">
        <v>31</v>
      </c>
      <c r="CR29" s="408">
        <v>-290.87129525372438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-37.958459940078683</v>
      </c>
      <c r="DA29" s="408">
        <v>0</v>
      </c>
      <c r="DB29" s="408">
        <v>0</v>
      </c>
      <c r="DC29" s="408">
        <v>-4.2287756514269859E-6</v>
      </c>
      <c r="DD29" s="408">
        <v>0</v>
      </c>
      <c r="DE29" s="408">
        <v>0</v>
      </c>
      <c r="DF29" s="408">
        <v>0</v>
      </c>
      <c r="DG29" s="408">
        <v>-5.8335808716947213E-7</v>
      </c>
      <c r="DH29" s="408">
        <v>0</v>
      </c>
      <c r="DI29" s="408">
        <v>-215.08737710895002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-28.725193073142009</v>
      </c>
      <c r="DP29" s="408">
        <v>-9.1002603194137919</v>
      </c>
      <c r="DQ29" s="408">
        <v>0</v>
      </c>
      <c r="DR29" s="408">
        <v>0</v>
      </c>
      <c r="DS29" s="408"/>
      <c r="DT29" s="408"/>
      <c r="DU29" s="408"/>
      <c r="DV29" s="408">
        <v>60631.681396241642</v>
      </c>
      <c r="DW29" s="408">
        <v>0</v>
      </c>
      <c r="DX29" s="408">
        <v>0</v>
      </c>
      <c r="DY29" s="408">
        <v>-37466.977679999989</v>
      </c>
      <c r="DZ29" s="408">
        <v>0</v>
      </c>
      <c r="EA29" s="408">
        <v>0</v>
      </c>
      <c r="EB29" s="408">
        <v>0</v>
      </c>
      <c r="EC29" s="408">
        <v>-37176.019675535455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265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31</v>
      </c>
      <c r="B30" s="408" t="s">
        <v>1031</v>
      </c>
      <c r="C30" s="408" t="s">
        <v>2235</v>
      </c>
      <c r="D30" s="408" t="s">
        <v>596</v>
      </c>
      <c r="E30" s="408" t="s">
        <v>969</v>
      </c>
      <c r="F30" s="408" t="s">
        <v>1317</v>
      </c>
      <c r="G30" s="408" t="s">
        <v>1317</v>
      </c>
      <c r="H30" s="408" t="s">
        <v>1317</v>
      </c>
      <c r="I30" s="408" t="s">
        <v>968</v>
      </c>
      <c r="J30" s="408" t="s">
        <v>2228</v>
      </c>
      <c r="K30" s="828">
        <v>44378</v>
      </c>
      <c r="L30" s="408">
        <v>0</v>
      </c>
      <c r="M30" s="408">
        <v>0</v>
      </c>
      <c r="N30" s="408">
        <v>2.3250000000000002</v>
      </c>
      <c r="O30" s="408">
        <v>2.2320000000000002</v>
      </c>
      <c r="P30" s="408">
        <v>2.3250000000000002</v>
      </c>
      <c r="Q30" s="408">
        <v>2.2320000000000002</v>
      </c>
      <c r="R30" s="408"/>
      <c r="S30" s="408">
        <v>2641.06</v>
      </c>
      <c r="T30" s="408">
        <v>252.22</v>
      </c>
      <c r="U30" s="408"/>
      <c r="V30" s="408">
        <v>6726.8760000000002</v>
      </c>
      <c r="W30" s="408">
        <v>6726.8760000000002</v>
      </c>
      <c r="X30" s="408">
        <v>3992.8155000000002</v>
      </c>
      <c r="Y30" s="408">
        <v>0</v>
      </c>
      <c r="Z30" s="408">
        <v>125.11347255999469</v>
      </c>
      <c r="AA30" s="408">
        <v>0</v>
      </c>
      <c r="AB30" s="408">
        <v>0</v>
      </c>
      <c r="AC30" s="408">
        <v>0</v>
      </c>
      <c r="AD30" s="408">
        <v>1506.0582530037261</v>
      </c>
      <c r="AE30" s="408">
        <v>4445.610042128058</v>
      </c>
      <c r="AF30" s="408">
        <v>586.41793438392972</v>
      </c>
      <c r="AG30" s="408">
        <v>0</v>
      </c>
      <c r="AH30" s="408">
        <v>0</v>
      </c>
      <c r="AI30" s="408">
        <v>0</v>
      </c>
      <c r="AJ30" s="408">
        <v>0</v>
      </c>
      <c r="AK30" s="408">
        <v>0</v>
      </c>
      <c r="AL30" s="408">
        <v>22.229392852798306</v>
      </c>
      <c r="AM30" s="408"/>
      <c r="AN30" s="408">
        <v>5.5937317700105593</v>
      </c>
      <c r="AO30" s="408">
        <v>0</v>
      </c>
      <c r="AP30" s="408">
        <v>0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35.858105958416495</v>
      </c>
      <c r="BH30" s="408">
        <v>0</v>
      </c>
      <c r="BI30" s="408">
        <v>0</v>
      </c>
      <c r="BJ30" s="408">
        <v>0</v>
      </c>
      <c r="BK30" s="408">
        <v>0</v>
      </c>
      <c r="BL30" s="408">
        <v>0</v>
      </c>
      <c r="BM30" s="408"/>
      <c r="BN30" s="408"/>
      <c r="BO30" s="408"/>
      <c r="BP30" s="408"/>
      <c r="BQ30" s="408"/>
      <c r="BR30" s="408">
        <v>159.71261999999993</v>
      </c>
      <c r="BS30" s="408"/>
      <c r="BT30" s="408"/>
      <c r="BU30" s="408"/>
      <c r="BV30" s="408">
        <v>622.27604034234616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3829.6682000000001</v>
      </c>
      <c r="CJ30" s="408">
        <v>-2628.1627600000011</v>
      </c>
      <c r="CK30" s="408"/>
      <c r="CL30" s="408"/>
      <c r="CM30" s="408"/>
      <c r="CN30" s="408"/>
      <c r="CO30" s="408">
        <v>-2734.0605000000005</v>
      </c>
      <c r="CP30" s="408">
        <v>0</v>
      </c>
      <c r="CQ30" s="408">
        <v>31</v>
      </c>
      <c r="CR30" s="408">
        <v>-8.248733291768076</v>
      </c>
      <c r="CS30" s="408">
        <v>0</v>
      </c>
      <c r="CT30" s="408">
        <v>0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-3.870702336624845</v>
      </c>
      <c r="DA30" s="408">
        <v>0</v>
      </c>
      <c r="DB30" s="408">
        <v>0</v>
      </c>
      <c r="DC30" s="408">
        <v>-8.2212068264198024E-8</v>
      </c>
      <c r="DD30" s="408">
        <v>0</v>
      </c>
      <c r="DE30" s="408">
        <v>0</v>
      </c>
      <c r="DF30" s="408">
        <v>0</v>
      </c>
      <c r="DG30" s="408">
        <v>-5.0271182772121392E-9</v>
      </c>
      <c r="DH30" s="408">
        <v>0</v>
      </c>
      <c r="DI30" s="408">
        <v>-3.6379355813694048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-0.55844934356023046</v>
      </c>
      <c r="DP30" s="408">
        <v>-0.18164594297487113</v>
      </c>
      <c r="DQ30" s="408">
        <v>0</v>
      </c>
      <c r="DR30" s="408">
        <v>0</v>
      </c>
      <c r="DS30" s="408"/>
      <c r="DT30" s="408"/>
      <c r="DU30" s="408"/>
      <c r="DV30" s="408">
        <v>4445.610042128058</v>
      </c>
      <c r="DW30" s="408">
        <v>0</v>
      </c>
      <c r="DX30" s="408">
        <v>0</v>
      </c>
      <c r="DY30" s="408">
        <v>-2734.0605</v>
      </c>
      <c r="DZ30" s="408">
        <v>0</v>
      </c>
      <c r="EA30" s="408">
        <v>0</v>
      </c>
      <c r="EB30" s="408">
        <v>0</v>
      </c>
      <c r="EC30" s="408">
        <v>-2725.8041108217594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265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32</v>
      </c>
      <c r="B31" s="408" t="s">
        <v>2230</v>
      </c>
      <c r="C31" s="408" t="s">
        <v>2235</v>
      </c>
      <c r="D31" s="408" t="s">
        <v>596</v>
      </c>
      <c r="E31" s="408" t="s">
        <v>969</v>
      </c>
      <c r="F31" s="408" t="s">
        <v>1317</v>
      </c>
      <c r="G31" s="408" t="s">
        <v>1317</v>
      </c>
      <c r="H31" s="408" t="s">
        <v>1317</v>
      </c>
      <c r="I31" s="408" t="s">
        <v>968</v>
      </c>
      <c r="J31" s="408" t="s">
        <v>2228</v>
      </c>
      <c r="K31" s="828">
        <v>44378</v>
      </c>
      <c r="L31" s="408">
        <v>0</v>
      </c>
      <c r="M31" s="408">
        <v>0</v>
      </c>
      <c r="N31" s="408">
        <v>-11.004</v>
      </c>
      <c r="O31" s="408">
        <v>-10.563839999999999</v>
      </c>
      <c r="P31" s="408">
        <v>-11.004</v>
      </c>
      <c r="Q31" s="408">
        <v>-10.563839999999999</v>
      </c>
      <c r="R31" s="408"/>
      <c r="S31" s="408">
        <v>2641.06</v>
      </c>
      <c r="T31" s="408">
        <v>252.22</v>
      </c>
      <c r="U31" s="408"/>
      <c r="V31" s="408">
        <v>-31837.653119999999</v>
      </c>
      <c r="W31" s="408">
        <v>-31837.653119999999</v>
      </c>
      <c r="X31" s="408">
        <v>-18897.609359999999</v>
      </c>
      <c r="Y31" s="408">
        <v>0</v>
      </c>
      <c r="Z31" s="408">
        <v>-592.14995787104579</v>
      </c>
      <c r="AA31" s="408">
        <v>0</v>
      </c>
      <c r="AB31" s="408">
        <v>0</v>
      </c>
      <c r="AC31" s="408">
        <v>0</v>
      </c>
      <c r="AD31" s="408">
        <v>-7128.0279638937636</v>
      </c>
      <c r="AE31" s="408">
        <v>-21040.64210906544</v>
      </c>
      <c r="AF31" s="408">
        <v>-2775.4593333164567</v>
      </c>
      <c r="AG31" s="408">
        <v>0</v>
      </c>
      <c r="AH31" s="408">
        <v>0</v>
      </c>
      <c r="AI31" s="408">
        <v>0</v>
      </c>
      <c r="AJ31" s="408">
        <v>0</v>
      </c>
      <c r="AK31" s="408">
        <v>0</v>
      </c>
      <c r="AL31" s="408">
        <v>-105.20956514072797</v>
      </c>
      <c r="AM31" s="408"/>
      <c r="AN31" s="408">
        <v>-26.474591138579004</v>
      </c>
      <c r="AO31" s="408">
        <v>0</v>
      </c>
      <c r="AP31" s="408">
        <v>0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-169.71294536189893</v>
      </c>
      <c r="BH31" s="408">
        <v>0</v>
      </c>
      <c r="BI31" s="408">
        <v>0</v>
      </c>
      <c r="BJ31" s="408">
        <v>0</v>
      </c>
      <c r="BK31" s="408">
        <v>0</v>
      </c>
      <c r="BL31" s="408">
        <v>0</v>
      </c>
      <c r="BM31" s="408"/>
      <c r="BN31" s="408"/>
      <c r="BO31" s="408"/>
      <c r="BP31" s="408"/>
      <c r="BQ31" s="408"/>
      <c r="BR31" s="408">
        <v>-755.90437440000096</v>
      </c>
      <c r="BS31" s="408"/>
      <c r="BT31" s="408"/>
      <c r="BU31" s="408"/>
      <c r="BV31" s="408">
        <v>-2945.1722786783557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-18135.110400000001</v>
      </c>
      <c r="CJ31" s="408">
        <v>12429.0065952</v>
      </c>
      <c r="CK31" s="408"/>
      <c r="CL31" s="408"/>
      <c r="CM31" s="408"/>
      <c r="CN31" s="408"/>
      <c r="CO31" s="408">
        <v>12940.04376</v>
      </c>
      <c r="CP31" s="408">
        <v>0</v>
      </c>
      <c r="CQ31" s="408">
        <v>31</v>
      </c>
      <c r="CR31" s="408">
        <v>39.040456405427904</v>
      </c>
      <c r="CS31" s="408">
        <v>0</v>
      </c>
      <c r="CT31" s="408">
        <v>0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18.319659575147853</v>
      </c>
      <c r="DA31" s="408">
        <v>0</v>
      </c>
      <c r="DB31" s="408">
        <v>0</v>
      </c>
      <c r="DC31" s="408">
        <v>3.8910138755454682E-7</v>
      </c>
      <c r="DD31" s="408">
        <v>0</v>
      </c>
      <c r="DE31" s="408">
        <v>0</v>
      </c>
      <c r="DF31" s="408">
        <v>0</v>
      </c>
      <c r="DG31" s="408">
        <v>2.3792836145730689E-8</v>
      </c>
      <c r="DH31" s="408">
        <v>0</v>
      </c>
      <c r="DI31" s="408">
        <v>17.217997048339271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2.643086699585723</v>
      </c>
      <c r="DP31" s="408">
        <v>0.85971266946042135</v>
      </c>
      <c r="DQ31" s="408">
        <v>0</v>
      </c>
      <c r="DR31" s="408">
        <v>0</v>
      </c>
      <c r="DS31" s="408"/>
      <c r="DT31" s="408"/>
      <c r="DU31" s="408"/>
      <c r="DV31" s="408">
        <v>-21040.64210906544</v>
      </c>
      <c r="DW31" s="408">
        <v>0</v>
      </c>
      <c r="DX31" s="408">
        <v>0</v>
      </c>
      <c r="DY31" s="408">
        <v>12940.043760000002</v>
      </c>
      <c r="DZ31" s="408">
        <v>0</v>
      </c>
      <c r="EA31" s="408">
        <v>0</v>
      </c>
      <c r="EB31" s="408">
        <v>0</v>
      </c>
      <c r="EC31" s="408">
        <v>12900.967069024791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265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33</v>
      </c>
      <c r="B32" s="408" t="s">
        <v>1031</v>
      </c>
      <c r="C32" s="408" t="s">
        <v>2235</v>
      </c>
      <c r="D32" s="408" t="s">
        <v>596</v>
      </c>
      <c r="E32" s="408" t="s">
        <v>969</v>
      </c>
      <c r="F32" s="408" t="s">
        <v>1317</v>
      </c>
      <c r="G32" s="408" t="s">
        <v>1317</v>
      </c>
      <c r="H32" s="408" t="s">
        <v>1317</v>
      </c>
      <c r="I32" s="408" t="s">
        <v>2236</v>
      </c>
      <c r="J32" s="408" t="s">
        <v>2228</v>
      </c>
      <c r="K32" s="828">
        <v>44378</v>
      </c>
      <c r="L32" s="408">
        <v>0</v>
      </c>
      <c r="M32" s="408">
        <v>0</v>
      </c>
      <c r="N32" s="408">
        <v>26.263000000000002</v>
      </c>
      <c r="O32" s="408">
        <v>25.212479999999999</v>
      </c>
      <c r="P32" s="408">
        <v>26.263000000000002</v>
      </c>
      <c r="Q32" s="408">
        <v>25.212479999999999</v>
      </c>
      <c r="R32" s="408"/>
      <c r="S32" s="408">
        <v>81.2</v>
      </c>
      <c r="T32" s="408">
        <v>252.22</v>
      </c>
      <c r="U32" s="408"/>
      <c r="V32" s="408">
        <v>8756.6094599999997</v>
      </c>
      <c r="W32" s="408">
        <v>8756.6094599999997</v>
      </c>
      <c r="X32" s="408">
        <v>8707.2350200000001</v>
      </c>
      <c r="Y32" s="408">
        <v>0</v>
      </c>
      <c r="Z32" s="408">
        <v>1413.2710235884474</v>
      </c>
      <c r="AA32" s="408">
        <v>0</v>
      </c>
      <c r="AB32" s="408">
        <v>0</v>
      </c>
      <c r="AC32" s="408">
        <v>0</v>
      </c>
      <c r="AD32" s="408">
        <v>0</v>
      </c>
      <c r="AE32" s="408">
        <v>0</v>
      </c>
      <c r="AF32" s="408">
        <v>6624.1265422473753</v>
      </c>
      <c r="AG32" s="408">
        <v>0</v>
      </c>
      <c r="AH32" s="408">
        <v>0</v>
      </c>
      <c r="AI32" s="408">
        <v>0</v>
      </c>
      <c r="AJ32" s="408">
        <v>0</v>
      </c>
      <c r="AK32" s="408">
        <v>0</v>
      </c>
      <c r="AL32" s="408">
        <v>251.10130945937286</v>
      </c>
      <c r="AM32" s="408"/>
      <c r="AN32" s="408">
        <v>63.186312892811742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405.05008033801823</v>
      </c>
      <c r="BH32" s="408">
        <v>0</v>
      </c>
      <c r="BI32" s="408">
        <v>0</v>
      </c>
      <c r="BJ32" s="408">
        <v>0</v>
      </c>
      <c r="BK32" s="408">
        <v>0</v>
      </c>
      <c r="BL32" s="408">
        <v>0</v>
      </c>
      <c r="BM32" s="408"/>
      <c r="BN32" s="408"/>
      <c r="BO32" s="408"/>
      <c r="BP32" s="408"/>
      <c r="BQ32" s="408"/>
      <c r="BR32" s="408">
        <v>348.28940080000075</v>
      </c>
      <c r="BS32" s="408"/>
      <c r="BT32" s="408"/>
      <c r="BU32" s="408"/>
      <c r="BV32" s="408">
        <v>7029.1766225853935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8358.1234000000004</v>
      </c>
      <c r="CJ32" s="408">
        <v>-48.251681600000666</v>
      </c>
      <c r="CK32" s="408"/>
      <c r="CL32" s="408"/>
      <c r="CM32" s="408"/>
      <c r="CN32" s="408"/>
      <c r="CO32" s="408">
        <v>-49.374440000000256</v>
      </c>
      <c r="CP32" s="408">
        <v>0</v>
      </c>
      <c r="CQ32" s="408">
        <v>31</v>
      </c>
      <c r="CR32" s="408">
        <v>-49.453861064490411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0</v>
      </c>
      <c r="DA32" s="408">
        <v>0</v>
      </c>
      <c r="DB32" s="408">
        <v>0</v>
      </c>
      <c r="DC32" s="408">
        <v>-9.2866048362338915E-7</v>
      </c>
      <c r="DD32" s="408">
        <v>0</v>
      </c>
      <c r="DE32" s="408">
        <v>0</v>
      </c>
      <c r="DF32" s="408">
        <v>0</v>
      </c>
      <c r="DG32" s="408">
        <v>-5.6785893320920877E-8</v>
      </c>
      <c r="DH32" s="408">
        <v>0</v>
      </c>
      <c r="DI32" s="408">
        <v>-41.093807386453364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-6.3081957462031539</v>
      </c>
      <c r="DP32" s="408">
        <v>-2.0518569463866783</v>
      </c>
      <c r="DQ32" s="408">
        <v>0</v>
      </c>
      <c r="DR32" s="408">
        <v>0</v>
      </c>
      <c r="DS32" s="408"/>
      <c r="DT32" s="408"/>
      <c r="DU32" s="408"/>
      <c r="DV32" s="408">
        <v>0</v>
      </c>
      <c r="DW32" s="408">
        <v>0</v>
      </c>
      <c r="DX32" s="408">
        <v>0</v>
      </c>
      <c r="DY32" s="408">
        <v>-49.37444000000005</v>
      </c>
      <c r="DZ32" s="408">
        <v>0</v>
      </c>
      <c r="EA32" s="408">
        <v>0</v>
      </c>
      <c r="EB32" s="408">
        <v>0</v>
      </c>
      <c r="EC32" s="408">
        <v>0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265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34</v>
      </c>
      <c r="B33" s="408" t="s">
        <v>2230</v>
      </c>
      <c r="C33" s="408" t="s">
        <v>2235</v>
      </c>
      <c r="D33" s="408" t="s">
        <v>596</v>
      </c>
      <c r="E33" s="408" t="s">
        <v>969</v>
      </c>
      <c r="F33" s="408" t="s">
        <v>1317</v>
      </c>
      <c r="G33" s="408" t="s">
        <v>1317</v>
      </c>
      <c r="H33" s="408" t="s">
        <v>1317</v>
      </c>
      <c r="I33" s="408" t="s">
        <v>2236</v>
      </c>
      <c r="J33" s="408" t="s">
        <v>2228</v>
      </c>
      <c r="K33" s="828">
        <v>44378</v>
      </c>
      <c r="L33" s="408">
        <v>0</v>
      </c>
      <c r="M33" s="408">
        <v>0</v>
      </c>
      <c r="N33" s="408">
        <v>-48.38</v>
      </c>
      <c r="O33" s="408">
        <v>-46.444800000000001</v>
      </c>
      <c r="P33" s="408">
        <v>-48.38</v>
      </c>
      <c r="Q33" s="408">
        <v>-46.444800000000001</v>
      </c>
      <c r="R33" s="408"/>
      <c r="S33" s="408">
        <v>81.2</v>
      </c>
      <c r="T33" s="408">
        <v>252.22</v>
      </c>
      <c r="U33" s="408"/>
      <c r="V33" s="408">
        <v>-16130.859600000002</v>
      </c>
      <c r="W33" s="408">
        <v>-16130.859600000002</v>
      </c>
      <c r="X33" s="408">
        <v>-16039.905200000001</v>
      </c>
      <c r="Y33" s="408">
        <v>0</v>
      </c>
      <c r="Z33" s="408">
        <v>-2603.4364741731365</v>
      </c>
      <c r="AA33" s="408">
        <v>0</v>
      </c>
      <c r="AB33" s="408">
        <v>0</v>
      </c>
      <c r="AC33" s="408">
        <v>0</v>
      </c>
      <c r="AD33" s="408">
        <v>0</v>
      </c>
      <c r="AE33" s="408">
        <v>0</v>
      </c>
      <c r="AF33" s="408">
        <v>-12202.537490535278</v>
      </c>
      <c r="AG33" s="408">
        <v>0</v>
      </c>
      <c r="AH33" s="408">
        <v>0</v>
      </c>
      <c r="AI33" s="408">
        <v>0</v>
      </c>
      <c r="AJ33" s="408">
        <v>0</v>
      </c>
      <c r="AK33" s="408">
        <v>0</v>
      </c>
      <c r="AL33" s="408">
        <v>-462.56259192188475</v>
      </c>
      <c r="AM33" s="408"/>
      <c r="AN33" s="408">
        <v>-116.3977389389724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-746.15706076051174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>
        <v>-641.59620800000062</v>
      </c>
      <c r="BS33" s="408"/>
      <c r="BT33" s="408"/>
      <c r="BU33" s="408"/>
      <c r="BV33" s="408">
        <v>-12948.69455129579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-15396.7176</v>
      </c>
      <c r="CJ33" s="408">
        <v>88.877615999999762</v>
      </c>
      <c r="CK33" s="408"/>
      <c r="CL33" s="408"/>
      <c r="CM33" s="408"/>
      <c r="CN33" s="408"/>
      <c r="CO33" s="408">
        <v>90.954400000000476</v>
      </c>
      <c r="CP33" s="408">
        <v>0</v>
      </c>
      <c r="CQ33" s="408">
        <v>31</v>
      </c>
      <c r="CR33" s="408">
        <v>91.100704348322324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0</v>
      </c>
      <c r="DA33" s="408">
        <v>0</v>
      </c>
      <c r="DB33" s="408">
        <v>0</v>
      </c>
      <c r="DC33" s="408">
        <v>1.7107176972785965E-6</v>
      </c>
      <c r="DD33" s="408">
        <v>0</v>
      </c>
      <c r="DE33" s="408">
        <v>0</v>
      </c>
      <c r="DF33" s="408">
        <v>0</v>
      </c>
      <c r="DG33" s="408">
        <v>1.0460712474014144E-7</v>
      </c>
      <c r="DH33" s="408">
        <v>0</v>
      </c>
      <c r="DI33" s="408">
        <v>75.700354162000167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11.620550211373768</v>
      </c>
      <c r="DP33" s="408">
        <v>3.7797981596233257</v>
      </c>
      <c r="DQ33" s="408">
        <v>0</v>
      </c>
      <c r="DR33" s="408">
        <v>0</v>
      </c>
      <c r="DS33" s="408"/>
      <c r="DT33" s="408"/>
      <c r="DU33" s="408"/>
      <c r="DV33" s="408">
        <v>0</v>
      </c>
      <c r="DW33" s="408">
        <v>0</v>
      </c>
      <c r="DX33" s="408">
        <v>0</v>
      </c>
      <c r="DY33" s="408">
        <v>90.954400000000078</v>
      </c>
      <c r="DZ33" s="408">
        <v>0</v>
      </c>
      <c r="EA33" s="408">
        <v>0</v>
      </c>
      <c r="EB33" s="408">
        <v>0</v>
      </c>
      <c r="EC33" s="408">
        <v>0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265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35</v>
      </c>
      <c r="B34" s="408" t="s">
        <v>1031</v>
      </c>
      <c r="C34" s="408" t="s">
        <v>2235</v>
      </c>
      <c r="D34" s="408" t="s">
        <v>596</v>
      </c>
      <c r="E34" s="408" t="s">
        <v>969</v>
      </c>
      <c r="F34" s="408" t="s">
        <v>1317</v>
      </c>
      <c r="G34" s="408" t="s">
        <v>1317</v>
      </c>
      <c r="H34" s="408" t="s">
        <v>1317</v>
      </c>
      <c r="I34" s="408" t="s">
        <v>1317</v>
      </c>
      <c r="J34" s="408" t="s">
        <v>2228</v>
      </c>
      <c r="K34" s="828">
        <v>44378</v>
      </c>
      <c r="L34" s="408">
        <v>198</v>
      </c>
      <c r="M34" s="408">
        <v>190.07999999999998</v>
      </c>
      <c r="N34" s="408">
        <v>0</v>
      </c>
      <c r="O34" s="408">
        <v>0</v>
      </c>
      <c r="P34" s="408">
        <v>0</v>
      </c>
      <c r="Q34" s="408">
        <v>0</v>
      </c>
      <c r="R34" s="408">
        <v>74.44</v>
      </c>
      <c r="S34" s="408"/>
      <c r="T34" s="408"/>
      <c r="U34" s="408">
        <v>14739.119999999999</v>
      </c>
      <c r="V34" s="408"/>
      <c r="W34" s="408">
        <v>14739.119999999999</v>
      </c>
      <c r="X34" s="408">
        <v>8993.16</v>
      </c>
      <c r="Y34" s="408">
        <v>0</v>
      </c>
      <c r="Z34" s="408">
        <v>0</v>
      </c>
      <c r="AA34" s="408">
        <v>0</v>
      </c>
      <c r="AB34" s="408">
        <v>0</v>
      </c>
      <c r="AC34" s="408">
        <v>0</v>
      </c>
      <c r="AD34" s="408">
        <v>5388.9843210294566</v>
      </c>
      <c r="AE34" s="408">
        <v>9349.8645109672834</v>
      </c>
      <c r="AF34" s="408"/>
      <c r="AG34" s="408"/>
      <c r="AH34" s="408"/>
      <c r="AI34" s="408">
        <v>0</v>
      </c>
      <c r="AJ34" s="408">
        <v>0</v>
      </c>
      <c r="AK34" s="408">
        <v>0</v>
      </c>
      <c r="AL34" s="408">
        <v>0</v>
      </c>
      <c r="AM34" s="408"/>
      <c r="AN34" s="408">
        <v>0</v>
      </c>
      <c r="AO34" s="408">
        <v>0</v>
      </c>
      <c r="AP34" s="408">
        <v>0</v>
      </c>
      <c r="AQ34" s="408">
        <v>0</v>
      </c>
      <c r="AR34" s="408">
        <v>0</v>
      </c>
      <c r="AS34" s="408"/>
      <c r="AT34" s="408"/>
      <c r="AU34" s="408">
        <v>0</v>
      </c>
      <c r="AV34" s="408">
        <v>0</v>
      </c>
      <c r="AW34" s="408">
        <v>0</v>
      </c>
      <c r="AX34" s="408"/>
      <c r="AY34" s="408"/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/>
      <c r="BG34" s="408">
        <v>0</v>
      </c>
      <c r="BH34" s="408">
        <v>0</v>
      </c>
      <c r="BI34" s="408">
        <v>0</v>
      </c>
      <c r="BJ34" s="408">
        <v>0</v>
      </c>
      <c r="BK34" s="408">
        <v>12.71</v>
      </c>
      <c r="BL34" s="408">
        <v>2</v>
      </c>
      <c r="BM34" s="408"/>
      <c r="BN34" s="408"/>
      <c r="BO34" s="408"/>
      <c r="BP34" s="408"/>
      <c r="BQ34" s="408"/>
      <c r="BR34" s="408">
        <v>359.72640000000075</v>
      </c>
      <c r="BS34" s="408"/>
      <c r="BT34" s="408"/>
      <c r="BU34" s="408"/>
      <c r="BV34" s="408">
        <v>0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8633.4336000000003</v>
      </c>
      <c r="CJ34" s="408">
        <v>-5516.1515999999992</v>
      </c>
      <c r="CK34" s="408"/>
      <c r="CL34" s="408"/>
      <c r="CM34" s="408"/>
      <c r="CN34" s="408"/>
      <c r="CO34" s="408">
        <v>-5745.9599999999991</v>
      </c>
      <c r="CP34" s="408">
        <v>0</v>
      </c>
      <c r="CQ34" s="408">
        <v>31</v>
      </c>
      <c r="CR34" s="408">
        <v>-13.850164269433662</v>
      </c>
      <c r="CS34" s="408">
        <v>0</v>
      </c>
      <c r="CT34" s="408">
        <v>0</v>
      </c>
      <c r="CU34" s="408">
        <v>0</v>
      </c>
      <c r="CV34" s="408">
        <v>0</v>
      </c>
      <c r="CW34" s="408"/>
      <c r="CX34" s="408"/>
      <c r="CY34" s="408"/>
      <c r="CZ34" s="408">
        <v>-13.850164269433662</v>
      </c>
      <c r="DA34" s="408">
        <v>0</v>
      </c>
      <c r="DB34" s="408">
        <v>0</v>
      </c>
      <c r="DC34" s="408"/>
      <c r="DD34" s="408"/>
      <c r="DE34" s="408">
        <v>0</v>
      </c>
      <c r="DF34" s="408">
        <v>0</v>
      </c>
      <c r="DG34" s="408">
        <v>0</v>
      </c>
      <c r="DH34" s="408">
        <v>0</v>
      </c>
      <c r="DI34" s="408">
        <v>0</v>
      </c>
      <c r="DJ34" s="408"/>
      <c r="DK34" s="408">
        <v>0</v>
      </c>
      <c r="DL34" s="408">
        <v>0</v>
      </c>
      <c r="DM34" s="408"/>
      <c r="DN34" s="408">
        <v>0</v>
      </c>
      <c r="DO34" s="408">
        <v>0</v>
      </c>
      <c r="DP34" s="408">
        <v>0</v>
      </c>
      <c r="DQ34" s="408">
        <v>0</v>
      </c>
      <c r="DR34" s="408">
        <v>0</v>
      </c>
      <c r="DS34" s="408"/>
      <c r="DT34" s="408"/>
      <c r="DU34" s="408">
        <v>9349.8645109672834</v>
      </c>
      <c r="DV34" s="408"/>
      <c r="DW34" s="408">
        <v>0</v>
      </c>
      <c r="DX34" s="408">
        <v>0</v>
      </c>
      <c r="DY34" s="408">
        <v>-5745.9599999999991</v>
      </c>
      <c r="DZ34" s="408"/>
      <c r="EA34" s="408">
        <v>0</v>
      </c>
      <c r="EB34" s="408"/>
      <c r="EC34" s="408">
        <v>-5732.8238145290306</v>
      </c>
      <c r="ED34" s="408"/>
      <c r="EE34" s="408">
        <v>0</v>
      </c>
      <c r="EF34" s="408">
        <v>0</v>
      </c>
      <c r="EG34" s="408"/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/>
      <c r="EN34" s="408"/>
      <c r="EO34" s="408">
        <v>0</v>
      </c>
      <c r="EP34" s="408">
        <v>0</v>
      </c>
      <c r="EQ34" s="408"/>
      <c r="ER34" s="408">
        <v>0</v>
      </c>
      <c r="ES34" s="408"/>
      <c r="ET34" s="408">
        <v>0</v>
      </c>
      <c r="EU34" s="408"/>
      <c r="EV34" s="408">
        <v>265</v>
      </c>
      <c r="EW34" s="408"/>
      <c r="EX34" s="408"/>
      <c r="EY34" s="408"/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36</v>
      </c>
      <c r="B35" s="408" t="s">
        <v>2230</v>
      </c>
      <c r="C35" s="408" t="s">
        <v>2235</v>
      </c>
      <c r="D35" s="408" t="s">
        <v>596</v>
      </c>
      <c r="E35" s="408" t="s">
        <v>969</v>
      </c>
      <c r="F35" s="408" t="s">
        <v>1317</v>
      </c>
      <c r="G35" s="408" t="s">
        <v>1317</v>
      </c>
      <c r="H35" s="408" t="s">
        <v>1317</v>
      </c>
      <c r="I35" s="408" t="s">
        <v>1317</v>
      </c>
      <c r="J35" s="408" t="s">
        <v>2228</v>
      </c>
      <c r="K35" s="828">
        <v>44378</v>
      </c>
      <c r="L35" s="408">
        <v>315</v>
      </c>
      <c r="M35" s="408">
        <v>302.39999999999998</v>
      </c>
      <c r="N35" s="408">
        <v>0</v>
      </c>
      <c r="O35" s="408">
        <v>0</v>
      </c>
      <c r="P35" s="408">
        <v>0</v>
      </c>
      <c r="Q35" s="408">
        <v>0</v>
      </c>
      <c r="R35" s="408">
        <v>74.44</v>
      </c>
      <c r="S35" s="408"/>
      <c r="T35" s="408"/>
      <c r="U35" s="408">
        <v>23448.6</v>
      </c>
      <c r="V35" s="408"/>
      <c r="W35" s="408">
        <v>23448.6</v>
      </c>
      <c r="X35" s="408">
        <v>14307.300000000001</v>
      </c>
      <c r="Y35" s="408">
        <v>0</v>
      </c>
      <c r="Z35" s="408">
        <v>0</v>
      </c>
      <c r="AA35" s="408">
        <v>0</v>
      </c>
      <c r="AB35" s="408">
        <v>0</v>
      </c>
      <c r="AC35" s="408">
        <v>0</v>
      </c>
      <c r="AD35" s="408">
        <v>8573.384147092318</v>
      </c>
      <c r="AE35" s="408">
        <v>14874.784449266133</v>
      </c>
      <c r="AF35" s="408"/>
      <c r="AG35" s="408"/>
      <c r="AH35" s="408"/>
      <c r="AI35" s="408">
        <v>0</v>
      </c>
      <c r="AJ35" s="408">
        <v>0</v>
      </c>
      <c r="AK35" s="408">
        <v>0</v>
      </c>
      <c r="AL35" s="408">
        <v>0</v>
      </c>
      <c r="AM35" s="408"/>
      <c r="AN35" s="408">
        <v>0</v>
      </c>
      <c r="AO35" s="408">
        <v>0</v>
      </c>
      <c r="AP35" s="408">
        <v>0</v>
      </c>
      <c r="AQ35" s="408">
        <v>0</v>
      </c>
      <c r="AR35" s="408">
        <v>0</v>
      </c>
      <c r="AS35" s="408"/>
      <c r="AT35" s="408"/>
      <c r="AU35" s="408">
        <v>0</v>
      </c>
      <c r="AV35" s="408">
        <v>0</v>
      </c>
      <c r="AW35" s="408">
        <v>0</v>
      </c>
      <c r="AX35" s="408"/>
      <c r="AY35" s="408"/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/>
      <c r="BG35" s="408">
        <v>0</v>
      </c>
      <c r="BH35" s="408">
        <v>0</v>
      </c>
      <c r="BI35" s="408">
        <v>0</v>
      </c>
      <c r="BJ35" s="408">
        <v>0</v>
      </c>
      <c r="BK35" s="408">
        <v>4.38</v>
      </c>
      <c r="BL35" s="408">
        <v>3</v>
      </c>
      <c r="BM35" s="408"/>
      <c r="BN35" s="408"/>
      <c r="BO35" s="408"/>
      <c r="BP35" s="408"/>
      <c r="BQ35" s="408"/>
      <c r="BR35" s="408">
        <v>572.29200000000105</v>
      </c>
      <c r="BS35" s="408"/>
      <c r="BT35" s="408"/>
      <c r="BU35" s="408"/>
      <c r="BV35" s="408">
        <v>0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13735.008</v>
      </c>
      <c r="CJ35" s="408">
        <v>-8775.6779999999944</v>
      </c>
      <c r="CK35" s="408"/>
      <c r="CL35" s="408"/>
      <c r="CM35" s="408"/>
      <c r="CN35" s="408"/>
      <c r="CO35" s="408">
        <v>-9141.2999999999993</v>
      </c>
      <c r="CP35" s="408">
        <v>0</v>
      </c>
      <c r="CQ35" s="408">
        <v>31</v>
      </c>
      <c r="CR35" s="408">
        <v>-22.034352246828348</v>
      </c>
      <c r="CS35" s="408">
        <v>0</v>
      </c>
      <c r="CT35" s="408">
        <v>0</v>
      </c>
      <c r="CU35" s="408">
        <v>0</v>
      </c>
      <c r="CV35" s="408">
        <v>0</v>
      </c>
      <c r="CW35" s="408"/>
      <c r="CX35" s="408"/>
      <c r="CY35" s="408"/>
      <c r="CZ35" s="408">
        <v>-22.034352246828348</v>
      </c>
      <c r="DA35" s="408">
        <v>0</v>
      </c>
      <c r="DB35" s="408">
        <v>0</v>
      </c>
      <c r="DC35" s="408"/>
      <c r="DD35" s="408"/>
      <c r="DE35" s="408">
        <v>0</v>
      </c>
      <c r="DF35" s="408">
        <v>0</v>
      </c>
      <c r="DG35" s="408">
        <v>0</v>
      </c>
      <c r="DH35" s="408">
        <v>0</v>
      </c>
      <c r="DI35" s="408">
        <v>0</v>
      </c>
      <c r="DJ35" s="408"/>
      <c r="DK35" s="408">
        <v>0</v>
      </c>
      <c r="DL35" s="408">
        <v>0</v>
      </c>
      <c r="DM35" s="408"/>
      <c r="DN35" s="408">
        <v>0</v>
      </c>
      <c r="DO35" s="408">
        <v>0</v>
      </c>
      <c r="DP35" s="408">
        <v>0</v>
      </c>
      <c r="DQ35" s="408">
        <v>0</v>
      </c>
      <c r="DR35" s="408">
        <v>0</v>
      </c>
      <c r="DS35" s="408"/>
      <c r="DT35" s="408"/>
      <c r="DU35" s="408">
        <v>14874.784449266133</v>
      </c>
      <c r="DV35" s="408"/>
      <c r="DW35" s="408">
        <v>0</v>
      </c>
      <c r="DX35" s="408">
        <v>0</v>
      </c>
      <c r="DY35" s="408">
        <v>-9141.2999999999975</v>
      </c>
      <c r="DZ35" s="408"/>
      <c r="EA35" s="408">
        <v>0</v>
      </c>
      <c r="EB35" s="408"/>
      <c r="EC35" s="408">
        <v>-9120.4015231143676</v>
      </c>
      <c r="ED35" s="408"/>
      <c r="EE35" s="408">
        <v>0</v>
      </c>
      <c r="EF35" s="408">
        <v>0</v>
      </c>
      <c r="EG35" s="408"/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/>
      <c r="EN35" s="408"/>
      <c r="EO35" s="408">
        <v>0</v>
      </c>
      <c r="EP35" s="408">
        <v>0</v>
      </c>
      <c r="EQ35" s="408"/>
      <c r="ER35" s="408">
        <v>0</v>
      </c>
      <c r="ES35" s="408"/>
      <c r="ET35" s="408">
        <v>0</v>
      </c>
      <c r="EU35" s="408"/>
      <c r="EV35" s="408">
        <v>265</v>
      </c>
      <c r="EW35" s="408"/>
      <c r="EX35" s="408"/>
      <c r="EY35" s="408"/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37</v>
      </c>
      <c r="B36" s="408" t="s">
        <v>2230</v>
      </c>
      <c r="C36" s="408" t="s">
        <v>2235</v>
      </c>
      <c r="D36" s="408" t="s">
        <v>596</v>
      </c>
      <c r="E36" s="408" t="s">
        <v>969</v>
      </c>
      <c r="F36" s="408" t="s">
        <v>1317</v>
      </c>
      <c r="G36" s="408" t="s">
        <v>1317</v>
      </c>
      <c r="H36" s="408" t="s">
        <v>1317</v>
      </c>
      <c r="I36" s="408" t="s">
        <v>1317</v>
      </c>
      <c r="J36" s="408" t="s">
        <v>2228</v>
      </c>
      <c r="K36" s="828">
        <v>44378</v>
      </c>
      <c r="L36" s="408">
        <v>0</v>
      </c>
      <c r="M36" s="408">
        <v>0</v>
      </c>
      <c r="N36" s="408">
        <v>0</v>
      </c>
      <c r="O36" s="408">
        <v>0</v>
      </c>
      <c r="P36" s="408">
        <v>0</v>
      </c>
      <c r="Q36" s="408">
        <v>0</v>
      </c>
      <c r="R36" s="408"/>
      <c r="S36" s="408"/>
      <c r="T36" s="408"/>
      <c r="U36" s="408"/>
      <c r="V36" s="408"/>
      <c r="W36" s="408"/>
      <c r="X36" s="408"/>
      <c r="Y36" s="408"/>
      <c r="Z36" s="408"/>
      <c r="AA36" s="408">
        <v>0</v>
      </c>
      <c r="AB36" s="408"/>
      <c r="AC36" s="408"/>
      <c r="AD36" s="408"/>
      <c r="AE36" s="408"/>
      <c r="AF36" s="408"/>
      <c r="AG36" s="408"/>
      <c r="AH36" s="408"/>
      <c r="AI36" s="408"/>
      <c r="AJ36" s="408"/>
      <c r="AK36" s="408"/>
      <c r="AL36" s="408"/>
      <c r="AM36" s="408"/>
      <c r="AN36" s="408"/>
      <c r="AO36" s="408"/>
      <c r="AP36" s="408"/>
      <c r="AQ36" s="408"/>
      <c r="AR36" s="408"/>
      <c r="AS36" s="408"/>
      <c r="AT36" s="408"/>
      <c r="AU36" s="408"/>
      <c r="AV36" s="408"/>
      <c r="AW36" s="408"/>
      <c r="AX36" s="408"/>
      <c r="AY36" s="408"/>
      <c r="AZ36" s="408">
        <v>0</v>
      </c>
      <c r="BA36" s="408"/>
      <c r="BB36" s="408"/>
      <c r="BC36" s="408"/>
      <c r="BD36" s="408"/>
      <c r="BE36" s="408"/>
      <c r="BF36" s="408"/>
      <c r="BG36" s="408"/>
      <c r="BH36" s="408"/>
      <c r="BI36" s="408">
        <v>0</v>
      </c>
      <c r="BJ36" s="408">
        <v>0</v>
      </c>
      <c r="BK36" s="408">
        <v>-0.32</v>
      </c>
      <c r="BL36" s="408">
        <v>2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/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/>
      <c r="CJ36" s="408">
        <v>-0.03</v>
      </c>
      <c r="CK36" s="408"/>
      <c r="CL36" s="408"/>
      <c r="CM36" s="408"/>
      <c r="CN36" s="408"/>
      <c r="CO36" s="408">
        <v>0</v>
      </c>
      <c r="CP36" s="408">
        <v>0</v>
      </c>
      <c r="CQ36" s="408">
        <v>31</v>
      </c>
      <c r="CR36" s="408"/>
      <c r="CS36" s="408"/>
      <c r="CT36" s="408"/>
      <c r="CU36" s="408"/>
      <c r="CV36" s="408"/>
      <c r="CW36" s="408"/>
      <c r="CX36" s="408"/>
      <c r="CY36" s="408"/>
      <c r="CZ36" s="408"/>
      <c r="DA36" s="408"/>
      <c r="DB36" s="408"/>
      <c r="DC36" s="408"/>
      <c r="DD36" s="408"/>
      <c r="DE36" s="408"/>
      <c r="DF36" s="408"/>
      <c r="DG36" s="408"/>
      <c r="DH36" s="408"/>
      <c r="DI36" s="408"/>
      <c r="DJ36" s="408"/>
      <c r="DK36" s="408">
        <v>0</v>
      </c>
      <c r="DL36" s="408"/>
      <c r="DM36" s="408"/>
      <c r="DN36" s="408"/>
      <c r="DO36" s="408"/>
      <c r="DP36" s="408"/>
      <c r="DQ36" s="408"/>
      <c r="DR36" s="408"/>
      <c r="DS36" s="408"/>
      <c r="DT36" s="408"/>
      <c r="DU36" s="408"/>
      <c r="DV36" s="408"/>
      <c r="DW36" s="408"/>
      <c r="DX36" s="408"/>
      <c r="DY36" s="408"/>
      <c r="DZ36" s="408"/>
      <c r="EA36" s="408"/>
      <c r="EB36" s="408"/>
      <c r="EC36" s="408"/>
      <c r="ED36" s="408"/>
      <c r="EE36" s="408"/>
      <c r="EF36" s="408"/>
      <c r="EG36" s="408"/>
      <c r="EH36" s="408"/>
      <c r="EI36" s="408"/>
      <c r="EJ36" s="408"/>
      <c r="EK36" s="408"/>
      <c r="EL36" s="408"/>
      <c r="EM36" s="408"/>
      <c r="EN36" s="408"/>
      <c r="EO36" s="408"/>
      <c r="EP36" s="408"/>
      <c r="EQ36" s="408"/>
      <c r="ER36" s="408"/>
      <c r="ES36" s="408"/>
      <c r="ET36" s="408"/>
      <c r="EU36" s="408"/>
      <c r="EV36" s="408">
        <v>265</v>
      </c>
      <c r="EW36" s="408"/>
      <c r="EX36" s="408"/>
      <c r="EY36" s="408"/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38</v>
      </c>
      <c r="B37" s="408" t="s">
        <v>1031</v>
      </c>
      <c r="C37" s="408" t="s">
        <v>2227</v>
      </c>
      <c r="D37" s="408" t="s">
        <v>1952</v>
      </c>
      <c r="E37" s="408" t="s">
        <v>2238</v>
      </c>
      <c r="F37" s="408" t="s">
        <v>1317</v>
      </c>
      <c r="G37" s="408" t="s">
        <v>1317</v>
      </c>
      <c r="H37" s="408" t="s">
        <v>1317</v>
      </c>
      <c r="I37" s="408" t="s">
        <v>1317</v>
      </c>
      <c r="J37" s="408" t="s">
        <v>2228</v>
      </c>
      <c r="K37" s="828">
        <v>44378</v>
      </c>
      <c r="L37" s="408">
        <v>0</v>
      </c>
      <c r="M37" s="408">
        <v>0</v>
      </c>
      <c r="N37" s="408">
        <v>195.035</v>
      </c>
      <c r="O37" s="408">
        <v>195.035</v>
      </c>
      <c r="P37" s="408">
        <v>195.035</v>
      </c>
      <c r="Q37" s="408">
        <v>195.035</v>
      </c>
      <c r="R37" s="408"/>
      <c r="S37" s="408">
        <v>739.04</v>
      </c>
      <c r="T37" s="408">
        <v>252.22</v>
      </c>
      <c r="U37" s="408"/>
      <c r="V37" s="408">
        <v>193330.39409999998</v>
      </c>
      <c r="W37" s="408">
        <v>193330.39409999998</v>
      </c>
      <c r="X37" s="408">
        <v>132227.87894999998</v>
      </c>
      <c r="Y37" s="408">
        <v>0</v>
      </c>
      <c r="Z37" s="408">
        <v>12063.530402046008</v>
      </c>
      <c r="AA37" s="408">
        <v>0</v>
      </c>
      <c r="AB37" s="408">
        <v>0</v>
      </c>
      <c r="AC37" s="408">
        <v>0</v>
      </c>
      <c r="AD37" s="408">
        <v>24086.350690097192</v>
      </c>
      <c r="AE37" s="408">
        <v>98880.359732390032</v>
      </c>
      <c r="AF37" s="408">
        <v>49192.267454868699</v>
      </c>
      <c r="AG37" s="408">
        <v>0</v>
      </c>
      <c r="AH37" s="408">
        <v>0</v>
      </c>
      <c r="AI37" s="408">
        <v>0</v>
      </c>
      <c r="AJ37" s="408">
        <v>0</v>
      </c>
      <c r="AK37" s="408">
        <v>0</v>
      </c>
      <c r="AL37" s="408">
        <v>1864.7353269012976</v>
      </c>
      <c r="AM37" s="408"/>
      <c r="AN37" s="408">
        <v>457.02523058958366</v>
      </c>
      <c r="AO37" s="408">
        <v>0</v>
      </c>
      <c r="AP37" s="408">
        <v>0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6786.0961511844544</v>
      </c>
      <c r="BH37" s="408">
        <v>0</v>
      </c>
      <c r="BI37" s="408">
        <v>0</v>
      </c>
      <c r="BJ37" s="408">
        <v>0</v>
      </c>
      <c r="BK37" s="408">
        <v>51165.23</v>
      </c>
      <c r="BL37" s="408">
        <v>366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55978.363606053157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132231.26879999999</v>
      </c>
      <c r="CJ37" s="408">
        <v>-61099.155300000013</v>
      </c>
      <c r="CK37" s="408"/>
      <c r="CL37" s="408"/>
      <c r="CM37" s="408"/>
      <c r="CN37" s="408"/>
      <c r="CO37" s="408">
        <v>-61102.515149999992</v>
      </c>
      <c r="CP37" s="408">
        <v>0</v>
      </c>
      <c r="CQ37" s="408">
        <v>31</v>
      </c>
      <c r="CR37" s="408">
        <v>-474.36352824444475</v>
      </c>
      <c r="CS37" s="408">
        <v>0</v>
      </c>
      <c r="CT37" s="408">
        <v>0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-61.904042364145425</v>
      </c>
      <c r="DA37" s="408">
        <v>0</v>
      </c>
      <c r="DB37" s="408">
        <v>0</v>
      </c>
      <c r="DC37" s="408">
        <v>-6.8964436650276184E-6</v>
      </c>
      <c r="DD37" s="408">
        <v>0</v>
      </c>
      <c r="DE37" s="408">
        <v>0</v>
      </c>
      <c r="DF37" s="408">
        <v>0</v>
      </c>
      <c r="DG37" s="408">
        <v>-9.5136238087434322E-7</v>
      </c>
      <c r="DH37" s="408">
        <v>0</v>
      </c>
      <c r="DI37" s="408">
        <v>-350.77234760221472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-46.846093643556742</v>
      </c>
      <c r="DP37" s="408">
        <v>-14.841036786715449</v>
      </c>
      <c r="DQ37" s="408">
        <v>0</v>
      </c>
      <c r="DR37" s="408">
        <v>0</v>
      </c>
      <c r="DS37" s="408"/>
      <c r="DT37" s="408"/>
      <c r="DU37" s="408"/>
      <c r="DV37" s="408">
        <v>98880.359732390032</v>
      </c>
      <c r="DW37" s="408">
        <v>0</v>
      </c>
      <c r="DX37" s="408">
        <v>0</v>
      </c>
      <c r="DY37" s="408">
        <v>-61102.515149999992</v>
      </c>
      <c r="DZ37" s="408">
        <v>0</v>
      </c>
      <c r="EA37" s="408">
        <v>0</v>
      </c>
      <c r="EB37" s="408">
        <v>0</v>
      </c>
      <c r="EC37" s="408">
        <v>-60628.010213208734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265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39</v>
      </c>
      <c r="B38" s="408" t="s">
        <v>2230</v>
      </c>
      <c r="C38" s="408" t="s">
        <v>2227</v>
      </c>
      <c r="D38" s="408" t="s">
        <v>1952</v>
      </c>
      <c r="E38" s="408" t="s">
        <v>2238</v>
      </c>
      <c r="F38" s="408" t="s">
        <v>1317</v>
      </c>
      <c r="G38" s="408" t="s">
        <v>1317</v>
      </c>
      <c r="H38" s="408" t="s">
        <v>1317</v>
      </c>
      <c r="I38" s="408" t="s">
        <v>1317</v>
      </c>
      <c r="J38" s="408" t="s">
        <v>2228</v>
      </c>
      <c r="K38" s="828">
        <v>44378</v>
      </c>
      <c r="L38" s="408">
        <v>0</v>
      </c>
      <c r="M38" s="408">
        <v>0</v>
      </c>
      <c r="N38" s="408">
        <v>2.0110000000000001</v>
      </c>
      <c r="O38" s="408">
        <v>2.0110000000000001</v>
      </c>
      <c r="P38" s="408">
        <v>2.0110000000000001</v>
      </c>
      <c r="Q38" s="408">
        <v>2.0110000000000001</v>
      </c>
      <c r="R38" s="408"/>
      <c r="S38" s="408">
        <v>739.04</v>
      </c>
      <c r="T38" s="408">
        <v>252.22</v>
      </c>
      <c r="U38" s="408"/>
      <c r="V38" s="408">
        <v>1993.4238600000001</v>
      </c>
      <c r="W38" s="408">
        <v>1993.4238600000001</v>
      </c>
      <c r="X38" s="408">
        <v>1363.3976700000001</v>
      </c>
      <c r="Y38" s="408">
        <v>0</v>
      </c>
      <c r="Z38" s="408">
        <v>124.38669796966967</v>
      </c>
      <c r="AA38" s="408">
        <v>0</v>
      </c>
      <c r="AB38" s="408">
        <v>0</v>
      </c>
      <c r="AC38" s="408">
        <v>0</v>
      </c>
      <c r="AD38" s="408">
        <v>248.35363518232859</v>
      </c>
      <c r="AE38" s="408">
        <v>1019.5524055776469</v>
      </c>
      <c r="AF38" s="408">
        <v>507.21998539616459</v>
      </c>
      <c r="AG38" s="408">
        <v>0</v>
      </c>
      <c r="AH38" s="408">
        <v>0</v>
      </c>
      <c r="AI38" s="408">
        <v>0</v>
      </c>
      <c r="AJ38" s="408">
        <v>0</v>
      </c>
      <c r="AK38" s="408">
        <v>0</v>
      </c>
      <c r="AL38" s="408">
        <v>19.227229689022533</v>
      </c>
      <c r="AM38" s="408"/>
      <c r="AN38" s="408">
        <v>4.7123733622972948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69.971232650713659</v>
      </c>
      <c r="BH38" s="408">
        <v>0</v>
      </c>
      <c r="BI38" s="408">
        <v>0</v>
      </c>
      <c r="BJ38" s="408">
        <v>0</v>
      </c>
      <c r="BK38" s="408">
        <v>644.16999999999996</v>
      </c>
      <c r="BL38" s="408">
        <v>2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>
        <v>577.19121804687825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1362.7196999999999</v>
      </c>
      <c r="CJ38" s="408">
        <v>-630.7341600000002</v>
      </c>
      <c r="CK38" s="408"/>
      <c r="CL38" s="408"/>
      <c r="CM38" s="408"/>
      <c r="CN38" s="408"/>
      <c r="CO38" s="408">
        <v>-630.02618999999993</v>
      </c>
      <c r="CP38" s="408">
        <v>0</v>
      </c>
      <c r="CQ38" s="408">
        <v>31</v>
      </c>
      <c r="CR38" s="408">
        <v>-4.8911480262494251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-0.6382907129197406</v>
      </c>
      <c r="DA38" s="408">
        <v>0</v>
      </c>
      <c r="DB38" s="408">
        <v>0</v>
      </c>
      <c r="DC38" s="408">
        <v>-7.1109013788372977E-8</v>
      </c>
      <c r="DD38" s="408">
        <v>0</v>
      </c>
      <c r="DE38" s="408">
        <v>0</v>
      </c>
      <c r="DF38" s="408">
        <v>0</v>
      </c>
      <c r="DG38" s="408">
        <v>-9.8094687928096391E-9</v>
      </c>
      <c r="DH38" s="408">
        <v>0</v>
      </c>
      <c r="DI38" s="408">
        <v>-3.6168030918966139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-0.4830286580213432</v>
      </c>
      <c r="DP38" s="408">
        <v>-0.15302548249332037</v>
      </c>
      <c r="DQ38" s="408">
        <v>0</v>
      </c>
      <c r="DR38" s="408">
        <v>0</v>
      </c>
      <c r="DS38" s="408"/>
      <c r="DT38" s="408"/>
      <c r="DU38" s="408"/>
      <c r="DV38" s="408">
        <v>1019.5524055776469</v>
      </c>
      <c r="DW38" s="408">
        <v>0</v>
      </c>
      <c r="DX38" s="408">
        <v>0</v>
      </c>
      <c r="DY38" s="408">
        <v>-630.02619000000004</v>
      </c>
      <c r="DZ38" s="408">
        <v>0</v>
      </c>
      <c r="EA38" s="408">
        <v>0</v>
      </c>
      <c r="EB38" s="408">
        <v>0</v>
      </c>
      <c r="EC38" s="408">
        <v>-625.13358391449106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265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40</v>
      </c>
      <c r="B39" s="408" t="s">
        <v>1031</v>
      </c>
      <c r="C39" s="408" t="s">
        <v>2227</v>
      </c>
      <c r="D39" s="408" t="s">
        <v>2240</v>
      </c>
      <c r="E39" s="408" t="s">
        <v>2241</v>
      </c>
      <c r="F39" s="408" t="s">
        <v>2242</v>
      </c>
      <c r="G39" s="408" t="s">
        <v>1317</v>
      </c>
      <c r="H39" s="408" t="s">
        <v>1317</v>
      </c>
      <c r="I39" s="408" t="s">
        <v>1317</v>
      </c>
      <c r="J39" s="408" t="s">
        <v>2228</v>
      </c>
      <c r="K39" s="828">
        <v>44378</v>
      </c>
      <c r="L39" s="408">
        <v>0</v>
      </c>
      <c r="M39" s="408">
        <v>0</v>
      </c>
      <c r="N39" s="408">
        <v>416.529</v>
      </c>
      <c r="O39" s="408">
        <v>416.529</v>
      </c>
      <c r="P39" s="408">
        <v>416.529</v>
      </c>
      <c r="Q39" s="408">
        <v>416.529</v>
      </c>
      <c r="R39" s="408"/>
      <c r="S39" s="408">
        <v>406.47</v>
      </c>
      <c r="T39" s="408">
        <v>138.72</v>
      </c>
      <c r="U39" s="408"/>
      <c r="V39" s="408">
        <v>227087.44551000002</v>
      </c>
      <c r="W39" s="408">
        <v>227087.44551000002</v>
      </c>
      <c r="X39" s="408">
        <v>155315.33351999999</v>
      </c>
      <c r="Y39" s="408">
        <v>0</v>
      </c>
      <c r="Z39" s="408">
        <v>14169.998411354871</v>
      </c>
      <c r="AA39" s="408">
        <v>0</v>
      </c>
      <c r="AB39" s="408">
        <v>0</v>
      </c>
      <c r="AC39" s="408">
        <v>0</v>
      </c>
      <c r="AD39" s="408">
        <v>28292.178130220433</v>
      </c>
      <c r="AE39" s="408">
        <v>116146.30987994451</v>
      </c>
      <c r="AF39" s="408">
        <v>57781.953412925453</v>
      </c>
      <c r="AG39" s="408">
        <v>0</v>
      </c>
      <c r="AH39" s="408">
        <v>0</v>
      </c>
      <c r="AI39" s="408">
        <v>0</v>
      </c>
      <c r="AJ39" s="408">
        <v>0</v>
      </c>
      <c r="AK39" s="408">
        <v>0</v>
      </c>
      <c r="AL39" s="408">
        <v>2190.3452587401184</v>
      </c>
      <c r="AM39" s="408"/>
      <c r="AN39" s="408">
        <v>536.82848847507898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7971.0473200512188</v>
      </c>
      <c r="BH39" s="408">
        <v>0</v>
      </c>
      <c r="BI39" s="408">
        <v>0</v>
      </c>
      <c r="BJ39" s="408">
        <v>0</v>
      </c>
      <c r="BK39" s="408">
        <v>43211.46</v>
      </c>
      <c r="BL39" s="408">
        <v>66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65753.000732976667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155315.7064</v>
      </c>
      <c r="CJ39" s="408">
        <v>-71771.769110000052</v>
      </c>
      <c r="CK39" s="408"/>
      <c r="CL39" s="408"/>
      <c r="CM39" s="408"/>
      <c r="CN39" s="408"/>
      <c r="CO39" s="408">
        <v>-71772.111990000019</v>
      </c>
      <c r="CP39" s="408">
        <v>0</v>
      </c>
      <c r="CQ39" s="408">
        <v>31</v>
      </c>
      <c r="CR39" s="408">
        <v>-557.19430528262455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-72.713389258620737</v>
      </c>
      <c r="DA39" s="408">
        <v>0</v>
      </c>
      <c r="DB39" s="408">
        <v>0</v>
      </c>
      <c r="DC39" s="408">
        <v>-8.1002363003790379E-6</v>
      </c>
      <c r="DD39" s="408">
        <v>0</v>
      </c>
      <c r="DE39" s="408">
        <v>0</v>
      </c>
      <c r="DF39" s="408">
        <v>0</v>
      </c>
      <c r="DG39" s="408">
        <v>-1.1174643077538349E-6</v>
      </c>
      <c r="DH39" s="408">
        <v>0</v>
      </c>
      <c r="DI39" s="408">
        <v>-412.02230546271494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-55.026103502405931</v>
      </c>
      <c r="DP39" s="408">
        <v>-17.432497841176087</v>
      </c>
      <c r="DQ39" s="408">
        <v>0</v>
      </c>
      <c r="DR39" s="408">
        <v>0</v>
      </c>
      <c r="DS39" s="408"/>
      <c r="DT39" s="408"/>
      <c r="DU39" s="408"/>
      <c r="DV39" s="408">
        <v>116146.30987994451</v>
      </c>
      <c r="DW39" s="408">
        <v>0</v>
      </c>
      <c r="DX39" s="408">
        <v>0</v>
      </c>
      <c r="DY39" s="408">
        <v>-71772.111990000019</v>
      </c>
      <c r="DZ39" s="408">
        <v>0</v>
      </c>
      <c r="EA39" s="408">
        <v>0</v>
      </c>
      <c r="EB39" s="408">
        <v>0</v>
      </c>
      <c r="EC39" s="408">
        <v>-71214.543319679462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265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41</v>
      </c>
      <c r="B40" s="408" t="s">
        <v>1031</v>
      </c>
      <c r="C40" s="408" t="s">
        <v>2227</v>
      </c>
      <c r="D40" s="408" t="s">
        <v>1952</v>
      </c>
      <c r="E40" s="408" t="s">
        <v>996</v>
      </c>
      <c r="F40" s="408" t="s">
        <v>2243</v>
      </c>
      <c r="G40" s="408" t="s">
        <v>1317</v>
      </c>
      <c r="H40" s="408" t="s">
        <v>1317</v>
      </c>
      <c r="I40" s="408" t="s">
        <v>1317</v>
      </c>
      <c r="J40" s="408" t="s">
        <v>2228</v>
      </c>
      <c r="K40" s="828">
        <v>44378</v>
      </c>
      <c r="L40" s="408">
        <v>0</v>
      </c>
      <c r="M40" s="408">
        <v>0</v>
      </c>
      <c r="N40" s="408">
        <v>79.802999999999997</v>
      </c>
      <c r="O40" s="408">
        <v>75.01482</v>
      </c>
      <c r="P40" s="408">
        <v>79.802999999999997</v>
      </c>
      <c r="Q40" s="408">
        <v>75.01482</v>
      </c>
      <c r="R40" s="408"/>
      <c r="S40" s="408">
        <v>739.04</v>
      </c>
      <c r="T40" s="408">
        <v>252.22</v>
      </c>
      <c r="U40" s="408"/>
      <c r="V40" s="408">
        <v>79105.521779999995</v>
      </c>
      <c r="W40" s="408">
        <v>79105.521779999995</v>
      </c>
      <c r="X40" s="408">
        <v>54104.039909999992</v>
      </c>
      <c r="Y40" s="408">
        <v>0</v>
      </c>
      <c r="Z40" s="408">
        <v>4936.0674580176765</v>
      </c>
      <c r="AA40" s="408">
        <v>0</v>
      </c>
      <c r="AB40" s="408">
        <v>0</v>
      </c>
      <c r="AC40" s="408">
        <v>0</v>
      </c>
      <c r="AD40" s="408">
        <v>9855.4774482622415</v>
      </c>
      <c r="AE40" s="408">
        <v>40459.145013581772</v>
      </c>
      <c r="AF40" s="408">
        <v>20128.133512963759</v>
      </c>
      <c r="AG40" s="408">
        <v>0</v>
      </c>
      <c r="AH40" s="408">
        <v>0</v>
      </c>
      <c r="AI40" s="408">
        <v>0</v>
      </c>
      <c r="AJ40" s="408">
        <v>0</v>
      </c>
      <c r="AK40" s="408">
        <v>0</v>
      </c>
      <c r="AL40" s="408">
        <v>762.99881197069374</v>
      </c>
      <c r="AM40" s="408"/>
      <c r="AN40" s="408">
        <v>187.0022533224321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2776.6853700770271</v>
      </c>
      <c r="BH40" s="408">
        <v>0</v>
      </c>
      <c r="BI40" s="408">
        <v>0</v>
      </c>
      <c r="BJ40" s="408">
        <v>0</v>
      </c>
      <c r="BK40" s="408">
        <v>22803.279999999999</v>
      </c>
      <c r="BL40" s="408">
        <v>28</v>
      </c>
      <c r="BM40" s="408"/>
      <c r="BN40" s="408"/>
      <c r="BO40" s="408"/>
      <c r="BP40" s="408"/>
      <c r="BQ40" s="408">
        <v>3246.2423945999981</v>
      </c>
      <c r="BR40" s="408"/>
      <c r="BS40" s="408"/>
      <c r="BT40" s="408"/>
      <c r="BU40" s="408"/>
      <c r="BV40" s="408">
        <v>22904.818883040785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50854.529699999999</v>
      </c>
      <c r="CJ40" s="408">
        <v>-23504.690773199996</v>
      </c>
      <c r="CK40" s="408"/>
      <c r="CL40" s="408"/>
      <c r="CM40" s="408"/>
      <c r="CN40" s="408"/>
      <c r="CO40" s="408">
        <v>-25001.481869999996</v>
      </c>
      <c r="CP40" s="408">
        <v>0</v>
      </c>
      <c r="CQ40" s="408">
        <v>31</v>
      </c>
      <c r="CR40" s="408">
        <v>-194.09661160555697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-25.329444934428466</v>
      </c>
      <c r="DA40" s="408">
        <v>0</v>
      </c>
      <c r="DB40" s="408">
        <v>0</v>
      </c>
      <c r="DC40" s="408">
        <v>-2.8218346415087581E-6</v>
      </c>
      <c r="DD40" s="408">
        <v>0</v>
      </c>
      <c r="DE40" s="408">
        <v>0</v>
      </c>
      <c r="DF40" s="408">
        <v>0</v>
      </c>
      <c r="DG40" s="408">
        <v>-3.8927146306377836E-7</v>
      </c>
      <c r="DH40" s="408">
        <v>0</v>
      </c>
      <c r="DI40" s="408">
        <v>-143.52647296997748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-19.168143210381572</v>
      </c>
      <c r="DP40" s="408">
        <v>-6.0725472796690383</v>
      </c>
      <c r="DQ40" s="408">
        <v>0</v>
      </c>
      <c r="DR40" s="408">
        <v>0</v>
      </c>
      <c r="DS40" s="408"/>
      <c r="DT40" s="408"/>
      <c r="DU40" s="408"/>
      <c r="DV40" s="408">
        <v>40459.145013581772</v>
      </c>
      <c r="DW40" s="408">
        <v>0</v>
      </c>
      <c r="DX40" s="408">
        <v>0</v>
      </c>
      <c r="DY40" s="408">
        <v>-25001.481869999996</v>
      </c>
      <c r="DZ40" s="408">
        <v>0</v>
      </c>
      <c r="EA40" s="408">
        <v>0</v>
      </c>
      <c r="EB40" s="408">
        <v>0</v>
      </c>
      <c r="EC40" s="408">
        <v>-24807.327397875742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265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42</v>
      </c>
      <c r="B41" s="408" t="s">
        <v>1031</v>
      </c>
      <c r="C41" s="408" t="s">
        <v>2227</v>
      </c>
      <c r="D41" s="408" t="s">
        <v>1952</v>
      </c>
      <c r="E41" s="408" t="s">
        <v>2244</v>
      </c>
      <c r="F41" s="408" t="s">
        <v>1317</v>
      </c>
      <c r="G41" s="408" t="s">
        <v>1317</v>
      </c>
      <c r="H41" s="408" t="s">
        <v>1317</v>
      </c>
      <c r="I41" s="408" t="s">
        <v>1317</v>
      </c>
      <c r="J41" s="408" t="s">
        <v>2228</v>
      </c>
      <c r="K41" s="828">
        <v>44378</v>
      </c>
      <c r="L41" s="408">
        <v>0</v>
      </c>
      <c r="M41" s="408">
        <v>0</v>
      </c>
      <c r="N41" s="408">
        <v>7.5949999999999998</v>
      </c>
      <c r="O41" s="408">
        <v>7.5949999999999998</v>
      </c>
      <c r="P41" s="408">
        <v>7.5949999999999998</v>
      </c>
      <c r="Q41" s="408">
        <v>7.5949999999999998</v>
      </c>
      <c r="R41" s="408"/>
      <c r="S41" s="408">
        <v>739.04</v>
      </c>
      <c r="T41" s="408">
        <v>252.22</v>
      </c>
      <c r="U41" s="408"/>
      <c r="V41" s="408">
        <v>7528.6196999999993</v>
      </c>
      <c r="W41" s="408">
        <v>7528.6196999999993</v>
      </c>
      <c r="X41" s="408">
        <v>5149.1821499999996</v>
      </c>
      <c r="Y41" s="408">
        <v>0</v>
      </c>
      <c r="Z41" s="408">
        <v>469.77472455476931</v>
      </c>
      <c r="AA41" s="408">
        <v>0</v>
      </c>
      <c r="AB41" s="408">
        <v>0</v>
      </c>
      <c r="AC41" s="408">
        <v>0</v>
      </c>
      <c r="AD41" s="408">
        <v>937.96412690690477</v>
      </c>
      <c r="AE41" s="408">
        <v>3850.5721135565527</v>
      </c>
      <c r="AF41" s="408">
        <v>1915.6319189875037</v>
      </c>
      <c r="AG41" s="408">
        <v>0</v>
      </c>
      <c r="AH41" s="408">
        <v>0</v>
      </c>
      <c r="AI41" s="408">
        <v>0</v>
      </c>
      <c r="AJ41" s="408">
        <v>0</v>
      </c>
      <c r="AK41" s="408">
        <v>0</v>
      </c>
      <c r="AL41" s="408">
        <v>72.616016652474457</v>
      </c>
      <c r="AM41" s="408"/>
      <c r="AN41" s="408">
        <v>17.797352405095946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264.26231326811052</v>
      </c>
      <c r="BH41" s="408">
        <v>0</v>
      </c>
      <c r="BI41" s="408">
        <v>0</v>
      </c>
      <c r="BJ41" s="408">
        <v>0</v>
      </c>
      <c r="BK41" s="408">
        <v>2170.84</v>
      </c>
      <c r="BL41" s="408">
        <v>11</v>
      </c>
      <c r="BM41" s="408"/>
      <c r="BN41" s="408"/>
      <c r="BO41" s="408"/>
      <c r="BP41" s="408"/>
      <c r="BQ41" s="408"/>
      <c r="BR41" s="408"/>
      <c r="BS41" s="408"/>
      <c r="BT41" s="408"/>
      <c r="BU41" s="408"/>
      <c r="BV41" s="408">
        <v>2179.894232255614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5152.5720000000001</v>
      </c>
      <c r="CJ41" s="408">
        <v>-2376.0776999999998</v>
      </c>
      <c r="CK41" s="408"/>
      <c r="CL41" s="408"/>
      <c r="CM41" s="408"/>
      <c r="CN41" s="408"/>
      <c r="CO41" s="408">
        <v>-2379.4375499999996</v>
      </c>
      <c r="CP41" s="408">
        <v>0</v>
      </c>
      <c r="CQ41" s="408">
        <v>31</v>
      </c>
      <c r="CR41" s="408">
        <v>-18.472535683423757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-2.4106504050847661</v>
      </c>
      <c r="DA41" s="408">
        <v>0</v>
      </c>
      <c r="DB41" s="408">
        <v>0</v>
      </c>
      <c r="DC41" s="408">
        <v>-2.6855946089199279E-7</v>
      </c>
      <c r="DD41" s="408">
        <v>0</v>
      </c>
      <c r="DE41" s="408">
        <v>0</v>
      </c>
      <c r="DF41" s="408">
        <v>0</v>
      </c>
      <c r="DG41" s="408">
        <v>-3.7047698242531624E-8</v>
      </c>
      <c r="DH41" s="408">
        <v>0</v>
      </c>
      <c r="DI41" s="408">
        <v>-13.659681493264429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-1.8242678556300831</v>
      </c>
      <c r="DP41" s="408">
        <v>-0.57793562383727703</v>
      </c>
      <c r="DQ41" s="408">
        <v>0</v>
      </c>
      <c r="DR41" s="408">
        <v>0</v>
      </c>
      <c r="DS41" s="408"/>
      <c r="DT41" s="408"/>
      <c r="DU41" s="408"/>
      <c r="DV41" s="408">
        <v>3850.5721135565527</v>
      </c>
      <c r="DW41" s="408">
        <v>0</v>
      </c>
      <c r="DX41" s="408">
        <v>0</v>
      </c>
      <c r="DY41" s="408">
        <v>-2379.4375499999996</v>
      </c>
      <c r="DZ41" s="408">
        <v>0</v>
      </c>
      <c r="EA41" s="408">
        <v>0</v>
      </c>
      <c r="EB41" s="408">
        <v>0</v>
      </c>
      <c r="EC41" s="408">
        <v>-2360.9595076233509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265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43</v>
      </c>
      <c r="B42" s="408" t="s">
        <v>1031</v>
      </c>
      <c r="C42" s="408" t="s">
        <v>2227</v>
      </c>
      <c r="D42" s="408" t="s">
        <v>2237</v>
      </c>
      <c r="E42" s="408" t="s">
        <v>969</v>
      </c>
      <c r="F42" s="408" t="s">
        <v>2245</v>
      </c>
      <c r="G42" s="408" t="s">
        <v>2246</v>
      </c>
      <c r="H42" s="408" t="s">
        <v>1317</v>
      </c>
      <c r="I42" s="408" t="s">
        <v>1317</v>
      </c>
      <c r="J42" s="408" t="s">
        <v>2228</v>
      </c>
      <c r="K42" s="828">
        <v>44378</v>
      </c>
      <c r="L42" s="408">
        <v>0</v>
      </c>
      <c r="M42" s="408">
        <v>0</v>
      </c>
      <c r="N42" s="408">
        <v>0</v>
      </c>
      <c r="O42" s="408">
        <v>0</v>
      </c>
      <c r="P42" s="408">
        <v>0</v>
      </c>
      <c r="Q42" s="408">
        <v>0</v>
      </c>
      <c r="R42" s="408"/>
      <c r="S42" s="408"/>
      <c r="T42" s="408"/>
      <c r="U42" s="408"/>
      <c r="V42" s="408"/>
      <c r="W42" s="408"/>
      <c r="X42" s="408"/>
      <c r="Y42" s="408"/>
      <c r="Z42" s="408"/>
      <c r="AA42" s="408">
        <v>0</v>
      </c>
      <c r="AB42" s="408"/>
      <c r="AC42" s="408"/>
      <c r="AD42" s="408"/>
      <c r="AE42" s="408"/>
      <c r="AF42" s="408"/>
      <c r="AG42" s="408"/>
      <c r="AH42" s="408"/>
      <c r="AI42" s="408"/>
      <c r="AJ42" s="408"/>
      <c r="AK42" s="408"/>
      <c r="AL42" s="408"/>
      <c r="AM42" s="408"/>
      <c r="AN42" s="408"/>
      <c r="AO42" s="408"/>
      <c r="AP42" s="408"/>
      <c r="AQ42" s="408"/>
      <c r="AR42" s="408"/>
      <c r="AS42" s="408"/>
      <c r="AT42" s="408"/>
      <c r="AU42" s="408"/>
      <c r="AV42" s="408"/>
      <c r="AW42" s="408"/>
      <c r="AX42" s="408"/>
      <c r="AY42" s="408"/>
      <c r="AZ42" s="408">
        <v>0</v>
      </c>
      <c r="BA42" s="408"/>
      <c r="BB42" s="408"/>
      <c r="BC42" s="408"/>
      <c r="BD42" s="408"/>
      <c r="BE42" s="408"/>
      <c r="BF42" s="408"/>
      <c r="BG42" s="408"/>
      <c r="BH42" s="408"/>
      <c r="BI42" s="408">
        <v>0</v>
      </c>
      <c r="BJ42" s="408">
        <v>0</v>
      </c>
      <c r="BK42" s="408">
        <v>164.1</v>
      </c>
      <c r="BL42" s="408">
        <v>18</v>
      </c>
      <c r="BM42" s="408"/>
      <c r="BN42" s="408"/>
      <c r="BO42" s="408"/>
      <c r="BP42" s="408"/>
      <c r="BQ42" s="408"/>
      <c r="BR42" s="408"/>
      <c r="BS42" s="408"/>
      <c r="BT42" s="408"/>
      <c r="BU42" s="408"/>
      <c r="BV42" s="408"/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/>
      <c r="CJ42" s="408">
        <v>-0.03</v>
      </c>
      <c r="CK42" s="408"/>
      <c r="CL42" s="408"/>
      <c r="CM42" s="408"/>
      <c r="CN42" s="408"/>
      <c r="CO42" s="408">
        <v>0</v>
      </c>
      <c r="CP42" s="408">
        <v>0</v>
      </c>
      <c r="CQ42" s="408">
        <v>31</v>
      </c>
      <c r="CR42" s="408"/>
      <c r="CS42" s="408"/>
      <c r="CT42" s="408"/>
      <c r="CU42" s="408"/>
      <c r="CV42" s="408"/>
      <c r="CW42" s="408"/>
      <c r="CX42" s="408"/>
      <c r="CY42" s="408"/>
      <c r="CZ42" s="408"/>
      <c r="DA42" s="408"/>
      <c r="DB42" s="408"/>
      <c r="DC42" s="408"/>
      <c r="DD42" s="408"/>
      <c r="DE42" s="408"/>
      <c r="DF42" s="408"/>
      <c r="DG42" s="408"/>
      <c r="DH42" s="408"/>
      <c r="DI42" s="408"/>
      <c r="DJ42" s="408"/>
      <c r="DK42" s="408">
        <v>0</v>
      </c>
      <c r="DL42" s="408"/>
      <c r="DM42" s="408"/>
      <c r="DN42" s="408"/>
      <c r="DO42" s="408"/>
      <c r="DP42" s="408"/>
      <c r="DQ42" s="408"/>
      <c r="DR42" s="408"/>
      <c r="DS42" s="408"/>
      <c r="DT42" s="408"/>
      <c r="DU42" s="408"/>
      <c r="DV42" s="408"/>
      <c r="DW42" s="408"/>
      <c r="DX42" s="408"/>
      <c r="DY42" s="408"/>
      <c r="DZ42" s="408"/>
      <c r="EA42" s="408"/>
      <c r="EB42" s="408"/>
      <c r="EC42" s="408"/>
      <c r="ED42" s="408"/>
      <c r="EE42" s="408"/>
      <c r="EF42" s="408"/>
      <c r="EG42" s="408"/>
      <c r="EH42" s="408"/>
      <c r="EI42" s="408"/>
      <c r="EJ42" s="408"/>
      <c r="EK42" s="408"/>
      <c r="EL42" s="408"/>
      <c r="EM42" s="408"/>
      <c r="EN42" s="408"/>
      <c r="EO42" s="408"/>
      <c r="EP42" s="408"/>
      <c r="EQ42" s="408"/>
      <c r="ER42" s="408"/>
      <c r="ES42" s="408"/>
      <c r="ET42" s="408"/>
      <c r="EU42" s="408"/>
      <c r="EV42" s="408">
        <v>265</v>
      </c>
      <c r="EW42" s="408"/>
      <c r="EX42" s="408"/>
      <c r="EY42" s="408"/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44</v>
      </c>
      <c r="B43" s="408" t="s">
        <v>2230</v>
      </c>
      <c r="C43" s="408" t="s">
        <v>2227</v>
      </c>
      <c r="D43" s="408" t="s">
        <v>2237</v>
      </c>
      <c r="E43" s="408" t="s">
        <v>969</v>
      </c>
      <c r="F43" s="408" t="s">
        <v>2245</v>
      </c>
      <c r="G43" s="408" t="s">
        <v>2246</v>
      </c>
      <c r="H43" s="408" t="s">
        <v>1317</v>
      </c>
      <c r="I43" s="408" t="s">
        <v>1317</v>
      </c>
      <c r="J43" s="408" t="s">
        <v>2228</v>
      </c>
      <c r="K43" s="828">
        <v>44378</v>
      </c>
      <c r="L43" s="408">
        <v>0</v>
      </c>
      <c r="M43" s="408">
        <v>0</v>
      </c>
      <c r="N43" s="408">
        <v>0</v>
      </c>
      <c r="O43" s="408">
        <v>0</v>
      </c>
      <c r="P43" s="408">
        <v>0</v>
      </c>
      <c r="Q43" s="408">
        <v>0</v>
      </c>
      <c r="R43" s="408"/>
      <c r="S43" s="408"/>
      <c r="T43" s="408"/>
      <c r="U43" s="408"/>
      <c r="V43" s="408"/>
      <c r="W43" s="408"/>
      <c r="X43" s="408"/>
      <c r="Y43" s="408"/>
      <c r="Z43" s="408"/>
      <c r="AA43" s="408">
        <v>0</v>
      </c>
      <c r="AB43" s="408"/>
      <c r="AC43" s="408"/>
      <c r="AD43" s="408"/>
      <c r="AE43" s="408"/>
      <c r="AF43" s="408"/>
      <c r="AG43" s="408"/>
      <c r="AH43" s="408"/>
      <c r="AI43" s="408"/>
      <c r="AJ43" s="408"/>
      <c r="AK43" s="408"/>
      <c r="AL43" s="408"/>
      <c r="AM43" s="408"/>
      <c r="AN43" s="408"/>
      <c r="AO43" s="408"/>
      <c r="AP43" s="408"/>
      <c r="AQ43" s="408"/>
      <c r="AR43" s="408"/>
      <c r="AS43" s="408"/>
      <c r="AT43" s="408"/>
      <c r="AU43" s="408"/>
      <c r="AV43" s="408"/>
      <c r="AW43" s="408"/>
      <c r="AX43" s="408"/>
      <c r="AY43" s="408"/>
      <c r="AZ43" s="408">
        <v>0</v>
      </c>
      <c r="BA43" s="408"/>
      <c r="BB43" s="408"/>
      <c r="BC43" s="408"/>
      <c r="BD43" s="408"/>
      <c r="BE43" s="408"/>
      <c r="BF43" s="408"/>
      <c r="BG43" s="408"/>
      <c r="BH43" s="408"/>
      <c r="BI43" s="408">
        <v>0</v>
      </c>
      <c r="BJ43" s="408">
        <v>0</v>
      </c>
      <c r="BK43" s="408">
        <v>18.75</v>
      </c>
      <c r="BL43" s="408">
        <v>2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/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/>
      <c r="CJ43" s="408">
        <v>-0.03</v>
      </c>
      <c r="CK43" s="408"/>
      <c r="CL43" s="408"/>
      <c r="CM43" s="408"/>
      <c r="CN43" s="408"/>
      <c r="CO43" s="408">
        <v>0</v>
      </c>
      <c r="CP43" s="408">
        <v>0</v>
      </c>
      <c r="CQ43" s="408">
        <v>31</v>
      </c>
      <c r="CR43" s="408"/>
      <c r="CS43" s="408"/>
      <c r="CT43" s="408"/>
      <c r="CU43" s="408"/>
      <c r="CV43" s="408"/>
      <c r="CW43" s="408"/>
      <c r="CX43" s="408"/>
      <c r="CY43" s="408"/>
      <c r="CZ43" s="408"/>
      <c r="DA43" s="408"/>
      <c r="DB43" s="408"/>
      <c r="DC43" s="408"/>
      <c r="DD43" s="408"/>
      <c r="DE43" s="408"/>
      <c r="DF43" s="408"/>
      <c r="DG43" s="408"/>
      <c r="DH43" s="408"/>
      <c r="DI43" s="408"/>
      <c r="DJ43" s="408"/>
      <c r="DK43" s="408">
        <v>0</v>
      </c>
      <c r="DL43" s="408"/>
      <c r="DM43" s="408"/>
      <c r="DN43" s="408"/>
      <c r="DO43" s="408"/>
      <c r="DP43" s="408"/>
      <c r="DQ43" s="408"/>
      <c r="DR43" s="408"/>
      <c r="DS43" s="408"/>
      <c r="DT43" s="408"/>
      <c r="DU43" s="408"/>
      <c r="DV43" s="408"/>
      <c r="DW43" s="408"/>
      <c r="DX43" s="408"/>
      <c r="DY43" s="408"/>
      <c r="DZ43" s="408"/>
      <c r="EA43" s="408"/>
      <c r="EB43" s="408"/>
      <c r="EC43" s="408"/>
      <c r="ED43" s="408"/>
      <c r="EE43" s="408"/>
      <c r="EF43" s="408"/>
      <c r="EG43" s="408"/>
      <c r="EH43" s="408"/>
      <c r="EI43" s="408"/>
      <c r="EJ43" s="408"/>
      <c r="EK43" s="408"/>
      <c r="EL43" s="408"/>
      <c r="EM43" s="408"/>
      <c r="EN43" s="408"/>
      <c r="EO43" s="408"/>
      <c r="EP43" s="408"/>
      <c r="EQ43" s="408"/>
      <c r="ER43" s="408"/>
      <c r="ES43" s="408"/>
      <c r="ET43" s="408"/>
      <c r="EU43" s="408"/>
      <c r="EV43" s="408">
        <v>265</v>
      </c>
      <c r="EW43" s="408"/>
      <c r="EX43" s="408"/>
      <c r="EY43" s="408"/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45</v>
      </c>
      <c r="B44" s="408" t="s">
        <v>1031</v>
      </c>
      <c r="C44" s="408" t="s">
        <v>2227</v>
      </c>
      <c r="D44" s="408" t="s">
        <v>2237</v>
      </c>
      <c r="E44" s="408" t="s">
        <v>969</v>
      </c>
      <c r="F44" s="408" t="s">
        <v>2245</v>
      </c>
      <c r="G44" s="408" t="s">
        <v>2246</v>
      </c>
      <c r="H44" s="408" t="s">
        <v>1317</v>
      </c>
      <c r="I44" s="408" t="s">
        <v>1317</v>
      </c>
      <c r="J44" s="408" t="s">
        <v>2228</v>
      </c>
      <c r="K44" s="828">
        <v>44378</v>
      </c>
      <c r="L44" s="408">
        <v>0</v>
      </c>
      <c r="M44" s="408">
        <v>0</v>
      </c>
      <c r="N44" s="408">
        <v>4.234</v>
      </c>
      <c r="O44" s="408">
        <v>4.234</v>
      </c>
      <c r="P44" s="408">
        <v>4.234</v>
      </c>
      <c r="Q44" s="408">
        <v>4.234</v>
      </c>
      <c r="R44" s="408"/>
      <c r="S44" s="408">
        <v>739.04</v>
      </c>
      <c r="T44" s="408">
        <v>252.22</v>
      </c>
      <c r="U44" s="408"/>
      <c r="V44" s="408">
        <v>4196.9948399999994</v>
      </c>
      <c r="W44" s="408">
        <v>4196.9948399999994</v>
      </c>
      <c r="X44" s="408">
        <v>2870.5249800000001</v>
      </c>
      <c r="Y44" s="408">
        <v>0</v>
      </c>
      <c r="Z44" s="408">
        <v>261.88626514350142</v>
      </c>
      <c r="AA44" s="408">
        <v>0</v>
      </c>
      <c r="AB44" s="408">
        <v>0</v>
      </c>
      <c r="AC44" s="408">
        <v>0</v>
      </c>
      <c r="AD44" s="408">
        <v>522.88875751465901</v>
      </c>
      <c r="AE44" s="408">
        <v>2146.5862184066418</v>
      </c>
      <c r="AF44" s="408">
        <v>1067.9111974974444</v>
      </c>
      <c r="AG44" s="408">
        <v>0</v>
      </c>
      <c r="AH44" s="408">
        <v>0</v>
      </c>
      <c r="AI44" s="408">
        <v>0</v>
      </c>
      <c r="AJ44" s="408">
        <v>0</v>
      </c>
      <c r="AK44" s="408">
        <v>0</v>
      </c>
      <c r="AL44" s="408">
        <v>40.481397565052909</v>
      </c>
      <c r="AM44" s="408"/>
      <c r="AN44" s="408">
        <v>9.9215260149014135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147.31884586927978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>
        <v>344.43589999999983</v>
      </c>
      <c r="BS44" s="408"/>
      <c r="BT44" s="408"/>
      <c r="BU44" s="408"/>
      <c r="BV44" s="408">
        <v>1215.2300433667242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2523.7026000000005</v>
      </c>
      <c r="CJ44" s="408">
        <v>-1169.6879400000003</v>
      </c>
      <c r="CK44" s="408"/>
      <c r="CL44" s="408"/>
      <c r="CM44" s="408"/>
      <c r="CN44" s="408"/>
      <c r="CO44" s="408">
        <v>-1326.4698599999999</v>
      </c>
      <c r="CP44" s="408">
        <v>0</v>
      </c>
      <c r="CQ44" s="408">
        <v>31</v>
      </c>
      <c r="CR44" s="408">
        <v>-10.297921801661005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-1.3438701534073516</v>
      </c>
      <c r="DA44" s="408">
        <v>0</v>
      </c>
      <c r="DB44" s="408">
        <v>0</v>
      </c>
      <c r="DC44" s="408">
        <v>-1.4971419659559615E-7</v>
      </c>
      <c r="DD44" s="408">
        <v>0</v>
      </c>
      <c r="DE44" s="408">
        <v>0</v>
      </c>
      <c r="DF44" s="408">
        <v>0</v>
      </c>
      <c r="DG44" s="408">
        <v>-2.0653061483244528E-8</v>
      </c>
      <c r="DH44" s="408">
        <v>0</v>
      </c>
      <c r="DI44" s="408">
        <v>-7.6148902491746639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-1.01697828844474</v>
      </c>
      <c r="DP44" s="408">
        <v>-0.32218294026689165</v>
      </c>
      <c r="DQ44" s="408">
        <v>0</v>
      </c>
      <c r="DR44" s="408">
        <v>0</v>
      </c>
      <c r="DS44" s="408"/>
      <c r="DT44" s="408"/>
      <c r="DU44" s="408"/>
      <c r="DV44" s="408">
        <v>2146.5862184066418</v>
      </c>
      <c r="DW44" s="408">
        <v>0</v>
      </c>
      <c r="DX44" s="408">
        <v>0</v>
      </c>
      <c r="DY44" s="408">
        <v>-1326.4698599999997</v>
      </c>
      <c r="DZ44" s="408">
        <v>0</v>
      </c>
      <c r="EA44" s="408">
        <v>0</v>
      </c>
      <c r="EB44" s="408">
        <v>0</v>
      </c>
      <c r="EC44" s="408">
        <v>-1316.1688683709372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265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46</v>
      </c>
      <c r="B45" s="408" t="s">
        <v>2230</v>
      </c>
      <c r="C45" s="408" t="s">
        <v>2227</v>
      </c>
      <c r="D45" s="408" t="s">
        <v>2237</v>
      </c>
      <c r="E45" s="408" t="s">
        <v>969</v>
      </c>
      <c r="F45" s="408" t="s">
        <v>2245</v>
      </c>
      <c r="G45" s="408" t="s">
        <v>2246</v>
      </c>
      <c r="H45" s="408" t="s">
        <v>1317</v>
      </c>
      <c r="I45" s="408" t="s">
        <v>1317</v>
      </c>
      <c r="J45" s="408" t="s">
        <v>2228</v>
      </c>
      <c r="K45" s="828">
        <v>44378</v>
      </c>
      <c r="L45" s="408">
        <v>0</v>
      </c>
      <c r="M45" s="408">
        <v>0</v>
      </c>
      <c r="N45" s="408">
        <v>0.04</v>
      </c>
      <c r="O45" s="408">
        <v>0.04</v>
      </c>
      <c r="P45" s="408">
        <v>0.04</v>
      </c>
      <c r="Q45" s="408">
        <v>0.04</v>
      </c>
      <c r="R45" s="408"/>
      <c r="S45" s="408">
        <v>739.04</v>
      </c>
      <c r="T45" s="408">
        <v>252.22</v>
      </c>
      <c r="U45" s="408"/>
      <c r="V45" s="408">
        <v>39.650399999999998</v>
      </c>
      <c r="W45" s="408">
        <v>39.650399999999998</v>
      </c>
      <c r="X45" s="408">
        <v>27.1188</v>
      </c>
      <c r="Y45" s="408">
        <v>0</v>
      </c>
      <c r="Z45" s="408">
        <v>2.4741262649362441</v>
      </c>
      <c r="AA45" s="408">
        <v>0</v>
      </c>
      <c r="AB45" s="408">
        <v>0</v>
      </c>
      <c r="AC45" s="408">
        <v>0</v>
      </c>
      <c r="AD45" s="408">
        <v>4.9399032358493997</v>
      </c>
      <c r="AE45" s="408">
        <v>20.279510802141161</v>
      </c>
      <c r="AF45" s="408">
        <v>10.08891069907836</v>
      </c>
      <c r="AG45" s="408">
        <v>0</v>
      </c>
      <c r="AH45" s="408">
        <v>0</v>
      </c>
      <c r="AI45" s="408">
        <v>0</v>
      </c>
      <c r="AJ45" s="408">
        <v>0</v>
      </c>
      <c r="AK45" s="408">
        <v>0</v>
      </c>
      <c r="AL45" s="408">
        <v>0.3824411673599708</v>
      </c>
      <c r="AM45" s="408"/>
      <c r="AN45" s="408">
        <v>9.3731941567325588E-2</v>
      </c>
      <c r="AO45" s="408">
        <v>0</v>
      </c>
      <c r="AP45" s="408">
        <v>0</v>
      </c>
      <c r="AQ45" s="408">
        <v>0</v>
      </c>
      <c r="AR45" s="408">
        <v>0</v>
      </c>
      <c r="AS45" s="408">
        <v>0</v>
      </c>
      <c r="AT45" s="408">
        <v>0</v>
      </c>
      <c r="AU45" s="408">
        <v>0</v>
      </c>
      <c r="AV45" s="408">
        <v>0</v>
      </c>
      <c r="AW45" s="408">
        <v>0</v>
      </c>
      <c r="AX45" s="408">
        <v>0</v>
      </c>
      <c r="AY45" s="408">
        <v>0</v>
      </c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>
        <v>0</v>
      </c>
      <c r="BG45" s="408">
        <v>1.3917699184627281</v>
      </c>
      <c r="BH45" s="408">
        <v>0</v>
      </c>
      <c r="BI45" s="408">
        <v>0</v>
      </c>
      <c r="BJ45" s="408">
        <v>0</v>
      </c>
      <c r="BK45" s="408">
        <v>0</v>
      </c>
      <c r="BL45" s="408">
        <v>0</v>
      </c>
      <c r="BM45" s="408"/>
      <c r="BN45" s="408"/>
      <c r="BO45" s="408"/>
      <c r="BP45" s="408"/>
      <c r="BQ45" s="408"/>
      <c r="BR45" s="408">
        <v>3.2539999999999987</v>
      </c>
      <c r="BS45" s="408"/>
      <c r="BT45" s="408"/>
      <c r="BU45" s="408"/>
      <c r="BV45" s="408">
        <v>11.480680617541088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23.864800000000002</v>
      </c>
      <c r="CJ45" s="408">
        <v>-11.057600000000001</v>
      </c>
      <c r="CK45" s="408"/>
      <c r="CL45" s="408"/>
      <c r="CM45" s="408"/>
      <c r="CN45" s="408"/>
      <c r="CO45" s="408">
        <v>-12.531599999999999</v>
      </c>
      <c r="CP45" s="408">
        <v>0</v>
      </c>
      <c r="CQ45" s="408">
        <v>31</v>
      </c>
      <c r="CR45" s="408">
        <v>-9.7287877200386674E-2</v>
      </c>
      <c r="CS45" s="408">
        <v>0</v>
      </c>
      <c r="CT45" s="408">
        <v>0</v>
      </c>
      <c r="CU45" s="408">
        <v>0</v>
      </c>
      <c r="CV45" s="408">
        <v>0</v>
      </c>
      <c r="CW45" s="408">
        <v>0</v>
      </c>
      <c r="CX45" s="408">
        <v>0</v>
      </c>
      <c r="CY45" s="408">
        <v>0</v>
      </c>
      <c r="CZ45" s="408">
        <v>-1.2695986333559617E-2</v>
      </c>
      <c r="DA45" s="408">
        <v>0</v>
      </c>
      <c r="DB45" s="408">
        <v>0</v>
      </c>
      <c r="DC45" s="408">
        <v>-1.4143992643766978E-9</v>
      </c>
      <c r="DD45" s="408">
        <v>0</v>
      </c>
      <c r="DE45" s="408">
        <v>0</v>
      </c>
      <c r="DF45" s="408">
        <v>0</v>
      </c>
      <c r="DG45" s="408">
        <v>-1.9511614546274814E-10</v>
      </c>
      <c r="DH45" s="408">
        <v>0</v>
      </c>
      <c r="DI45" s="408">
        <v>-7.1940389694611806E-2</v>
      </c>
      <c r="DJ45" s="408"/>
      <c r="DK45" s="408">
        <v>0</v>
      </c>
      <c r="DL45" s="408">
        <v>0</v>
      </c>
      <c r="DM45" s="408">
        <v>0</v>
      </c>
      <c r="DN45" s="408">
        <v>0</v>
      </c>
      <c r="DO45" s="408">
        <v>-9.6077306418964059E-3</v>
      </c>
      <c r="DP45" s="408">
        <v>-3.0437689208019925E-3</v>
      </c>
      <c r="DQ45" s="408">
        <v>0</v>
      </c>
      <c r="DR45" s="408">
        <v>0</v>
      </c>
      <c r="DS45" s="408"/>
      <c r="DT45" s="408"/>
      <c r="DU45" s="408"/>
      <c r="DV45" s="408">
        <v>20.279510802141161</v>
      </c>
      <c r="DW45" s="408">
        <v>0</v>
      </c>
      <c r="DX45" s="408">
        <v>0</v>
      </c>
      <c r="DY45" s="408">
        <v>-12.531599999999997</v>
      </c>
      <c r="DZ45" s="408">
        <v>0</v>
      </c>
      <c r="EA45" s="408">
        <v>0</v>
      </c>
      <c r="EB45" s="408">
        <v>0</v>
      </c>
      <c r="EC45" s="408">
        <v>-12.434283121123642</v>
      </c>
      <c r="ED45" s="408">
        <v>0</v>
      </c>
      <c r="EE45" s="408">
        <v>0</v>
      </c>
      <c r="EF45" s="408">
        <v>0</v>
      </c>
      <c r="EG45" s="408">
        <v>0</v>
      </c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>
        <v>0</v>
      </c>
      <c r="EN45" s="408">
        <v>0</v>
      </c>
      <c r="EO45" s="408">
        <v>0</v>
      </c>
      <c r="EP45" s="408">
        <v>0</v>
      </c>
      <c r="EQ45" s="408">
        <v>0</v>
      </c>
      <c r="ER45" s="408">
        <v>0</v>
      </c>
      <c r="ES45" s="408">
        <v>0</v>
      </c>
      <c r="ET45" s="408">
        <v>0</v>
      </c>
      <c r="EU45" s="408">
        <v>0</v>
      </c>
      <c r="EV45" s="408">
        <v>265</v>
      </c>
      <c r="EW45" s="408">
        <v>0</v>
      </c>
      <c r="EX45" s="408">
        <v>0</v>
      </c>
      <c r="EY45" s="408">
        <v>0</v>
      </c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47</v>
      </c>
      <c r="B46" s="408" t="s">
        <v>1031</v>
      </c>
      <c r="C46" s="408" t="s">
        <v>2227</v>
      </c>
      <c r="D46" s="408" t="s">
        <v>2237</v>
      </c>
      <c r="E46" s="408" t="s">
        <v>969</v>
      </c>
      <c r="F46" s="408" t="s">
        <v>2245</v>
      </c>
      <c r="G46" s="408" t="s">
        <v>2247</v>
      </c>
      <c r="H46" s="408" t="s">
        <v>1317</v>
      </c>
      <c r="I46" s="408" t="s">
        <v>1317</v>
      </c>
      <c r="J46" s="408" t="s">
        <v>2228</v>
      </c>
      <c r="K46" s="828">
        <v>44378</v>
      </c>
      <c r="L46" s="408">
        <v>0</v>
      </c>
      <c r="M46" s="408">
        <v>0</v>
      </c>
      <c r="N46" s="408">
        <v>0.55600000000000005</v>
      </c>
      <c r="O46" s="408">
        <v>0.22239999999999999</v>
      </c>
      <c r="P46" s="408">
        <v>0.55600000000000005</v>
      </c>
      <c r="Q46" s="408">
        <v>0.22239999999999999</v>
      </c>
      <c r="R46" s="408"/>
      <c r="S46" s="408">
        <v>739.04</v>
      </c>
      <c r="T46" s="408">
        <v>252.22</v>
      </c>
      <c r="U46" s="408"/>
      <c r="V46" s="408">
        <v>551.14056000000005</v>
      </c>
      <c r="W46" s="408">
        <v>551.14056000000005</v>
      </c>
      <c r="X46" s="408">
        <v>376.95132000000001</v>
      </c>
      <c r="Y46" s="408">
        <v>0</v>
      </c>
      <c r="Z46" s="408">
        <v>34.390355082613794</v>
      </c>
      <c r="AA46" s="408">
        <v>0</v>
      </c>
      <c r="AB46" s="408">
        <v>0</v>
      </c>
      <c r="AC46" s="408">
        <v>0</v>
      </c>
      <c r="AD46" s="408">
        <v>68.664654978306658</v>
      </c>
      <c r="AE46" s="408">
        <v>281.88520014976217</v>
      </c>
      <c r="AF46" s="408">
        <v>140.23585871718922</v>
      </c>
      <c r="AG46" s="408">
        <v>0</v>
      </c>
      <c r="AH46" s="408">
        <v>0</v>
      </c>
      <c r="AI46" s="408">
        <v>0</v>
      </c>
      <c r="AJ46" s="408">
        <v>0</v>
      </c>
      <c r="AK46" s="408">
        <v>0</v>
      </c>
      <c r="AL46" s="408">
        <v>5.3159322263035946</v>
      </c>
      <c r="AM46" s="408"/>
      <c r="AN46" s="408">
        <v>1.3028739877858257</v>
      </c>
      <c r="AO46" s="408">
        <v>0</v>
      </c>
      <c r="AP46" s="408">
        <v>0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>
        <v>0</v>
      </c>
      <c r="BG46" s="408">
        <v>19.345601866631924</v>
      </c>
      <c r="BH46" s="408">
        <v>0</v>
      </c>
      <c r="BI46" s="408">
        <v>0</v>
      </c>
      <c r="BJ46" s="408">
        <v>0</v>
      </c>
      <c r="BK46" s="408">
        <v>0</v>
      </c>
      <c r="BL46" s="408">
        <v>0</v>
      </c>
      <c r="BM46" s="408"/>
      <c r="BN46" s="408"/>
      <c r="BO46" s="408"/>
      <c r="BP46" s="408"/>
      <c r="BQ46" s="408"/>
      <c r="BR46" s="408"/>
      <c r="BS46" s="408">
        <v>244.26303200000001</v>
      </c>
      <c r="BT46" s="408"/>
      <c r="BU46" s="408"/>
      <c r="BV46" s="408">
        <v>159.58146058382113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131.25640000000001</v>
      </c>
      <c r="CJ46" s="408">
        <v>-62.775343999999933</v>
      </c>
      <c r="CK46" s="408"/>
      <c r="CL46" s="408"/>
      <c r="CM46" s="408"/>
      <c r="CN46" s="408"/>
      <c r="CO46" s="408">
        <v>-174.18923999999998</v>
      </c>
      <c r="CP46" s="408">
        <v>0</v>
      </c>
      <c r="CQ46" s="408">
        <v>31</v>
      </c>
      <c r="CR46" s="408">
        <v>-1.3523014930852923</v>
      </c>
      <c r="CS46" s="408">
        <v>0</v>
      </c>
      <c r="CT46" s="408">
        <v>0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-0.17647421003647423</v>
      </c>
      <c r="DA46" s="408">
        <v>0</v>
      </c>
      <c r="DB46" s="408">
        <v>0</v>
      </c>
      <c r="DC46" s="408">
        <v>-1.9660177486002794E-8</v>
      </c>
      <c r="DD46" s="408">
        <v>0</v>
      </c>
      <c r="DE46" s="408">
        <v>0</v>
      </c>
      <c r="DF46" s="408">
        <v>0</v>
      </c>
      <c r="DG46" s="408">
        <v>-2.7121167534005508E-9</v>
      </c>
      <c r="DH46" s="408">
        <v>0</v>
      </c>
      <c r="DI46" s="408">
        <v>-0.99997141675510193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-0.13354745592236039</v>
      </c>
      <c r="DP46" s="408">
        <v>-4.2308387999147712E-2</v>
      </c>
      <c r="DQ46" s="408">
        <v>0</v>
      </c>
      <c r="DR46" s="408">
        <v>0</v>
      </c>
      <c r="DS46" s="408"/>
      <c r="DT46" s="408"/>
      <c r="DU46" s="408"/>
      <c r="DV46" s="408">
        <v>281.88520014976217</v>
      </c>
      <c r="DW46" s="408">
        <v>0</v>
      </c>
      <c r="DX46" s="408">
        <v>0</v>
      </c>
      <c r="DY46" s="408">
        <v>-174.18924000000001</v>
      </c>
      <c r="DZ46" s="408">
        <v>0</v>
      </c>
      <c r="EA46" s="408">
        <v>0</v>
      </c>
      <c r="EB46" s="408">
        <v>0</v>
      </c>
      <c r="EC46" s="408">
        <v>-172.83653538361864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265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48</v>
      </c>
      <c r="B47" s="408" t="s">
        <v>2230</v>
      </c>
      <c r="C47" s="408" t="s">
        <v>2227</v>
      </c>
      <c r="D47" s="408" t="s">
        <v>2237</v>
      </c>
      <c r="E47" s="408" t="s">
        <v>969</v>
      </c>
      <c r="F47" s="408" t="s">
        <v>2245</v>
      </c>
      <c r="G47" s="408" t="s">
        <v>2247</v>
      </c>
      <c r="H47" s="408" t="s">
        <v>1317</v>
      </c>
      <c r="I47" s="408" t="s">
        <v>1317</v>
      </c>
      <c r="J47" s="408" t="s">
        <v>2228</v>
      </c>
      <c r="K47" s="828">
        <v>44378</v>
      </c>
      <c r="L47" s="408">
        <v>0</v>
      </c>
      <c r="M47" s="408">
        <v>0</v>
      </c>
      <c r="N47" s="408">
        <v>0.247</v>
      </c>
      <c r="O47" s="408">
        <v>0.247</v>
      </c>
      <c r="P47" s="408">
        <v>0.247</v>
      </c>
      <c r="Q47" s="408">
        <v>0.247</v>
      </c>
      <c r="R47" s="408"/>
      <c r="S47" s="408">
        <v>739.04</v>
      </c>
      <c r="T47" s="408">
        <v>252.22</v>
      </c>
      <c r="U47" s="408"/>
      <c r="V47" s="408">
        <v>244.84121999999999</v>
      </c>
      <c r="W47" s="408">
        <v>244.84121999999999</v>
      </c>
      <c r="X47" s="408">
        <v>167.45859000000002</v>
      </c>
      <c r="Y47" s="408">
        <v>0</v>
      </c>
      <c r="Z47" s="408">
        <v>15.277729685981306</v>
      </c>
      <c r="AA47" s="408">
        <v>0</v>
      </c>
      <c r="AB47" s="408">
        <v>0</v>
      </c>
      <c r="AC47" s="408">
        <v>0</v>
      </c>
      <c r="AD47" s="408">
        <v>30.503902481370044</v>
      </c>
      <c r="AE47" s="408">
        <v>125.22597920322167</v>
      </c>
      <c r="AF47" s="408">
        <v>62.299023566808877</v>
      </c>
      <c r="AG47" s="408">
        <v>0</v>
      </c>
      <c r="AH47" s="408">
        <v>0</v>
      </c>
      <c r="AI47" s="408">
        <v>0</v>
      </c>
      <c r="AJ47" s="408">
        <v>0</v>
      </c>
      <c r="AK47" s="408">
        <v>0</v>
      </c>
      <c r="AL47" s="408">
        <v>2.36157420844782</v>
      </c>
      <c r="AM47" s="408"/>
      <c r="AN47" s="408">
        <v>0.57879473917823554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8.5941792465073465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>
        <v>20.09344999999999</v>
      </c>
      <c r="BS47" s="408"/>
      <c r="BT47" s="408"/>
      <c r="BU47" s="408"/>
      <c r="BV47" s="408">
        <v>70.893202813316222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149.155</v>
      </c>
      <c r="CJ47" s="408">
        <v>-66.335569999999962</v>
      </c>
      <c r="CK47" s="408"/>
      <c r="CL47" s="408"/>
      <c r="CM47" s="408"/>
      <c r="CN47" s="408"/>
      <c r="CO47" s="408">
        <v>-77.382629999999992</v>
      </c>
      <c r="CP47" s="408">
        <v>0</v>
      </c>
      <c r="CQ47" s="408">
        <v>31</v>
      </c>
      <c r="CR47" s="408">
        <v>-0.60075264171241827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-7.8397715609735741E-2</v>
      </c>
      <c r="DA47" s="408">
        <v>0</v>
      </c>
      <c r="DB47" s="408">
        <v>0</v>
      </c>
      <c r="DC47" s="408">
        <v>-8.7339273591169331E-9</v>
      </c>
      <c r="DD47" s="408">
        <v>0</v>
      </c>
      <c r="DE47" s="408">
        <v>0</v>
      </c>
      <c r="DF47" s="408">
        <v>0</v>
      </c>
      <c r="DG47" s="408">
        <v>-1.2048424480326503E-9</v>
      </c>
      <c r="DH47" s="408">
        <v>0</v>
      </c>
      <c r="DI47" s="408">
        <v>-0.44423190636422838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-5.932773671371061E-2</v>
      </c>
      <c r="DP47" s="408">
        <v>-1.8795273085952302E-2</v>
      </c>
      <c r="DQ47" s="408">
        <v>0</v>
      </c>
      <c r="DR47" s="408">
        <v>0</v>
      </c>
      <c r="DS47" s="408"/>
      <c r="DT47" s="408"/>
      <c r="DU47" s="408"/>
      <c r="DV47" s="408">
        <v>125.22597920322167</v>
      </c>
      <c r="DW47" s="408">
        <v>0</v>
      </c>
      <c r="DX47" s="408">
        <v>0</v>
      </c>
      <c r="DY47" s="408">
        <v>-77.382629999999992</v>
      </c>
      <c r="DZ47" s="408">
        <v>0</v>
      </c>
      <c r="EA47" s="408">
        <v>0</v>
      </c>
      <c r="EB47" s="408">
        <v>0</v>
      </c>
      <c r="EC47" s="408">
        <v>-76.781698272938485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265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49</v>
      </c>
      <c r="B48" s="408" t="s">
        <v>1031</v>
      </c>
      <c r="C48" s="408" t="s">
        <v>2235</v>
      </c>
      <c r="D48" s="408" t="s">
        <v>596</v>
      </c>
      <c r="E48" s="408" t="s">
        <v>969</v>
      </c>
      <c r="F48" s="408" t="s">
        <v>2245</v>
      </c>
      <c r="G48" s="408" t="s">
        <v>1317</v>
      </c>
      <c r="H48" s="408" t="s">
        <v>1317</v>
      </c>
      <c r="I48" s="408" t="s">
        <v>968</v>
      </c>
      <c r="J48" s="408" t="s">
        <v>2228</v>
      </c>
      <c r="K48" s="828">
        <v>44378</v>
      </c>
      <c r="L48" s="408">
        <v>0</v>
      </c>
      <c r="M48" s="408">
        <v>0</v>
      </c>
      <c r="N48" s="408">
        <v>4.1559999999999997</v>
      </c>
      <c r="O48" s="408">
        <v>3.9897599999999995</v>
      </c>
      <c r="P48" s="408">
        <v>4.1559999999999997</v>
      </c>
      <c r="Q48" s="408">
        <v>3.9897599999999995</v>
      </c>
      <c r="R48" s="408"/>
      <c r="S48" s="408">
        <v>2641.06</v>
      </c>
      <c r="T48" s="408">
        <v>252.22</v>
      </c>
      <c r="U48" s="408"/>
      <c r="V48" s="408">
        <v>12024.471679999999</v>
      </c>
      <c r="W48" s="408">
        <v>12024.471679999999</v>
      </c>
      <c r="X48" s="408">
        <v>7137.2650399999984</v>
      </c>
      <c r="Y48" s="408">
        <v>0</v>
      </c>
      <c r="Z48" s="408">
        <v>223.64369546638187</v>
      </c>
      <c r="AA48" s="408">
        <v>0</v>
      </c>
      <c r="AB48" s="408">
        <v>0</v>
      </c>
      <c r="AC48" s="408">
        <v>0</v>
      </c>
      <c r="AD48" s="408">
        <v>2692.1196126810687</v>
      </c>
      <c r="AE48" s="408">
        <v>7946.6474559501967</v>
      </c>
      <c r="AF48" s="408">
        <v>1048.2378216342415</v>
      </c>
      <c r="AG48" s="408">
        <v>0</v>
      </c>
      <c r="AH48" s="408">
        <v>0</v>
      </c>
      <c r="AI48" s="408">
        <v>0</v>
      </c>
      <c r="AJ48" s="408">
        <v>0</v>
      </c>
      <c r="AK48" s="408">
        <v>0</v>
      </c>
      <c r="AL48" s="408">
        <v>39.735637288700964</v>
      </c>
      <c r="AM48" s="408"/>
      <c r="AN48" s="408">
        <v>9.9989459080274745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64.097328328248992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>
        <v>285.49060160000028</v>
      </c>
      <c r="BS48" s="408"/>
      <c r="BT48" s="408"/>
      <c r="BU48" s="408"/>
      <c r="BV48" s="408">
        <v>1112.3351499624905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6852.1866</v>
      </c>
      <c r="CJ48" s="408">
        <v>-4691.3362127999981</v>
      </c>
      <c r="CK48" s="408"/>
      <c r="CL48" s="408"/>
      <c r="CM48" s="408"/>
      <c r="CN48" s="408"/>
      <c r="CO48" s="408">
        <v>-4887.2066399999994</v>
      </c>
      <c r="CP48" s="408">
        <v>0</v>
      </c>
      <c r="CQ48" s="408">
        <v>31</v>
      </c>
      <c r="CR48" s="408">
        <v>-14.744832499177846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-6.9189844778547922</v>
      </c>
      <c r="DA48" s="408">
        <v>0</v>
      </c>
      <c r="DB48" s="408">
        <v>0</v>
      </c>
      <c r="DC48" s="408">
        <v>-1.4695615391246974E-7</v>
      </c>
      <c r="DD48" s="408">
        <v>0</v>
      </c>
      <c r="DE48" s="408">
        <v>0</v>
      </c>
      <c r="DF48" s="408">
        <v>0</v>
      </c>
      <c r="DG48" s="408">
        <v>-8.986091870610835E-9</v>
      </c>
      <c r="DH48" s="408">
        <v>0</v>
      </c>
      <c r="DI48" s="408">
        <v>-6.502907645665033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-0.99824321369303703</v>
      </c>
      <c r="DP48" s="408">
        <v>-0.32469700602303675</v>
      </c>
      <c r="DQ48" s="408">
        <v>0</v>
      </c>
      <c r="DR48" s="408">
        <v>0</v>
      </c>
      <c r="DS48" s="408"/>
      <c r="DT48" s="408"/>
      <c r="DU48" s="408"/>
      <c r="DV48" s="408">
        <v>7946.6474559501967</v>
      </c>
      <c r="DW48" s="408">
        <v>0</v>
      </c>
      <c r="DX48" s="408">
        <v>0</v>
      </c>
      <c r="DY48" s="408">
        <v>-4887.2066400000003</v>
      </c>
      <c r="DZ48" s="408">
        <v>0</v>
      </c>
      <c r="EA48" s="408">
        <v>0</v>
      </c>
      <c r="EB48" s="408">
        <v>0</v>
      </c>
      <c r="EC48" s="408">
        <v>-4872.4481223979492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265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50</v>
      </c>
      <c r="B49" s="408" t="s">
        <v>1031</v>
      </c>
      <c r="C49" s="408" t="s">
        <v>2235</v>
      </c>
      <c r="D49" s="408" t="s">
        <v>596</v>
      </c>
      <c r="E49" s="408" t="s">
        <v>969</v>
      </c>
      <c r="F49" s="408" t="s">
        <v>2245</v>
      </c>
      <c r="G49" s="408" t="s">
        <v>1317</v>
      </c>
      <c r="H49" s="408" t="s">
        <v>1317</v>
      </c>
      <c r="I49" s="408" t="s">
        <v>2236</v>
      </c>
      <c r="J49" s="408" t="s">
        <v>2228</v>
      </c>
      <c r="K49" s="828">
        <v>44378</v>
      </c>
      <c r="L49" s="408">
        <v>0</v>
      </c>
      <c r="M49" s="408">
        <v>0</v>
      </c>
      <c r="N49" s="408">
        <v>30.774000000000001</v>
      </c>
      <c r="O49" s="408">
        <v>29.543040000000001</v>
      </c>
      <c r="P49" s="408">
        <v>30.774000000000001</v>
      </c>
      <c r="Q49" s="408">
        <v>29.543040000000001</v>
      </c>
      <c r="R49" s="408"/>
      <c r="S49" s="408">
        <v>81.2</v>
      </c>
      <c r="T49" s="408">
        <v>252.22</v>
      </c>
      <c r="U49" s="408"/>
      <c r="V49" s="408">
        <v>10260.667080000001</v>
      </c>
      <c r="W49" s="408">
        <v>10260.667080000001</v>
      </c>
      <c r="X49" s="408">
        <v>10202.811960000001</v>
      </c>
      <c r="Y49" s="408">
        <v>0</v>
      </c>
      <c r="Z49" s="408">
        <v>1656.0180664779684</v>
      </c>
      <c r="AA49" s="408">
        <v>0</v>
      </c>
      <c r="AB49" s="408">
        <v>0</v>
      </c>
      <c r="AC49" s="408">
        <v>0</v>
      </c>
      <c r="AD49" s="408">
        <v>0</v>
      </c>
      <c r="AE49" s="408">
        <v>0</v>
      </c>
      <c r="AF49" s="408">
        <v>7761.9034463359367</v>
      </c>
      <c r="AG49" s="408">
        <v>0</v>
      </c>
      <c r="AH49" s="408">
        <v>0</v>
      </c>
      <c r="AI49" s="408">
        <v>0</v>
      </c>
      <c r="AJ49" s="408">
        <v>0</v>
      </c>
      <c r="AK49" s="408">
        <v>0</v>
      </c>
      <c r="AL49" s="408">
        <v>294.23111210839357</v>
      </c>
      <c r="AM49" s="408"/>
      <c r="AN49" s="408">
        <v>74.039355479701044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474.62251731798239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>
        <v>408.11247839999987</v>
      </c>
      <c r="BS49" s="408"/>
      <c r="BT49" s="408"/>
      <c r="BU49" s="408"/>
      <c r="BV49" s="408">
        <v>8236.5259636539195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9793.6915999999983</v>
      </c>
      <c r="CJ49" s="408">
        <v>-56.578796800002237</v>
      </c>
      <c r="CK49" s="408"/>
      <c r="CL49" s="408"/>
      <c r="CM49" s="408"/>
      <c r="CN49" s="408"/>
      <c r="CO49" s="408">
        <v>-57.855120000000298</v>
      </c>
      <c r="CP49" s="408">
        <v>0</v>
      </c>
      <c r="CQ49" s="408">
        <v>31</v>
      </c>
      <c r="CR49" s="408">
        <v>-57.948182629503208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0</v>
      </c>
      <c r="DA49" s="408">
        <v>0</v>
      </c>
      <c r="DB49" s="408">
        <v>0</v>
      </c>
      <c r="DC49" s="408">
        <v>-1.0881694834097289E-6</v>
      </c>
      <c r="DD49" s="408">
        <v>0</v>
      </c>
      <c r="DE49" s="408">
        <v>0</v>
      </c>
      <c r="DF49" s="408">
        <v>0</v>
      </c>
      <c r="DG49" s="408">
        <v>-6.6539485032990342E-8</v>
      </c>
      <c r="DH49" s="408">
        <v>0</v>
      </c>
      <c r="DI49" s="408">
        <v>-48.152184766048094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-7.3917075693430547</v>
      </c>
      <c r="DP49" s="408">
        <v>-2.404289139401584</v>
      </c>
      <c r="DQ49" s="408">
        <v>0</v>
      </c>
      <c r="DR49" s="408">
        <v>0</v>
      </c>
      <c r="DS49" s="408"/>
      <c r="DT49" s="408"/>
      <c r="DU49" s="408"/>
      <c r="DV49" s="408">
        <v>0</v>
      </c>
      <c r="DW49" s="408">
        <v>0</v>
      </c>
      <c r="DX49" s="408">
        <v>0</v>
      </c>
      <c r="DY49" s="408">
        <v>-57.85512000000017</v>
      </c>
      <c r="DZ49" s="408">
        <v>0</v>
      </c>
      <c r="EA49" s="408">
        <v>0</v>
      </c>
      <c r="EB49" s="408">
        <v>0</v>
      </c>
      <c r="EC49" s="408">
        <v>0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265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51</v>
      </c>
      <c r="B50" s="408" t="s">
        <v>1031</v>
      </c>
      <c r="C50" s="408" t="s">
        <v>2235</v>
      </c>
      <c r="D50" s="408" t="s">
        <v>596</v>
      </c>
      <c r="E50" s="408" t="s">
        <v>969</v>
      </c>
      <c r="F50" s="408" t="s">
        <v>2245</v>
      </c>
      <c r="G50" s="408" t="s">
        <v>1317</v>
      </c>
      <c r="H50" s="408" t="s">
        <v>1317</v>
      </c>
      <c r="I50" s="408" t="s">
        <v>1317</v>
      </c>
      <c r="J50" s="408" t="s">
        <v>2228</v>
      </c>
      <c r="K50" s="828">
        <v>44378</v>
      </c>
      <c r="L50" s="408">
        <v>1250</v>
      </c>
      <c r="M50" s="408">
        <v>1200</v>
      </c>
      <c r="N50" s="408">
        <v>0</v>
      </c>
      <c r="O50" s="408">
        <v>0</v>
      </c>
      <c r="P50" s="408">
        <v>0</v>
      </c>
      <c r="Q50" s="408">
        <v>0</v>
      </c>
      <c r="R50" s="408">
        <v>74.44</v>
      </c>
      <c r="S50" s="408"/>
      <c r="T50" s="408"/>
      <c r="U50" s="408">
        <v>93050</v>
      </c>
      <c r="V50" s="408"/>
      <c r="W50" s="408">
        <v>93050</v>
      </c>
      <c r="X50" s="408">
        <v>56775</v>
      </c>
      <c r="Y50" s="408">
        <v>0</v>
      </c>
      <c r="Z50" s="408">
        <v>0</v>
      </c>
      <c r="AA50" s="408">
        <v>0</v>
      </c>
      <c r="AB50" s="408">
        <v>0</v>
      </c>
      <c r="AC50" s="408">
        <v>0</v>
      </c>
      <c r="AD50" s="408">
        <v>34021.365663064753</v>
      </c>
      <c r="AE50" s="408">
        <v>59026.922417722752</v>
      </c>
      <c r="AF50" s="408"/>
      <c r="AG50" s="408"/>
      <c r="AH50" s="408"/>
      <c r="AI50" s="408">
        <v>0</v>
      </c>
      <c r="AJ50" s="408">
        <v>0</v>
      </c>
      <c r="AK50" s="408">
        <v>0</v>
      </c>
      <c r="AL50" s="408">
        <v>0</v>
      </c>
      <c r="AM50" s="408"/>
      <c r="AN50" s="408">
        <v>0</v>
      </c>
      <c r="AO50" s="408">
        <v>0</v>
      </c>
      <c r="AP50" s="408">
        <v>0</v>
      </c>
      <c r="AQ50" s="408">
        <v>0</v>
      </c>
      <c r="AR50" s="408">
        <v>0</v>
      </c>
      <c r="AS50" s="408"/>
      <c r="AT50" s="408"/>
      <c r="AU50" s="408">
        <v>0</v>
      </c>
      <c r="AV50" s="408">
        <v>0</v>
      </c>
      <c r="AW50" s="408">
        <v>0</v>
      </c>
      <c r="AX50" s="408"/>
      <c r="AY50" s="408"/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/>
      <c r="BG50" s="408">
        <v>0</v>
      </c>
      <c r="BH50" s="408">
        <v>0</v>
      </c>
      <c r="BI50" s="408">
        <v>0</v>
      </c>
      <c r="BJ50" s="408">
        <v>0</v>
      </c>
      <c r="BK50" s="408">
        <v>84.35</v>
      </c>
      <c r="BL50" s="408">
        <v>24</v>
      </c>
      <c r="BM50" s="408"/>
      <c r="BN50" s="408"/>
      <c r="BO50" s="408"/>
      <c r="BP50" s="408"/>
      <c r="BQ50" s="408"/>
      <c r="BR50" s="408">
        <v>2271</v>
      </c>
      <c r="BS50" s="408"/>
      <c r="BT50" s="408"/>
      <c r="BU50" s="408"/>
      <c r="BV50" s="408">
        <v>0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54504</v>
      </c>
      <c r="CJ50" s="408">
        <v>-34824.029999999984</v>
      </c>
      <c r="CK50" s="408"/>
      <c r="CL50" s="408"/>
      <c r="CM50" s="408"/>
      <c r="CN50" s="408"/>
      <c r="CO50" s="408">
        <v>-36274.999999999993</v>
      </c>
      <c r="CP50" s="408">
        <v>0</v>
      </c>
      <c r="CQ50" s="408">
        <v>31</v>
      </c>
      <c r="CR50" s="408">
        <v>-87.437905741375289</v>
      </c>
      <c r="CS50" s="408">
        <v>0</v>
      </c>
      <c r="CT50" s="408">
        <v>0</v>
      </c>
      <c r="CU50" s="408">
        <v>0</v>
      </c>
      <c r="CV50" s="408">
        <v>0</v>
      </c>
      <c r="CW50" s="408"/>
      <c r="CX50" s="408"/>
      <c r="CY50" s="408"/>
      <c r="CZ50" s="408">
        <v>-87.437905741375289</v>
      </c>
      <c r="DA50" s="408">
        <v>0</v>
      </c>
      <c r="DB50" s="408">
        <v>0</v>
      </c>
      <c r="DC50" s="408"/>
      <c r="DD50" s="408"/>
      <c r="DE50" s="408">
        <v>0</v>
      </c>
      <c r="DF50" s="408">
        <v>0</v>
      </c>
      <c r="DG50" s="408">
        <v>0</v>
      </c>
      <c r="DH50" s="408">
        <v>0</v>
      </c>
      <c r="DI50" s="408">
        <v>0</v>
      </c>
      <c r="DJ50" s="408"/>
      <c r="DK50" s="408">
        <v>0</v>
      </c>
      <c r="DL50" s="408">
        <v>0</v>
      </c>
      <c r="DM50" s="408"/>
      <c r="DN50" s="408">
        <v>0</v>
      </c>
      <c r="DO50" s="408">
        <v>0</v>
      </c>
      <c r="DP50" s="408">
        <v>0</v>
      </c>
      <c r="DQ50" s="408">
        <v>0</v>
      </c>
      <c r="DR50" s="408">
        <v>0</v>
      </c>
      <c r="DS50" s="408"/>
      <c r="DT50" s="408"/>
      <c r="DU50" s="408">
        <v>59026.922417722752</v>
      </c>
      <c r="DV50" s="408"/>
      <c r="DW50" s="408">
        <v>0</v>
      </c>
      <c r="DX50" s="408">
        <v>0</v>
      </c>
      <c r="DY50" s="408">
        <v>-36275</v>
      </c>
      <c r="DZ50" s="408"/>
      <c r="EA50" s="408">
        <v>0</v>
      </c>
      <c r="EB50" s="408"/>
      <c r="EC50" s="408">
        <v>-36192.069536168128</v>
      </c>
      <c r="ED50" s="408"/>
      <c r="EE50" s="408">
        <v>0</v>
      </c>
      <c r="EF50" s="408">
        <v>0</v>
      </c>
      <c r="EG50" s="408"/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/>
      <c r="EN50" s="408"/>
      <c r="EO50" s="408">
        <v>0</v>
      </c>
      <c r="EP50" s="408">
        <v>0</v>
      </c>
      <c r="EQ50" s="408"/>
      <c r="ER50" s="408">
        <v>0</v>
      </c>
      <c r="ES50" s="408"/>
      <c r="ET50" s="408">
        <v>0</v>
      </c>
      <c r="EU50" s="408"/>
      <c r="EV50" s="408">
        <v>265</v>
      </c>
      <c r="EW50" s="408"/>
      <c r="EX50" s="408"/>
      <c r="EY50" s="408"/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52</v>
      </c>
      <c r="B51" s="408" t="s">
        <v>1031</v>
      </c>
      <c r="C51" s="408" t="s">
        <v>2235</v>
      </c>
      <c r="D51" s="408" t="s">
        <v>596</v>
      </c>
      <c r="E51" s="408" t="s">
        <v>969</v>
      </c>
      <c r="F51" s="408" t="s">
        <v>2245</v>
      </c>
      <c r="G51" s="408" t="s">
        <v>2247</v>
      </c>
      <c r="H51" s="408" t="s">
        <v>1317</v>
      </c>
      <c r="I51" s="408" t="s">
        <v>2236</v>
      </c>
      <c r="J51" s="408" t="s">
        <v>2228</v>
      </c>
      <c r="K51" s="828">
        <v>44378</v>
      </c>
      <c r="L51" s="408">
        <v>0</v>
      </c>
      <c r="M51" s="408">
        <v>0</v>
      </c>
      <c r="N51" s="408">
        <v>17.12</v>
      </c>
      <c r="O51" s="408">
        <v>5.1360000000000001</v>
      </c>
      <c r="P51" s="408">
        <v>17.12</v>
      </c>
      <c r="Q51" s="408">
        <v>5.1360000000000001</v>
      </c>
      <c r="R51" s="408"/>
      <c r="S51" s="408">
        <v>81.2</v>
      </c>
      <c r="T51" s="408">
        <v>252.22</v>
      </c>
      <c r="U51" s="408"/>
      <c r="V51" s="408">
        <v>5708.1504000000004</v>
      </c>
      <c r="W51" s="408">
        <v>5708.1504000000004</v>
      </c>
      <c r="X51" s="408">
        <v>5675.9647999999997</v>
      </c>
      <c r="Y51" s="408">
        <v>0</v>
      </c>
      <c r="Z51" s="408">
        <v>921.26565601165976</v>
      </c>
      <c r="AA51" s="408">
        <v>0</v>
      </c>
      <c r="AB51" s="408">
        <v>0</v>
      </c>
      <c r="AC51" s="408">
        <v>0</v>
      </c>
      <c r="AD51" s="408">
        <v>0</v>
      </c>
      <c r="AE51" s="408">
        <v>0</v>
      </c>
      <c r="AF51" s="408">
        <v>4318.0537792055384</v>
      </c>
      <c r="AG51" s="408">
        <v>0</v>
      </c>
      <c r="AH51" s="408">
        <v>0</v>
      </c>
      <c r="AI51" s="408">
        <v>0</v>
      </c>
      <c r="AJ51" s="408">
        <v>0</v>
      </c>
      <c r="AK51" s="408">
        <v>0</v>
      </c>
      <c r="AL51" s="408">
        <v>163.68481963006752</v>
      </c>
      <c r="AM51" s="408"/>
      <c r="AN51" s="408">
        <v>41.189113076378824</v>
      </c>
      <c r="AO51" s="408">
        <v>0</v>
      </c>
      <c r="AP51" s="408">
        <v>0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264.0390425841249</v>
      </c>
      <c r="BH51" s="408">
        <v>0</v>
      </c>
      <c r="BI51" s="408">
        <v>0</v>
      </c>
      <c r="BJ51" s="408">
        <v>0</v>
      </c>
      <c r="BK51" s="408">
        <v>0</v>
      </c>
      <c r="BL51" s="408">
        <v>0</v>
      </c>
      <c r="BM51" s="408"/>
      <c r="BN51" s="408"/>
      <c r="BO51" s="408"/>
      <c r="BP51" s="408"/>
      <c r="BQ51" s="408"/>
      <c r="BR51" s="408"/>
      <c r="BS51" s="408">
        <v>3973.1753600000006</v>
      </c>
      <c r="BT51" s="408"/>
      <c r="BU51" s="408"/>
      <c r="BV51" s="408">
        <v>4582.0928217896635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1704.1155999999999</v>
      </c>
      <c r="CJ51" s="408">
        <v>-8.3595200000002023</v>
      </c>
      <c r="CK51" s="408"/>
      <c r="CL51" s="408"/>
      <c r="CM51" s="408"/>
      <c r="CN51" s="408"/>
      <c r="CO51" s="408">
        <v>-32.185600000000164</v>
      </c>
      <c r="CP51" s="408">
        <v>0</v>
      </c>
      <c r="CQ51" s="408">
        <v>31</v>
      </c>
      <c r="CR51" s="408">
        <v>-32.237372022390446</v>
      </c>
      <c r="CS51" s="408">
        <v>0</v>
      </c>
      <c r="CT51" s="408">
        <v>0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0</v>
      </c>
      <c r="DA51" s="408">
        <v>0</v>
      </c>
      <c r="DB51" s="408">
        <v>0</v>
      </c>
      <c r="DC51" s="408">
        <v>-6.0536331147886813E-7</v>
      </c>
      <c r="DD51" s="408">
        <v>0</v>
      </c>
      <c r="DE51" s="408">
        <v>0</v>
      </c>
      <c r="DF51" s="408">
        <v>0</v>
      </c>
      <c r="DG51" s="408">
        <v>-3.7016889109509066E-8</v>
      </c>
      <c r="DH51" s="408">
        <v>0</v>
      </c>
      <c r="DI51" s="408">
        <v>-26.787723506685552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-4.1121087147316757</v>
      </c>
      <c r="DP51" s="408">
        <v>-1.337539158593458</v>
      </c>
      <c r="DQ51" s="408">
        <v>0</v>
      </c>
      <c r="DR51" s="408">
        <v>0</v>
      </c>
      <c r="DS51" s="408"/>
      <c r="DT51" s="408"/>
      <c r="DU51" s="408"/>
      <c r="DV51" s="408">
        <v>0</v>
      </c>
      <c r="DW51" s="408">
        <v>0</v>
      </c>
      <c r="DX51" s="408">
        <v>0</v>
      </c>
      <c r="DY51" s="408">
        <v>-32.18560000000025</v>
      </c>
      <c r="DZ51" s="408">
        <v>0</v>
      </c>
      <c r="EA51" s="408">
        <v>0</v>
      </c>
      <c r="EB51" s="408">
        <v>0</v>
      </c>
      <c r="EC51" s="408">
        <v>0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265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53</v>
      </c>
      <c r="B52" s="408" t="s">
        <v>1031</v>
      </c>
      <c r="C52" s="408" t="s">
        <v>2227</v>
      </c>
      <c r="D52" s="408" t="s">
        <v>1949</v>
      </c>
      <c r="E52" s="408" t="s">
        <v>964</v>
      </c>
      <c r="F52" s="408" t="s">
        <v>964</v>
      </c>
      <c r="G52" s="408" t="s">
        <v>1317</v>
      </c>
      <c r="H52" s="408" t="s">
        <v>1317</v>
      </c>
      <c r="I52" s="408" t="s">
        <v>1317</v>
      </c>
      <c r="J52" s="408" t="s">
        <v>2228</v>
      </c>
      <c r="K52" s="828">
        <v>44409</v>
      </c>
      <c r="L52" s="408">
        <v>0</v>
      </c>
      <c r="M52" s="408">
        <v>0</v>
      </c>
      <c r="N52" s="408">
        <v>1012.851</v>
      </c>
      <c r="O52" s="408">
        <v>1012.851</v>
      </c>
      <c r="P52" s="408">
        <v>1012.851</v>
      </c>
      <c r="Q52" s="408">
        <v>1012.851</v>
      </c>
      <c r="R52" s="408"/>
      <c r="S52" s="408">
        <v>739.04</v>
      </c>
      <c r="T52" s="408">
        <v>252.22</v>
      </c>
      <c r="U52" s="408"/>
      <c r="V52" s="408">
        <v>1003998.68226</v>
      </c>
      <c r="W52" s="408">
        <v>1003998.68226</v>
      </c>
      <c r="X52" s="408">
        <v>686682.59247000003</v>
      </c>
      <c r="Y52" s="408">
        <v>0</v>
      </c>
      <c r="Z52" s="408">
        <v>62648.031539173491</v>
      </c>
      <c r="AA52" s="408">
        <v>0</v>
      </c>
      <c r="AB52" s="408">
        <v>0</v>
      </c>
      <c r="AC52" s="408">
        <v>0</v>
      </c>
      <c r="AD52" s="408">
        <v>125084.64830833251</v>
      </c>
      <c r="AE52" s="408">
        <v>513503.06988648692</v>
      </c>
      <c r="AF52" s="408">
        <v>255464.08226180539</v>
      </c>
      <c r="AG52" s="408">
        <v>0</v>
      </c>
      <c r="AH52" s="408">
        <v>0</v>
      </c>
      <c r="AI52" s="408">
        <v>0</v>
      </c>
      <c r="AJ52" s="408">
        <v>0</v>
      </c>
      <c r="AK52" s="408">
        <v>0</v>
      </c>
      <c r="AL52" s="408">
        <v>9683.8979700428445</v>
      </c>
      <c r="AM52" s="408"/>
      <c r="AN52" s="408">
        <v>2373.4122687101822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35241.388842122316</v>
      </c>
      <c r="BH52" s="408">
        <v>0</v>
      </c>
      <c r="BI52" s="408">
        <v>0</v>
      </c>
      <c r="BJ52" s="408">
        <v>0</v>
      </c>
      <c r="BK52" s="408">
        <v>299641.03999999998</v>
      </c>
      <c r="BL52" s="408">
        <v>8243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290705.4711039277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686681.91449999996</v>
      </c>
      <c r="CJ52" s="408">
        <v>-317316.7977600001</v>
      </c>
      <c r="CK52" s="408"/>
      <c r="CL52" s="408"/>
      <c r="CM52" s="408"/>
      <c r="CN52" s="408"/>
      <c r="CO52" s="408">
        <v>-317316.08978999994</v>
      </c>
      <c r="CP52" s="408">
        <v>0</v>
      </c>
      <c r="CQ52" s="408">
        <v>31</v>
      </c>
      <c r="CR52" s="408">
        <v>-2463.453092757205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-321.47856134832546</v>
      </c>
      <c r="DA52" s="408">
        <v>0</v>
      </c>
      <c r="DB52" s="408">
        <v>0</v>
      </c>
      <c r="DC52" s="408">
        <v>-3.5814417060464621E-5</v>
      </c>
      <c r="DD52" s="408">
        <v>0</v>
      </c>
      <c r="DE52" s="408">
        <v>0</v>
      </c>
      <c r="DF52" s="408">
        <v>0</v>
      </c>
      <c r="DG52" s="408">
        <v>-4.9405934987589717E-6</v>
      </c>
      <c r="DH52" s="408">
        <v>0</v>
      </c>
      <c r="DI52" s="408">
        <v>-1821.622391064433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-243.27998970938643</v>
      </c>
      <c r="DP52" s="408">
        <v>-77.072109880080461</v>
      </c>
      <c r="DQ52" s="408">
        <v>0</v>
      </c>
      <c r="DR52" s="408">
        <v>0</v>
      </c>
      <c r="DS52" s="408"/>
      <c r="DT52" s="408"/>
      <c r="DU52" s="408"/>
      <c r="DV52" s="408">
        <v>513503.06988648692</v>
      </c>
      <c r="DW52" s="408">
        <v>0</v>
      </c>
      <c r="DX52" s="408">
        <v>0</v>
      </c>
      <c r="DY52" s="408">
        <v>-317316.08979</v>
      </c>
      <c r="DZ52" s="408">
        <v>0</v>
      </c>
      <c r="EA52" s="408">
        <v>0</v>
      </c>
      <c r="EB52" s="408">
        <v>0</v>
      </c>
      <c r="EC52" s="408">
        <v>-314851.90233783005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265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54</v>
      </c>
      <c r="B53" s="408" t="s">
        <v>2229</v>
      </c>
      <c r="C53" s="408" t="s">
        <v>2227</v>
      </c>
      <c r="D53" s="408" t="s">
        <v>1949</v>
      </c>
      <c r="E53" s="408" t="s">
        <v>964</v>
      </c>
      <c r="F53" s="408" t="s">
        <v>964</v>
      </c>
      <c r="G53" s="408" t="s">
        <v>1317</v>
      </c>
      <c r="H53" s="408" t="s">
        <v>1317</v>
      </c>
      <c r="I53" s="408" t="s">
        <v>1317</v>
      </c>
      <c r="J53" s="408" t="s">
        <v>2228</v>
      </c>
      <c r="K53" s="828">
        <v>44409</v>
      </c>
      <c r="L53" s="408">
        <v>0</v>
      </c>
      <c r="M53" s="408">
        <v>0</v>
      </c>
      <c r="N53" s="408">
        <v>-0.32500000000000001</v>
      </c>
      <c r="O53" s="408">
        <v>-0.32500000000000001</v>
      </c>
      <c r="P53" s="408">
        <v>-0.32500000000000001</v>
      </c>
      <c r="Q53" s="408">
        <v>-0.32500000000000001</v>
      </c>
      <c r="R53" s="408"/>
      <c r="S53" s="408">
        <v>739.04</v>
      </c>
      <c r="T53" s="408">
        <v>252.22</v>
      </c>
      <c r="U53" s="408"/>
      <c r="V53" s="408">
        <v>-322.15949999999998</v>
      </c>
      <c r="W53" s="408">
        <v>-322.15949999999998</v>
      </c>
      <c r="X53" s="408">
        <v>-220.34025000000003</v>
      </c>
      <c r="Y53" s="408">
        <v>0</v>
      </c>
      <c r="Z53" s="408">
        <v>-20.102275902606983</v>
      </c>
      <c r="AA53" s="408">
        <v>0</v>
      </c>
      <c r="AB53" s="408">
        <v>0</v>
      </c>
      <c r="AC53" s="408">
        <v>0</v>
      </c>
      <c r="AD53" s="408">
        <v>-40.136713791276371</v>
      </c>
      <c r="AE53" s="408">
        <v>-164.77102526739694</v>
      </c>
      <c r="AF53" s="408">
        <v>-81.972399430011677</v>
      </c>
      <c r="AG53" s="408">
        <v>0</v>
      </c>
      <c r="AH53" s="408">
        <v>0</v>
      </c>
      <c r="AI53" s="408">
        <v>0</v>
      </c>
      <c r="AJ53" s="408">
        <v>0</v>
      </c>
      <c r="AK53" s="408">
        <v>0</v>
      </c>
      <c r="AL53" s="408">
        <v>-3.1073344847997628</v>
      </c>
      <c r="AM53" s="408"/>
      <c r="AN53" s="408">
        <v>-0.7615720252345205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-11.308130587509666</v>
      </c>
      <c r="BH53" s="408">
        <v>0</v>
      </c>
      <c r="BI53" s="408">
        <v>0</v>
      </c>
      <c r="BJ53" s="408">
        <v>0</v>
      </c>
      <c r="BK53" s="408">
        <v>-121.02</v>
      </c>
      <c r="BL53" s="408">
        <v>0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-93.280530017521343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-223.73009999999999</v>
      </c>
      <c r="CJ53" s="408">
        <v>98.399400000000014</v>
      </c>
      <c r="CK53" s="408"/>
      <c r="CL53" s="408"/>
      <c r="CM53" s="408"/>
      <c r="CN53" s="408"/>
      <c r="CO53" s="408">
        <v>101.81925</v>
      </c>
      <c r="CP53" s="408">
        <v>0</v>
      </c>
      <c r="CQ53" s="408">
        <v>31</v>
      </c>
      <c r="CR53" s="408">
        <v>0.79046400225311686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0.10315488896016944</v>
      </c>
      <c r="DA53" s="408">
        <v>0</v>
      </c>
      <c r="DB53" s="408">
        <v>0</v>
      </c>
      <c r="DC53" s="408">
        <v>1.1492005569380126E-8</v>
      </c>
      <c r="DD53" s="408">
        <v>0</v>
      </c>
      <c r="DE53" s="408">
        <v>0</v>
      </c>
      <c r="DF53" s="408">
        <v>0</v>
      </c>
      <c r="DG53" s="408">
        <v>1.5853185431069505E-9</v>
      </c>
      <c r="DH53" s="408">
        <v>0</v>
      </c>
      <c r="DI53" s="408">
        <v>0.58451566626872165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7.8062811465408277E-2</v>
      </c>
      <c r="DP53" s="408">
        <v>2.4730622481516251E-2</v>
      </c>
      <c r="DQ53" s="408">
        <v>0</v>
      </c>
      <c r="DR53" s="408">
        <v>0</v>
      </c>
      <c r="DS53" s="408"/>
      <c r="DT53" s="408"/>
      <c r="DU53" s="408"/>
      <c r="DV53" s="408">
        <v>-164.77102526739694</v>
      </c>
      <c r="DW53" s="408">
        <v>0</v>
      </c>
      <c r="DX53" s="408">
        <v>0</v>
      </c>
      <c r="DY53" s="408">
        <v>101.81924999999998</v>
      </c>
      <c r="DZ53" s="408">
        <v>0</v>
      </c>
      <c r="EA53" s="408">
        <v>0</v>
      </c>
      <c r="EB53" s="408">
        <v>0</v>
      </c>
      <c r="EC53" s="408">
        <v>101.02855035912958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265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55</v>
      </c>
      <c r="B54" s="408" t="s">
        <v>2230</v>
      </c>
      <c r="C54" s="408" t="s">
        <v>2227</v>
      </c>
      <c r="D54" s="408" t="s">
        <v>1949</v>
      </c>
      <c r="E54" s="408" t="s">
        <v>964</v>
      </c>
      <c r="F54" s="408" t="s">
        <v>964</v>
      </c>
      <c r="G54" s="408" t="s">
        <v>1317</v>
      </c>
      <c r="H54" s="408" t="s">
        <v>1317</v>
      </c>
      <c r="I54" s="408" t="s">
        <v>1317</v>
      </c>
      <c r="J54" s="408" t="s">
        <v>2228</v>
      </c>
      <c r="K54" s="828">
        <v>44409</v>
      </c>
      <c r="L54" s="408">
        <v>0</v>
      </c>
      <c r="M54" s="408">
        <v>0</v>
      </c>
      <c r="N54" s="408">
        <v>35.491</v>
      </c>
      <c r="O54" s="408">
        <v>35.491</v>
      </c>
      <c r="P54" s="408">
        <v>35.491</v>
      </c>
      <c r="Q54" s="408">
        <v>35.491</v>
      </c>
      <c r="R54" s="408"/>
      <c r="S54" s="408">
        <v>739.04</v>
      </c>
      <c r="T54" s="408">
        <v>252.22</v>
      </c>
      <c r="U54" s="408"/>
      <c r="V54" s="408">
        <v>35180.808659999995</v>
      </c>
      <c r="W54" s="408">
        <v>35180.808659999995</v>
      </c>
      <c r="X54" s="408">
        <v>24061.833270000003</v>
      </c>
      <c r="Y54" s="408">
        <v>0</v>
      </c>
      <c r="Z54" s="408">
        <v>2195.230381721306</v>
      </c>
      <c r="AA54" s="408">
        <v>0</v>
      </c>
      <c r="AB54" s="408">
        <v>0</v>
      </c>
      <c r="AC54" s="408">
        <v>0</v>
      </c>
      <c r="AD54" s="408">
        <v>4383.0526435882757</v>
      </c>
      <c r="AE54" s="408">
        <v>17993.502946969798</v>
      </c>
      <c r="AF54" s="408">
        <v>8951.6382405247514</v>
      </c>
      <c r="AG54" s="408">
        <v>0</v>
      </c>
      <c r="AH54" s="408">
        <v>0</v>
      </c>
      <c r="AI54" s="408">
        <v>0</v>
      </c>
      <c r="AJ54" s="408">
        <v>0</v>
      </c>
      <c r="AK54" s="408">
        <v>0</v>
      </c>
      <c r="AL54" s="408">
        <v>339.3304867693181</v>
      </c>
      <c r="AM54" s="408"/>
      <c r="AN54" s="408">
        <v>83.166008454148809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1234.8826544040171</v>
      </c>
      <c r="BH54" s="408">
        <v>0</v>
      </c>
      <c r="BI54" s="408">
        <v>0</v>
      </c>
      <c r="BJ54" s="408">
        <v>0</v>
      </c>
      <c r="BK54" s="408">
        <v>28321.599999999999</v>
      </c>
      <c r="BL54" s="408">
        <v>467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>
        <v>10186.520894928768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24061.155299999999</v>
      </c>
      <c r="CJ54" s="408">
        <v>-11119.683360000003</v>
      </c>
      <c r="CK54" s="408"/>
      <c r="CL54" s="408"/>
      <c r="CM54" s="408"/>
      <c r="CN54" s="408"/>
      <c r="CO54" s="408">
        <v>-11118.975389999998</v>
      </c>
      <c r="CP54" s="408">
        <v>0</v>
      </c>
      <c r="CQ54" s="408">
        <v>31</v>
      </c>
      <c r="CR54" s="408">
        <v>-86.321101242971054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-11.264831274109383</v>
      </c>
      <c r="DA54" s="408">
        <v>0</v>
      </c>
      <c r="DB54" s="408">
        <v>0</v>
      </c>
      <c r="DC54" s="408">
        <v>-1.2549626262625679E-6</v>
      </c>
      <c r="DD54" s="408">
        <v>0</v>
      </c>
      <c r="DE54" s="408">
        <v>0</v>
      </c>
      <c r="DF54" s="408">
        <v>0</v>
      </c>
      <c r="DG54" s="408">
        <v>-1.7312163436145056E-7</v>
      </c>
      <c r="DH54" s="408">
        <v>0</v>
      </c>
      <c r="DI54" s="408">
        <v>-63.830909266287108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-8.5246992052886412</v>
      </c>
      <c r="DP54" s="408">
        <v>-2.7006600692045879</v>
      </c>
      <c r="DQ54" s="408">
        <v>0</v>
      </c>
      <c r="DR54" s="408">
        <v>0</v>
      </c>
      <c r="DS54" s="408"/>
      <c r="DT54" s="408"/>
      <c r="DU54" s="408"/>
      <c r="DV54" s="408">
        <v>17993.502946969798</v>
      </c>
      <c r="DW54" s="408">
        <v>0</v>
      </c>
      <c r="DX54" s="408">
        <v>0</v>
      </c>
      <c r="DY54" s="408">
        <v>-11118.975389999998</v>
      </c>
      <c r="DZ54" s="408">
        <v>0</v>
      </c>
      <c r="EA54" s="408">
        <v>0</v>
      </c>
      <c r="EB54" s="408">
        <v>0</v>
      </c>
      <c r="EC54" s="408">
        <v>-11032.628556294978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265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56</v>
      </c>
      <c r="B55" s="408" t="s">
        <v>1031</v>
      </c>
      <c r="C55" s="408" t="s">
        <v>2227</v>
      </c>
      <c r="D55" s="408" t="s">
        <v>1949</v>
      </c>
      <c r="E55" s="408" t="s">
        <v>964</v>
      </c>
      <c r="F55" s="408" t="s">
        <v>2231</v>
      </c>
      <c r="G55" s="408" t="s">
        <v>1317</v>
      </c>
      <c r="H55" s="408" t="s">
        <v>1317</v>
      </c>
      <c r="I55" s="408" t="s">
        <v>1317</v>
      </c>
      <c r="J55" s="408" t="s">
        <v>2228</v>
      </c>
      <c r="K55" s="828">
        <v>44409</v>
      </c>
      <c r="L55" s="408">
        <v>0</v>
      </c>
      <c r="M55" s="408">
        <v>0</v>
      </c>
      <c r="N55" s="408">
        <v>8.52</v>
      </c>
      <c r="O55" s="408">
        <v>8.52</v>
      </c>
      <c r="P55" s="408">
        <v>8.52</v>
      </c>
      <c r="Q55" s="408">
        <v>8.52</v>
      </c>
      <c r="R55" s="408"/>
      <c r="S55" s="408">
        <v>667.62</v>
      </c>
      <c r="T55" s="408">
        <v>252.22</v>
      </c>
      <c r="U55" s="408"/>
      <c r="V55" s="408">
        <v>7837.0367999999999</v>
      </c>
      <c r="W55" s="408">
        <v>7837.0367999999999</v>
      </c>
      <c r="X55" s="408">
        <v>5185.1867999999995</v>
      </c>
      <c r="Y55" s="408">
        <v>0</v>
      </c>
      <c r="Z55" s="408">
        <v>0</v>
      </c>
      <c r="AA55" s="408">
        <v>0</v>
      </c>
      <c r="AB55" s="408">
        <v>0</v>
      </c>
      <c r="AC55" s="408">
        <v>0</v>
      </c>
      <c r="AD55" s="408">
        <v>1052.1993892359221</v>
      </c>
      <c r="AE55" s="408">
        <v>4319.535800856067</v>
      </c>
      <c r="AF55" s="408">
        <v>2148.9379789036907</v>
      </c>
      <c r="AG55" s="408">
        <v>0</v>
      </c>
      <c r="AH55" s="408">
        <v>0</v>
      </c>
      <c r="AI55" s="408">
        <v>0</v>
      </c>
      <c r="AJ55" s="408">
        <v>0</v>
      </c>
      <c r="AK55" s="408">
        <v>0</v>
      </c>
      <c r="AL55" s="408">
        <v>0</v>
      </c>
      <c r="AM55" s="408"/>
      <c r="AN55" s="408">
        <v>19.964903553840351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296.44699263256109</v>
      </c>
      <c r="BH55" s="408">
        <v>0</v>
      </c>
      <c r="BI55" s="408">
        <v>0</v>
      </c>
      <c r="BJ55" s="408">
        <v>0</v>
      </c>
      <c r="BK55" s="408">
        <v>631.48</v>
      </c>
      <c r="BL55" s="408">
        <v>25</v>
      </c>
      <c r="BM55" s="408"/>
      <c r="BN55" s="408"/>
      <c r="BO55" s="408"/>
      <c r="BP55" s="408"/>
      <c r="BQ55" s="408"/>
      <c r="BR55" s="408"/>
      <c r="BS55" s="408"/>
      <c r="BT55" s="408">
        <v>3370.3415999999997</v>
      </c>
      <c r="BU55" s="408"/>
      <c r="BV55" s="408">
        <v>2445.3849715362517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1814.8451999999997</v>
      </c>
      <c r="CJ55" s="408">
        <v>-928.19880000000012</v>
      </c>
      <c r="CK55" s="408"/>
      <c r="CL55" s="408"/>
      <c r="CM55" s="408"/>
      <c r="CN55" s="408"/>
      <c r="CO55" s="408">
        <v>-2651.85</v>
      </c>
      <c r="CP55" s="408">
        <v>0</v>
      </c>
      <c r="CQ55" s="408">
        <v>31</v>
      </c>
      <c r="CR55" s="408">
        <v>-3.3525682120061902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-2.7042450890482996</v>
      </c>
      <c r="DA55" s="408">
        <v>0</v>
      </c>
      <c r="DB55" s="408">
        <v>0</v>
      </c>
      <c r="DC55" s="408">
        <v>-3.0126739147817716E-7</v>
      </c>
      <c r="DD55" s="408">
        <v>0</v>
      </c>
      <c r="DE55" s="408">
        <v>0</v>
      </c>
      <c r="DF55" s="408">
        <v>0</v>
      </c>
      <c r="DG55" s="408">
        <v>-4.1559758301445981E-8</v>
      </c>
      <c r="DH55" s="408">
        <v>0</v>
      </c>
      <c r="DI55" s="408">
        <v>0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0</v>
      </c>
      <c r="DP55" s="408">
        <v>-0.648322780130826</v>
      </c>
      <c r="DQ55" s="408">
        <v>0</v>
      </c>
      <c r="DR55" s="408">
        <v>0</v>
      </c>
      <c r="DS55" s="408"/>
      <c r="DT55" s="408"/>
      <c r="DU55" s="408"/>
      <c r="DV55" s="408">
        <v>4319.535800856067</v>
      </c>
      <c r="DW55" s="408">
        <v>0</v>
      </c>
      <c r="DX55" s="408">
        <v>0</v>
      </c>
      <c r="DY55" s="408">
        <v>-2651.8500000000004</v>
      </c>
      <c r="DZ55" s="408">
        <v>0</v>
      </c>
      <c r="EA55" s="408">
        <v>0</v>
      </c>
      <c r="EB55" s="408">
        <v>0</v>
      </c>
      <c r="EC55" s="408">
        <v>-2648.5023047993354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265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57</v>
      </c>
      <c r="B56" s="408" t="s">
        <v>2230</v>
      </c>
      <c r="C56" s="408" t="s">
        <v>2227</v>
      </c>
      <c r="D56" s="408" t="s">
        <v>1949</v>
      </c>
      <c r="E56" s="408" t="s">
        <v>964</v>
      </c>
      <c r="F56" s="408" t="s">
        <v>2231</v>
      </c>
      <c r="G56" s="408" t="s">
        <v>1317</v>
      </c>
      <c r="H56" s="408" t="s">
        <v>1317</v>
      </c>
      <c r="I56" s="408" t="s">
        <v>1317</v>
      </c>
      <c r="J56" s="408" t="s">
        <v>2228</v>
      </c>
      <c r="K56" s="828">
        <v>44409</v>
      </c>
      <c r="L56" s="408">
        <v>0</v>
      </c>
      <c r="M56" s="408">
        <v>0</v>
      </c>
      <c r="N56" s="408">
        <v>7.5999999999999998E-2</v>
      </c>
      <c r="O56" s="408">
        <v>-7.22E-2</v>
      </c>
      <c r="P56" s="408">
        <v>7.5999999999999998E-2</v>
      </c>
      <c r="Q56" s="408">
        <v>-7.22E-2</v>
      </c>
      <c r="R56" s="408"/>
      <c r="S56" s="408">
        <v>667.62</v>
      </c>
      <c r="T56" s="408">
        <v>252.22</v>
      </c>
      <c r="U56" s="408"/>
      <c r="V56" s="408">
        <v>69.907839999999993</v>
      </c>
      <c r="W56" s="408">
        <v>69.907839999999993</v>
      </c>
      <c r="X56" s="408">
        <v>46.252839999999999</v>
      </c>
      <c r="Y56" s="408">
        <v>0</v>
      </c>
      <c r="Z56" s="408">
        <v>0</v>
      </c>
      <c r="AA56" s="408">
        <v>0</v>
      </c>
      <c r="AB56" s="408">
        <v>0</v>
      </c>
      <c r="AC56" s="408">
        <v>0</v>
      </c>
      <c r="AD56" s="408">
        <v>9.3858161481138591</v>
      </c>
      <c r="AE56" s="408">
        <v>38.531070524068205</v>
      </c>
      <c r="AF56" s="408">
        <v>19.168930328248884</v>
      </c>
      <c r="AG56" s="408">
        <v>0</v>
      </c>
      <c r="AH56" s="408">
        <v>0</v>
      </c>
      <c r="AI56" s="408">
        <v>0</v>
      </c>
      <c r="AJ56" s="408">
        <v>0</v>
      </c>
      <c r="AK56" s="408">
        <v>0</v>
      </c>
      <c r="AL56" s="408">
        <v>0</v>
      </c>
      <c r="AM56" s="408"/>
      <c r="AN56" s="408">
        <v>0.17809068897791863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2.6443628450791832</v>
      </c>
      <c r="BH56" s="408">
        <v>0</v>
      </c>
      <c r="BI56" s="408">
        <v>0</v>
      </c>
      <c r="BJ56" s="408">
        <v>0</v>
      </c>
      <c r="BK56" s="408">
        <v>7.12</v>
      </c>
      <c r="BL56" s="408">
        <v>0</v>
      </c>
      <c r="BM56" s="408"/>
      <c r="BN56" s="408"/>
      <c r="BO56" s="408"/>
      <c r="BP56" s="408"/>
      <c r="BQ56" s="408"/>
      <c r="BR56" s="408"/>
      <c r="BS56" s="408"/>
      <c r="BT56" s="408">
        <v>61.632161999999994</v>
      </c>
      <c r="BU56" s="408"/>
      <c r="BV56" s="408">
        <v>21.813293173328066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-14.910700000000002</v>
      </c>
      <c r="CJ56" s="408">
        <v>8.3040899999999951</v>
      </c>
      <c r="CK56" s="408"/>
      <c r="CL56" s="408"/>
      <c r="CM56" s="408"/>
      <c r="CN56" s="408"/>
      <c r="CO56" s="408">
        <v>-23.655000000000001</v>
      </c>
      <c r="CP56" s="408">
        <v>0</v>
      </c>
      <c r="CQ56" s="408">
        <v>31</v>
      </c>
      <c r="CR56" s="408">
        <v>-2.9905538041365531E-2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-2.412237403376416E-2</v>
      </c>
      <c r="DA56" s="408">
        <v>0</v>
      </c>
      <c r="DB56" s="408">
        <v>0</v>
      </c>
      <c r="DC56" s="408">
        <v>-2.6873614444866689E-9</v>
      </c>
      <c r="DD56" s="408">
        <v>0</v>
      </c>
      <c r="DE56" s="408">
        <v>0</v>
      </c>
      <c r="DF56" s="408">
        <v>0</v>
      </c>
      <c r="DG56" s="408">
        <v>-3.7072034331231407E-10</v>
      </c>
      <c r="DH56" s="408">
        <v>0</v>
      </c>
      <c r="DI56" s="408">
        <v>0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0</v>
      </c>
      <c r="DP56" s="408">
        <v>-5.7831609495238023E-3</v>
      </c>
      <c r="DQ56" s="408">
        <v>0</v>
      </c>
      <c r="DR56" s="408">
        <v>0</v>
      </c>
      <c r="DS56" s="408"/>
      <c r="DT56" s="408"/>
      <c r="DU56" s="408"/>
      <c r="DV56" s="408">
        <v>38.531070524068205</v>
      </c>
      <c r="DW56" s="408">
        <v>0</v>
      </c>
      <c r="DX56" s="408">
        <v>0</v>
      </c>
      <c r="DY56" s="408">
        <v>-23.655000000000001</v>
      </c>
      <c r="DZ56" s="408">
        <v>0</v>
      </c>
      <c r="EA56" s="408">
        <v>0</v>
      </c>
      <c r="EB56" s="408">
        <v>0</v>
      </c>
      <c r="EC56" s="408">
        <v>-23.625137930134919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265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58</v>
      </c>
      <c r="B57" s="408" t="s">
        <v>1031</v>
      </c>
      <c r="C57" s="408" t="s">
        <v>2227</v>
      </c>
      <c r="D57" s="408" t="s">
        <v>1949</v>
      </c>
      <c r="E57" s="408" t="s">
        <v>964</v>
      </c>
      <c r="F57" s="408" t="s">
        <v>2232</v>
      </c>
      <c r="G57" s="408" t="s">
        <v>1317</v>
      </c>
      <c r="H57" s="408" t="s">
        <v>1317</v>
      </c>
      <c r="I57" s="408" t="s">
        <v>1317</v>
      </c>
      <c r="J57" s="408" t="s">
        <v>2228</v>
      </c>
      <c r="K57" s="828">
        <v>44409</v>
      </c>
      <c r="L57" s="408">
        <v>0</v>
      </c>
      <c r="M57" s="408">
        <v>0</v>
      </c>
      <c r="N57" s="408">
        <v>14.515000000000001</v>
      </c>
      <c r="O57" s="408">
        <v>14.515000000000001</v>
      </c>
      <c r="P57" s="408">
        <v>14.515000000000001</v>
      </c>
      <c r="Q57" s="408">
        <v>14.515000000000001</v>
      </c>
      <c r="R57" s="408"/>
      <c r="S57" s="408">
        <v>667.62</v>
      </c>
      <c r="T57" s="408">
        <v>252.22</v>
      </c>
      <c r="U57" s="408"/>
      <c r="V57" s="408">
        <v>13351.4776</v>
      </c>
      <c r="W57" s="408">
        <v>13351.4776</v>
      </c>
      <c r="X57" s="408">
        <v>8833.6838500000013</v>
      </c>
      <c r="Y57" s="408">
        <v>0</v>
      </c>
      <c r="Z57" s="408">
        <v>0</v>
      </c>
      <c r="AA57" s="408">
        <v>0</v>
      </c>
      <c r="AB57" s="408">
        <v>0</v>
      </c>
      <c r="AC57" s="408">
        <v>0</v>
      </c>
      <c r="AD57" s="408">
        <v>1792.567386708851</v>
      </c>
      <c r="AE57" s="408">
        <v>7358.9274823269734</v>
      </c>
      <c r="AF57" s="408">
        <v>3661.0134699280602</v>
      </c>
      <c r="AG57" s="408">
        <v>0</v>
      </c>
      <c r="AH57" s="408">
        <v>0</v>
      </c>
      <c r="AI57" s="408">
        <v>0</v>
      </c>
      <c r="AJ57" s="408">
        <v>0</v>
      </c>
      <c r="AK57" s="408">
        <v>0</v>
      </c>
      <c r="AL57" s="408">
        <v>0</v>
      </c>
      <c r="AM57" s="408"/>
      <c r="AN57" s="408">
        <v>34.012978296243276</v>
      </c>
      <c r="AO57" s="408">
        <v>0</v>
      </c>
      <c r="AP57" s="408">
        <v>0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>
        <v>0</v>
      </c>
      <c r="BG57" s="408">
        <v>505.03850916216248</v>
      </c>
      <c r="BH57" s="408">
        <v>0</v>
      </c>
      <c r="BI57" s="408">
        <v>0</v>
      </c>
      <c r="BJ57" s="408">
        <v>0</v>
      </c>
      <c r="BK57" s="408">
        <v>2220.1</v>
      </c>
      <c r="BL57" s="408">
        <v>113</v>
      </c>
      <c r="BM57" s="408"/>
      <c r="BN57" s="408"/>
      <c r="BO57" s="408"/>
      <c r="BP57" s="408"/>
      <c r="BQ57" s="408"/>
      <c r="BR57" s="408"/>
      <c r="BS57" s="408"/>
      <c r="BT57" s="408">
        <v>3533.5316000000003</v>
      </c>
      <c r="BU57" s="408"/>
      <c r="BV57" s="408">
        <v>4166.0519790902226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5301.9779999999992</v>
      </c>
      <c r="CJ57" s="408">
        <v>-2708.8805000000011</v>
      </c>
      <c r="CK57" s="408"/>
      <c r="CL57" s="408"/>
      <c r="CM57" s="408"/>
      <c r="CN57" s="408"/>
      <c r="CO57" s="408">
        <v>-4517.7937499999998</v>
      </c>
      <c r="CP57" s="408">
        <v>0</v>
      </c>
      <c r="CQ57" s="408">
        <v>31</v>
      </c>
      <c r="CR57" s="408">
        <v>-5.711564271979114</v>
      </c>
      <c r="CS57" s="408">
        <v>0</v>
      </c>
      <c r="CT57" s="408">
        <v>0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-4.6070560407906669</v>
      </c>
      <c r="DA57" s="408">
        <v>0</v>
      </c>
      <c r="DB57" s="408">
        <v>0</v>
      </c>
      <c r="DC57" s="408">
        <v>-5.1325059757800773E-7</v>
      </c>
      <c r="DD57" s="408">
        <v>0</v>
      </c>
      <c r="DE57" s="408">
        <v>0</v>
      </c>
      <c r="DF57" s="408">
        <v>0</v>
      </c>
      <c r="DG57" s="408">
        <v>-7.0802798290969804E-8</v>
      </c>
      <c r="DH57" s="408">
        <v>0</v>
      </c>
      <c r="DI57" s="408">
        <v>0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0</v>
      </c>
      <c r="DP57" s="408">
        <v>-1.1045076471360247</v>
      </c>
      <c r="DQ57" s="408">
        <v>0</v>
      </c>
      <c r="DR57" s="408">
        <v>0</v>
      </c>
      <c r="DS57" s="408"/>
      <c r="DT57" s="408"/>
      <c r="DU57" s="408"/>
      <c r="DV57" s="408">
        <v>7358.9274823269734</v>
      </c>
      <c r="DW57" s="408">
        <v>0</v>
      </c>
      <c r="DX57" s="408">
        <v>0</v>
      </c>
      <c r="DY57" s="408">
        <v>-4517.7937499999998</v>
      </c>
      <c r="DZ57" s="408">
        <v>0</v>
      </c>
      <c r="EA57" s="408">
        <v>0</v>
      </c>
      <c r="EB57" s="408">
        <v>0</v>
      </c>
      <c r="EC57" s="408">
        <v>-4512.0904875777405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265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59</v>
      </c>
      <c r="B58" s="408" t="s">
        <v>2230</v>
      </c>
      <c r="C58" s="408" t="s">
        <v>2227</v>
      </c>
      <c r="D58" s="408" t="s">
        <v>1949</v>
      </c>
      <c r="E58" s="408" t="s">
        <v>964</v>
      </c>
      <c r="F58" s="408" t="s">
        <v>2232</v>
      </c>
      <c r="G58" s="408" t="s">
        <v>1317</v>
      </c>
      <c r="H58" s="408" t="s">
        <v>1317</v>
      </c>
      <c r="I58" s="408" t="s">
        <v>1317</v>
      </c>
      <c r="J58" s="408" t="s">
        <v>2228</v>
      </c>
      <c r="K58" s="828">
        <v>44409</v>
      </c>
      <c r="L58" s="408">
        <v>0</v>
      </c>
      <c r="M58" s="408">
        <v>0</v>
      </c>
      <c r="N58" s="408">
        <v>0</v>
      </c>
      <c r="O58" s="408">
        <v>0</v>
      </c>
      <c r="P58" s="408">
        <v>0</v>
      </c>
      <c r="Q58" s="408">
        <v>0</v>
      </c>
      <c r="R58" s="408"/>
      <c r="S58" s="408"/>
      <c r="T58" s="408"/>
      <c r="U58" s="408"/>
      <c r="V58" s="408"/>
      <c r="W58" s="408"/>
      <c r="X58" s="408"/>
      <c r="Y58" s="408"/>
      <c r="Z58" s="408"/>
      <c r="AA58" s="408">
        <v>0</v>
      </c>
      <c r="AB58" s="408"/>
      <c r="AC58" s="408"/>
      <c r="AD58" s="408"/>
      <c r="AE58" s="408"/>
      <c r="AF58" s="408"/>
      <c r="AG58" s="408"/>
      <c r="AH58" s="408"/>
      <c r="AI58" s="408"/>
      <c r="AJ58" s="408"/>
      <c r="AK58" s="408"/>
      <c r="AL58" s="408"/>
      <c r="AM58" s="408"/>
      <c r="AN58" s="408"/>
      <c r="AO58" s="408"/>
      <c r="AP58" s="408"/>
      <c r="AQ58" s="408"/>
      <c r="AR58" s="408"/>
      <c r="AS58" s="408"/>
      <c r="AT58" s="408"/>
      <c r="AU58" s="408"/>
      <c r="AV58" s="408"/>
      <c r="AW58" s="408"/>
      <c r="AX58" s="408"/>
      <c r="AY58" s="408"/>
      <c r="AZ58" s="408">
        <v>0</v>
      </c>
      <c r="BA58" s="408"/>
      <c r="BB58" s="408"/>
      <c r="BC58" s="408"/>
      <c r="BD58" s="408"/>
      <c r="BE58" s="408"/>
      <c r="BF58" s="408"/>
      <c r="BG58" s="408"/>
      <c r="BH58" s="408"/>
      <c r="BI58" s="408">
        <v>0</v>
      </c>
      <c r="BJ58" s="408">
        <v>0</v>
      </c>
      <c r="BK58" s="408">
        <v>15.5</v>
      </c>
      <c r="BL58" s="408">
        <v>0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/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/>
      <c r="CJ58" s="408">
        <v>-0.03</v>
      </c>
      <c r="CK58" s="408"/>
      <c r="CL58" s="408"/>
      <c r="CM58" s="408"/>
      <c r="CN58" s="408"/>
      <c r="CO58" s="408">
        <v>0</v>
      </c>
      <c r="CP58" s="408">
        <v>0</v>
      </c>
      <c r="CQ58" s="408">
        <v>31</v>
      </c>
      <c r="CR58" s="408"/>
      <c r="CS58" s="408"/>
      <c r="CT58" s="408"/>
      <c r="CU58" s="408"/>
      <c r="CV58" s="408"/>
      <c r="CW58" s="408"/>
      <c r="CX58" s="408"/>
      <c r="CY58" s="408"/>
      <c r="CZ58" s="408"/>
      <c r="DA58" s="408"/>
      <c r="DB58" s="408"/>
      <c r="DC58" s="408"/>
      <c r="DD58" s="408"/>
      <c r="DE58" s="408"/>
      <c r="DF58" s="408"/>
      <c r="DG58" s="408"/>
      <c r="DH58" s="408"/>
      <c r="DI58" s="408"/>
      <c r="DJ58" s="408"/>
      <c r="DK58" s="408">
        <v>0</v>
      </c>
      <c r="DL58" s="408"/>
      <c r="DM58" s="408"/>
      <c r="DN58" s="408"/>
      <c r="DO58" s="408"/>
      <c r="DP58" s="408"/>
      <c r="DQ58" s="408"/>
      <c r="DR58" s="408"/>
      <c r="DS58" s="408"/>
      <c r="DT58" s="408"/>
      <c r="DU58" s="408"/>
      <c r="DV58" s="408"/>
      <c r="DW58" s="408"/>
      <c r="DX58" s="408"/>
      <c r="DY58" s="408"/>
      <c r="DZ58" s="408"/>
      <c r="EA58" s="408"/>
      <c r="EB58" s="408"/>
      <c r="EC58" s="408"/>
      <c r="ED58" s="408"/>
      <c r="EE58" s="408"/>
      <c r="EF58" s="408"/>
      <c r="EG58" s="408"/>
      <c r="EH58" s="408"/>
      <c r="EI58" s="408"/>
      <c r="EJ58" s="408"/>
      <c r="EK58" s="408"/>
      <c r="EL58" s="408"/>
      <c r="EM58" s="408"/>
      <c r="EN58" s="408"/>
      <c r="EO58" s="408"/>
      <c r="EP58" s="408"/>
      <c r="EQ58" s="408"/>
      <c r="ER58" s="408"/>
      <c r="ES58" s="408"/>
      <c r="ET58" s="408"/>
      <c r="EU58" s="408"/>
      <c r="EV58" s="408">
        <v>265</v>
      </c>
      <c r="EW58" s="408"/>
      <c r="EX58" s="408"/>
      <c r="EY58" s="408"/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60</v>
      </c>
      <c r="B59" s="408" t="s">
        <v>1031</v>
      </c>
      <c r="C59" s="408" t="s">
        <v>2227</v>
      </c>
      <c r="D59" s="408" t="s">
        <v>1949</v>
      </c>
      <c r="E59" s="408" t="s">
        <v>964</v>
      </c>
      <c r="F59" s="408" t="s">
        <v>2233</v>
      </c>
      <c r="G59" s="408" t="s">
        <v>1317</v>
      </c>
      <c r="H59" s="408" t="s">
        <v>1317</v>
      </c>
      <c r="I59" s="408" t="s">
        <v>1317</v>
      </c>
      <c r="J59" s="408" t="s">
        <v>2228</v>
      </c>
      <c r="K59" s="828">
        <v>44409</v>
      </c>
      <c r="L59" s="408">
        <v>0</v>
      </c>
      <c r="M59" s="408">
        <v>0</v>
      </c>
      <c r="N59" s="408">
        <v>9.2449999999999992</v>
      </c>
      <c r="O59" s="408">
        <v>9.2449999999999992</v>
      </c>
      <c r="P59" s="408">
        <v>9.2449999999999992</v>
      </c>
      <c r="Q59" s="408">
        <v>9.2449999999999992</v>
      </c>
      <c r="R59" s="408"/>
      <c r="S59" s="408">
        <v>667.62</v>
      </c>
      <c r="T59" s="408">
        <v>252.22</v>
      </c>
      <c r="U59" s="408"/>
      <c r="V59" s="408">
        <v>8503.9207999999999</v>
      </c>
      <c r="W59" s="408">
        <v>8503.9207999999999</v>
      </c>
      <c r="X59" s="408">
        <v>5626.4145499999995</v>
      </c>
      <c r="Y59" s="408">
        <v>0</v>
      </c>
      <c r="Z59" s="408">
        <v>0</v>
      </c>
      <c r="AA59" s="408">
        <v>0</v>
      </c>
      <c r="AB59" s="408">
        <v>0</v>
      </c>
      <c r="AC59" s="408">
        <v>0</v>
      </c>
      <c r="AD59" s="408">
        <v>1141.7351353856925</v>
      </c>
      <c r="AE59" s="408">
        <v>4687.1019341448755</v>
      </c>
      <c r="AF59" s="408">
        <v>2331.7994853244859</v>
      </c>
      <c r="AG59" s="408">
        <v>0</v>
      </c>
      <c r="AH59" s="408">
        <v>0</v>
      </c>
      <c r="AI59" s="408">
        <v>0</v>
      </c>
      <c r="AJ59" s="408">
        <v>0</v>
      </c>
      <c r="AK59" s="408">
        <v>0</v>
      </c>
      <c r="AL59" s="408">
        <v>0</v>
      </c>
      <c r="AM59" s="408"/>
      <c r="AN59" s="408">
        <v>21.663794994748127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321.67282240469802</v>
      </c>
      <c r="BH59" s="408">
        <v>0</v>
      </c>
      <c r="BI59" s="408">
        <v>0</v>
      </c>
      <c r="BJ59" s="408">
        <v>0</v>
      </c>
      <c r="BK59" s="408">
        <v>2480.1999999999998</v>
      </c>
      <c r="BL59" s="408">
        <v>117</v>
      </c>
      <c r="BM59" s="408"/>
      <c r="BN59" s="408"/>
      <c r="BO59" s="408"/>
      <c r="BP59" s="408"/>
      <c r="BQ59" s="408"/>
      <c r="BR59" s="408"/>
      <c r="BS59" s="408"/>
      <c r="BT59" s="408">
        <v>562.55824999999982</v>
      </c>
      <c r="BU59" s="408"/>
      <c r="BV59" s="408">
        <v>2653.4723077291837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5066.5950000000003</v>
      </c>
      <c r="CJ59" s="408">
        <v>-2587.0006999999996</v>
      </c>
      <c r="CK59" s="408"/>
      <c r="CL59" s="408"/>
      <c r="CM59" s="408"/>
      <c r="CN59" s="408"/>
      <c r="CO59" s="408">
        <v>-2877.5062499999999</v>
      </c>
      <c r="CP59" s="408">
        <v>0</v>
      </c>
      <c r="CQ59" s="408">
        <v>31</v>
      </c>
      <c r="CR59" s="408">
        <v>-3.6378513051636219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-2.9343598413440759</v>
      </c>
      <c r="DA59" s="408">
        <v>0</v>
      </c>
      <c r="DB59" s="408">
        <v>0</v>
      </c>
      <c r="DC59" s="408">
        <v>-3.2690331863705069E-7</v>
      </c>
      <c r="DD59" s="408">
        <v>0</v>
      </c>
      <c r="DE59" s="408">
        <v>0</v>
      </c>
      <c r="DF59" s="408">
        <v>0</v>
      </c>
      <c r="DG59" s="408">
        <v>-4.5096214762452291E-8</v>
      </c>
      <c r="DH59" s="408">
        <v>0</v>
      </c>
      <c r="DI59" s="408">
        <v>0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0</v>
      </c>
      <c r="DP59" s="408">
        <v>-0.70349109182036074</v>
      </c>
      <c r="DQ59" s="408">
        <v>0</v>
      </c>
      <c r="DR59" s="408">
        <v>0</v>
      </c>
      <c r="DS59" s="408"/>
      <c r="DT59" s="408"/>
      <c r="DU59" s="408"/>
      <c r="DV59" s="408">
        <v>4687.1019341448755</v>
      </c>
      <c r="DW59" s="408">
        <v>0</v>
      </c>
      <c r="DX59" s="408">
        <v>0</v>
      </c>
      <c r="DY59" s="408">
        <v>-2877.5062499999999</v>
      </c>
      <c r="DZ59" s="408">
        <v>0</v>
      </c>
      <c r="EA59" s="408">
        <v>0</v>
      </c>
      <c r="EB59" s="408">
        <v>0</v>
      </c>
      <c r="EC59" s="408">
        <v>-2873.8736863697013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265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61</v>
      </c>
      <c r="B60" s="408" t="s">
        <v>2230</v>
      </c>
      <c r="C60" s="408" t="s">
        <v>2227</v>
      </c>
      <c r="D60" s="408" t="s">
        <v>1949</v>
      </c>
      <c r="E60" s="408" t="s">
        <v>964</v>
      </c>
      <c r="F60" s="408" t="s">
        <v>2233</v>
      </c>
      <c r="G60" s="408" t="s">
        <v>1317</v>
      </c>
      <c r="H60" s="408" t="s">
        <v>1317</v>
      </c>
      <c r="I60" s="408" t="s">
        <v>1317</v>
      </c>
      <c r="J60" s="408" t="s">
        <v>2228</v>
      </c>
      <c r="K60" s="828">
        <v>44409</v>
      </c>
      <c r="L60" s="408">
        <v>0</v>
      </c>
      <c r="M60" s="408">
        <v>0</v>
      </c>
      <c r="N60" s="408">
        <v>0</v>
      </c>
      <c r="O60" s="408">
        <v>0</v>
      </c>
      <c r="P60" s="408">
        <v>0</v>
      </c>
      <c r="Q60" s="408">
        <v>0</v>
      </c>
      <c r="R60" s="408"/>
      <c r="S60" s="408"/>
      <c r="T60" s="408"/>
      <c r="U60" s="408"/>
      <c r="V60" s="408"/>
      <c r="W60" s="408"/>
      <c r="X60" s="408"/>
      <c r="Y60" s="408"/>
      <c r="Z60" s="408"/>
      <c r="AA60" s="408">
        <v>0</v>
      </c>
      <c r="AB60" s="408"/>
      <c r="AC60" s="408"/>
      <c r="AD60" s="408"/>
      <c r="AE60" s="408"/>
      <c r="AF60" s="408"/>
      <c r="AG60" s="408"/>
      <c r="AH60" s="408"/>
      <c r="AI60" s="408"/>
      <c r="AJ60" s="408"/>
      <c r="AK60" s="408"/>
      <c r="AL60" s="408"/>
      <c r="AM60" s="408"/>
      <c r="AN60" s="408"/>
      <c r="AO60" s="408"/>
      <c r="AP60" s="408"/>
      <c r="AQ60" s="408"/>
      <c r="AR60" s="408"/>
      <c r="AS60" s="408"/>
      <c r="AT60" s="408"/>
      <c r="AU60" s="408"/>
      <c r="AV60" s="408"/>
      <c r="AW60" s="408"/>
      <c r="AX60" s="408"/>
      <c r="AY60" s="408"/>
      <c r="AZ60" s="408">
        <v>0</v>
      </c>
      <c r="BA60" s="408"/>
      <c r="BB60" s="408"/>
      <c r="BC60" s="408"/>
      <c r="BD60" s="408"/>
      <c r="BE60" s="408"/>
      <c r="BF60" s="408"/>
      <c r="BG60" s="408"/>
      <c r="BH60" s="408"/>
      <c r="BI60" s="408">
        <v>0</v>
      </c>
      <c r="BJ60" s="408">
        <v>0</v>
      </c>
      <c r="BK60" s="408">
        <v>38.83</v>
      </c>
      <c r="BL60" s="408">
        <v>2</v>
      </c>
      <c r="BM60" s="408"/>
      <c r="BN60" s="408"/>
      <c r="BO60" s="408"/>
      <c r="BP60" s="408"/>
      <c r="BQ60" s="408"/>
      <c r="BR60" s="408"/>
      <c r="BS60" s="408"/>
      <c r="BT60" s="408"/>
      <c r="BU60" s="408"/>
      <c r="BV60" s="408"/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/>
      <c r="CJ60" s="408">
        <v>-0.03</v>
      </c>
      <c r="CK60" s="408"/>
      <c r="CL60" s="408"/>
      <c r="CM60" s="408"/>
      <c r="CN60" s="408"/>
      <c r="CO60" s="408">
        <v>0</v>
      </c>
      <c r="CP60" s="408">
        <v>0</v>
      </c>
      <c r="CQ60" s="408">
        <v>31</v>
      </c>
      <c r="CR60" s="408"/>
      <c r="CS60" s="408"/>
      <c r="CT60" s="408"/>
      <c r="CU60" s="408"/>
      <c r="CV60" s="408"/>
      <c r="CW60" s="408"/>
      <c r="CX60" s="408"/>
      <c r="CY60" s="408"/>
      <c r="CZ60" s="408"/>
      <c r="DA60" s="408"/>
      <c r="DB60" s="408"/>
      <c r="DC60" s="408"/>
      <c r="DD60" s="408"/>
      <c r="DE60" s="408"/>
      <c r="DF60" s="408"/>
      <c r="DG60" s="408"/>
      <c r="DH60" s="408"/>
      <c r="DI60" s="408"/>
      <c r="DJ60" s="408"/>
      <c r="DK60" s="408">
        <v>0</v>
      </c>
      <c r="DL60" s="408"/>
      <c r="DM60" s="408"/>
      <c r="DN60" s="408"/>
      <c r="DO60" s="408"/>
      <c r="DP60" s="408"/>
      <c r="DQ60" s="408"/>
      <c r="DR60" s="408"/>
      <c r="DS60" s="408"/>
      <c r="DT60" s="408"/>
      <c r="DU60" s="408"/>
      <c r="DV60" s="408"/>
      <c r="DW60" s="408"/>
      <c r="DX60" s="408"/>
      <c r="DY60" s="408"/>
      <c r="DZ60" s="408"/>
      <c r="EA60" s="408"/>
      <c r="EB60" s="408"/>
      <c r="EC60" s="408"/>
      <c r="ED60" s="408"/>
      <c r="EE60" s="408"/>
      <c r="EF60" s="408"/>
      <c r="EG60" s="408"/>
      <c r="EH60" s="408"/>
      <c r="EI60" s="408"/>
      <c r="EJ60" s="408"/>
      <c r="EK60" s="408"/>
      <c r="EL60" s="408"/>
      <c r="EM60" s="408"/>
      <c r="EN60" s="408"/>
      <c r="EO60" s="408"/>
      <c r="EP60" s="408"/>
      <c r="EQ60" s="408"/>
      <c r="ER60" s="408"/>
      <c r="ES60" s="408"/>
      <c r="ET60" s="408"/>
      <c r="EU60" s="408"/>
      <c r="EV60" s="408">
        <v>265</v>
      </c>
      <c r="EW60" s="408"/>
      <c r="EX60" s="408"/>
      <c r="EY60" s="408"/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62</v>
      </c>
      <c r="B61" s="408" t="s">
        <v>1031</v>
      </c>
      <c r="C61" s="408" t="s">
        <v>2227</v>
      </c>
      <c r="D61" s="408" t="s">
        <v>1949</v>
      </c>
      <c r="E61" s="408" t="s">
        <v>964</v>
      </c>
      <c r="F61" s="408" t="s">
        <v>2234</v>
      </c>
      <c r="G61" s="408" t="s">
        <v>1317</v>
      </c>
      <c r="H61" s="408" t="s">
        <v>1317</v>
      </c>
      <c r="I61" s="408" t="s">
        <v>1317</v>
      </c>
      <c r="J61" s="408" t="s">
        <v>2228</v>
      </c>
      <c r="K61" s="828">
        <v>44409</v>
      </c>
      <c r="L61" s="408">
        <v>0</v>
      </c>
      <c r="M61" s="408">
        <v>0</v>
      </c>
      <c r="N61" s="408">
        <v>1.6419999999999999</v>
      </c>
      <c r="O61" s="408">
        <v>1.6419999999999999</v>
      </c>
      <c r="P61" s="408">
        <v>1.6419999999999999</v>
      </c>
      <c r="Q61" s="408">
        <v>1.6419999999999999</v>
      </c>
      <c r="R61" s="408"/>
      <c r="S61" s="408">
        <v>667.62</v>
      </c>
      <c r="T61" s="408">
        <v>252.22</v>
      </c>
      <c r="U61" s="408"/>
      <c r="V61" s="408">
        <v>1510.3772799999999</v>
      </c>
      <c r="W61" s="408">
        <v>1510.3772799999999</v>
      </c>
      <c r="X61" s="408">
        <v>999.30477999999994</v>
      </c>
      <c r="Y61" s="408">
        <v>0</v>
      </c>
      <c r="Z61" s="408">
        <v>0</v>
      </c>
      <c r="AA61" s="408">
        <v>0</v>
      </c>
      <c r="AB61" s="408">
        <v>0</v>
      </c>
      <c r="AC61" s="408">
        <v>0</v>
      </c>
      <c r="AD61" s="408">
        <v>202.78302783161786</v>
      </c>
      <c r="AE61" s="408">
        <v>832.47391842789455</v>
      </c>
      <c r="AF61" s="408">
        <v>414.14978419716664</v>
      </c>
      <c r="AG61" s="408">
        <v>0</v>
      </c>
      <c r="AH61" s="408">
        <v>0</v>
      </c>
      <c r="AI61" s="408">
        <v>0</v>
      </c>
      <c r="AJ61" s="408">
        <v>0</v>
      </c>
      <c r="AK61" s="408">
        <v>0</v>
      </c>
      <c r="AL61" s="408">
        <v>0</v>
      </c>
      <c r="AM61" s="408"/>
      <c r="AN61" s="408">
        <v>3.8476962013387155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57.132155152894988</v>
      </c>
      <c r="BH61" s="408">
        <v>0</v>
      </c>
      <c r="BI61" s="408">
        <v>0</v>
      </c>
      <c r="BJ61" s="408">
        <v>0</v>
      </c>
      <c r="BK61" s="408">
        <v>662.23</v>
      </c>
      <c r="BL61" s="408">
        <v>29</v>
      </c>
      <c r="BM61" s="408"/>
      <c r="BN61" s="408"/>
      <c r="BO61" s="408"/>
      <c r="BP61" s="408"/>
      <c r="BQ61" s="408"/>
      <c r="BR61" s="408"/>
      <c r="BS61" s="408"/>
      <c r="BT61" s="408"/>
      <c r="BU61" s="408"/>
      <c r="BV61" s="408">
        <v>471.28193935006163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998.08759999999984</v>
      </c>
      <c r="CJ61" s="408">
        <v>-512.31968000000006</v>
      </c>
      <c r="CK61" s="408"/>
      <c r="CL61" s="408"/>
      <c r="CM61" s="408"/>
      <c r="CN61" s="408"/>
      <c r="CO61" s="408">
        <v>-511.07249999999999</v>
      </c>
      <c r="CP61" s="408">
        <v>0</v>
      </c>
      <c r="CQ61" s="408">
        <v>31</v>
      </c>
      <c r="CR61" s="408">
        <v>-0.6461170192623058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-0.52117023899265291</v>
      </c>
      <c r="DA61" s="408">
        <v>0</v>
      </c>
      <c r="DB61" s="408">
        <v>0</v>
      </c>
      <c r="DC61" s="408">
        <v>-5.8061118579644244E-8</v>
      </c>
      <c r="DD61" s="408">
        <v>0</v>
      </c>
      <c r="DE61" s="408">
        <v>0</v>
      </c>
      <c r="DF61" s="408">
        <v>0</v>
      </c>
      <c r="DG61" s="408">
        <v>-8.0095219345821533E-9</v>
      </c>
      <c r="DH61" s="408">
        <v>0</v>
      </c>
      <c r="DI61" s="408">
        <v>0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0</v>
      </c>
      <c r="DP61" s="408">
        <v>-0.12494671419892223</v>
      </c>
      <c r="DQ61" s="408">
        <v>0</v>
      </c>
      <c r="DR61" s="408">
        <v>0</v>
      </c>
      <c r="DS61" s="408"/>
      <c r="DT61" s="408"/>
      <c r="DU61" s="408"/>
      <c r="DV61" s="408">
        <v>832.47391842789455</v>
      </c>
      <c r="DW61" s="408">
        <v>0</v>
      </c>
      <c r="DX61" s="408">
        <v>0</v>
      </c>
      <c r="DY61" s="408">
        <v>-511.07249999999988</v>
      </c>
      <c r="DZ61" s="408">
        <v>0</v>
      </c>
      <c r="EA61" s="408">
        <v>0</v>
      </c>
      <c r="EB61" s="408">
        <v>0</v>
      </c>
      <c r="EC61" s="408">
        <v>-510.42732212212536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265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63</v>
      </c>
      <c r="B62" s="408" t="s">
        <v>2230</v>
      </c>
      <c r="C62" s="408" t="s">
        <v>2227</v>
      </c>
      <c r="D62" s="408" t="s">
        <v>1949</v>
      </c>
      <c r="E62" s="408" t="s">
        <v>964</v>
      </c>
      <c r="F62" s="408" t="s">
        <v>2234</v>
      </c>
      <c r="G62" s="408" t="s">
        <v>1317</v>
      </c>
      <c r="H62" s="408" t="s">
        <v>1317</v>
      </c>
      <c r="I62" s="408" t="s">
        <v>1317</v>
      </c>
      <c r="J62" s="408" t="s">
        <v>2228</v>
      </c>
      <c r="K62" s="828">
        <v>44409</v>
      </c>
      <c r="L62" s="408">
        <v>0</v>
      </c>
      <c r="M62" s="408">
        <v>0</v>
      </c>
      <c r="N62" s="408">
        <v>0</v>
      </c>
      <c r="O62" s="408">
        <v>0</v>
      </c>
      <c r="P62" s="408">
        <v>0</v>
      </c>
      <c r="Q62" s="408">
        <v>0</v>
      </c>
      <c r="R62" s="408"/>
      <c r="S62" s="408"/>
      <c r="T62" s="408"/>
      <c r="U62" s="408"/>
      <c r="V62" s="408"/>
      <c r="W62" s="408"/>
      <c r="X62" s="408"/>
      <c r="Y62" s="408"/>
      <c r="Z62" s="408"/>
      <c r="AA62" s="408">
        <v>0</v>
      </c>
      <c r="AB62" s="408"/>
      <c r="AC62" s="408"/>
      <c r="AD62" s="408"/>
      <c r="AE62" s="408"/>
      <c r="AF62" s="408"/>
      <c r="AG62" s="408"/>
      <c r="AH62" s="408"/>
      <c r="AI62" s="408"/>
      <c r="AJ62" s="408"/>
      <c r="AK62" s="408"/>
      <c r="AL62" s="408"/>
      <c r="AM62" s="408"/>
      <c r="AN62" s="408"/>
      <c r="AO62" s="408"/>
      <c r="AP62" s="408"/>
      <c r="AQ62" s="408"/>
      <c r="AR62" s="408"/>
      <c r="AS62" s="408"/>
      <c r="AT62" s="408"/>
      <c r="AU62" s="408"/>
      <c r="AV62" s="408"/>
      <c r="AW62" s="408"/>
      <c r="AX62" s="408"/>
      <c r="AY62" s="408"/>
      <c r="AZ62" s="408">
        <v>0</v>
      </c>
      <c r="BA62" s="408"/>
      <c r="BB62" s="408"/>
      <c r="BC62" s="408"/>
      <c r="BD62" s="408"/>
      <c r="BE62" s="408"/>
      <c r="BF62" s="408"/>
      <c r="BG62" s="408"/>
      <c r="BH62" s="408"/>
      <c r="BI62" s="408">
        <v>0</v>
      </c>
      <c r="BJ62" s="408">
        <v>0</v>
      </c>
      <c r="BK62" s="408">
        <v>24.32</v>
      </c>
      <c r="BL62" s="408">
        <v>1</v>
      </c>
      <c r="BM62" s="408"/>
      <c r="BN62" s="408"/>
      <c r="BO62" s="408"/>
      <c r="BP62" s="408"/>
      <c r="BQ62" s="408"/>
      <c r="BR62" s="408"/>
      <c r="BS62" s="408"/>
      <c r="BT62" s="408"/>
      <c r="BU62" s="408"/>
      <c r="BV62" s="408"/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/>
      <c r="CJ62" s="408">
        <v>-0.03</v>
      </c>
      <c r="CK62" s="408"/>
      <c r="CL62" s="408"/>
      <c r="CM62" s="408"/>
      <c r="CN62" s="408"/>
      <c r="CO62" s="408">
        <v>0</v>
      </c>
      <c r="CP62" s="408">
        <v>0</v>
      </c>
      <c r="CQ62" s="408">
        <v>31</v>
      </c>
      <c r="CR62" s="408"/>
      <c r="CS62" s="408"/>
      <c r="CT62" s="408"/>
      <c r="CU62" s="408"/>
      <c r="CV62" s="408"/>
      <c r="CW62" s="408"/>
      <c r="CX62" s="408"/>
      <c r="CY62" s="408"/>
      <c r="CZ62" s="408"/>
      <c r="DA62" s="408"/>
      <c r="DB62" s="408"/>
      <c r="DC62" s="408"/>
      <c r="DD62" s="408"/>
      <c r="DE62" s="408"/>
      <c r="DF62" s="408"/>
      <c r="DG62" s="408"/>
      <c r="DH62" s="408"/>
      <c r="DI62" s="408"/>
      <c r="DJ62" s="408"/>
      <c r="DK62" s="408">
        <v>0</v>
      </c>
      <c r="DL62" s="408"/>
      <c r="DM62" s="408"/>
      <c r="DN62" s="408"/>
      <c r="DO62" s="408"/>
      <c r="DP62" s="408"/>
      <c r="DQ62" s="408"/>
      <c r="DR62" s="408"/>
      <c r="DS62" s="408"/>
      <c r="DT62" s="408"/>
      <c r="DU62" s="408"/>
      <c r="DV62" s="408"/>
      <c r="DW62" s="408"/>
      <c r="DX62" s="408"/>
      <c r="DY62" s="408"/>
      <c r="DZ62" s="408"/>
      <c r="EA62" s="408"/>
      <c r="EB62" s="408"/>
      <c r="EC62" s="408"/>
      <c r="ED62" s="408"/>
      <c r="EE62" s="408"/>
      <c r="EF62" s="408"/>
      <c r="EG62" s="408"/>
      <c r="EH62" s="408"/>
      <c r="EI62" s="408"/>
      <c r="EJ62" s="408"/>
      <c r="EK62" s="408"/>
      <c r="EL62" s="408"/>
      <c r="EM62" s="408"/>
      <c r="EN62" s="408"/>
      <c r="EO62" s="408"/>
      <c r="EP62" s="408"/>
      <c r="EQ62" s="408"/>
      <c r="ER62" s="408"/>
      <c r="ES62" s="408"/>
      <c r="ET62" s="408"/>
      <c r="EU62" s="408"/>
      <c r="EV62" s="408">
        <v>265</v>
      </c>
      <c r="EW62" s="408"/>
      <c r="EX62" s="408"/>
      <c r="EY62" s="408"/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65</v>
      </c>
      <c r="B63" s="408" t="s">
        <v>1031</v>
      </c>
      <c r="C63" s="408" t="s">
        <v>2227</v>
      </c>
      <c r="D63" s="408" t="s">
        <v>1952</v>
      </c>
      <c r="E63" s="408" t="s">
        <v>965</v>
      </c>
      <c r="F63" s="408" t="s">
        <v>1317</v>
      </c>
      <c r="G63" s="408" t="s">
        <v>1317</v>
      </c>
      <c r="H63" s="408" t="s">
        <v>1317</v>
      </c>
      <c r="I63" s="408" t="s">
        <v>1317</v>
      </c>
      <c r="J63" s="408" t="s">
        <v>2228</v>
      </c>
      <c r="K63" s="828">
        <v>44409</v>
      </c>
      <c r="L63" s="408">
        <v>0</v>
      </c>
      <c r="M63" s="408">
        <v>0</v>
      </c>
      <c r="N63" s="408">
        <v>44.094999999999999</v>
      </c>
      <c r="O63" s="408">
        <v>44.094999999999999</v>
      </c>
      <c r="P63" s="408">
        <v>44.094999999999999</v>
      </c>
      <c r="Q63" s="408">
        <v>44.094999999999999</v>
      </c>
      <c r="R63" s="408"/>
      <c r="S63" s="408">
        <v>739.04</v>
      </c>
      <c r="T63" s="408">
        <v>252.22</v>
      </c>
      <c r="U63" s="408"/>
      <c r="V63" s="408">
        <v>43709.609700000001</v>
      </c>
      <c r="W63" s="408">
        <v>43709.609700000001</v>
      </c>
      <c r="X63" s="408">
        <v>29895.087149999999</v>
      </c>
      <c r="Y63" s="408">
        <v>0</v>
      </c>
      <c r="Z63" s="408">
        <v>2727.4149413090918</v>
      </c>
      <c r="AA63" s="408">
        <v>0</v>
      </c>
      <c r="AB63" s="408">
        <v>0</v>
      </c>
      <c r="AC63" s="408">
        <v>0</v>
      </c>
      <c r="AD63" s="408">
        <v>5445.6258296194819</v>
      </c>
      <c r="AE63" s="408">
        <v>22355.625720510361</v>
      </c>
      <c r="AF63" s="408">
        <v>11121.762931896506</v>
      </c>
      <c r="AG63" s="408">
        <v>0</v>
      </c>
      <c r="AH63" s="408">
        <v>0</v>
      </c>
      <c r="AI63" s="408">
        <v>0</v>
      </c>
      <c r="AJ63" s="408">
        <v>0</v>
      </c>
      <c r="AK63" s="408">
        <v>0</v>
      </c>
      <c r="AL63" s="408">
        <v>421.59358186844781</v>
      </c>
      <c r="AM63" s="408"/>
      <c r="AN63" s="408">
        <v>103.32774908528054</v>
      </c>
      <c r="AO63" s="408">
        <v>0</v>
      </c>
      <c r="AP63" s="408">
        <v>0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>
        <v>0</v>
      </c>
      <c r="BG63" s="408">
        <v>1534.2523638653499</v>
      </c>
      <c r="BH63" s="408">
        <v>0</v>
      </c>
      <c r="BI63" s="408">
        <v>0</v>
      </c>
      <c r="BJ63" s="408">
        <v>0</v>
      </c>
      <c r="BK63" s="408">
        <v>6864.83</v>
      </c>
      <c r="BL63" s="408">
        <v>17</v>
      </c>
      <c r="BM63" s="408"/>
      <c r="BN63" s="408"/>
      <c r="BO63" s="408"/>
      <c r="BP63" s="408"/>
      <c r="BQ63" s="408"/>
      <c r="BR63" s="408"/>
      <c r="BS63" s="408"/>
      <c r="BT63" s="408"/>
      <c r="BU63" s="408"/>
      <c r="BV63" s="408">
        <v>12656.015295761856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29898.476999999999</v>
      </c>
      <c r="CJ63" s="408">
        <v>-13811.162700000001</v>
      </c>
      <c r="CK63" s="408"/>
      <c r="CL63" s="408"/>
      <c r="CM63" s="408"/>
      <c r="CN63" s="408"/>
      <c r="CO63" s="408">
        <v>-13814.522549999998</v>
      </c>
      <c r="CP63" s="408">
        <v>0</v>
      </c>
      <c r="CQ63" s="408">
        <v>31</v>
      </c>
      <c r="CR63" s="408">
        <v>-107.24772362877411</v>
      </c>
      <c r="CS63" s="408">
        <v>0</v>
      </c>
      <c r="CT63" s="408">
        <v>0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-13.995737934457793</v>
      </c>
      <c r="DA63" s="408">
        <v>0</v>
      </c>
      <c r="DB63" s="408">
        <v>0</v>
      </c>
      <c r="DC63" s="408">
        <v>-1.5591995179420337E-6</v>
      </c>
      <c r="DD63" s="408">
        <v>0</v>
      </c>
      <c r="DE63" s="408">
        <v>0</v>
      </c>
      <c r="DF63" s="408">
        <v>0</v>
      </c>
      <c r="DG63" s="408">
        <v>-2.1509117686946411E-7</v>
      </c>
      <c r="DH63" s="408">
        <v>0</v>
      </c>
      <c r="DI63" s="408">
        <v>-79.305287089597641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-10.59132206636059</v>
      </c>
      <c r="DP63" s="408">
        <v>-3.3553747640690972</v>
      </c>
      <c r="DQ63" s="408">
        <v>0</v>
      </c>
      <c r="DR63" s="408">
        <v>0</v>
      </c>
      <c r="DS63" s="408"/>
      <c r="DT63" s="408"/>
      <c r="DU63" s="408"/>
      <c r="DV63" s="408">
        <v>22355.625720510361</v>
      </c>
      <c r="DW63" s="408">
        <v>0</v>
      </c>
      <c r="DX63" s="408">
        <v>0</v>
      </c>
      <c r="DY63" s="408">
        <v>-13814.522549999998</v>
      </c>
      <c r="DZ63" s="408">
        <v>0</v>
      </c>
      <c r="EA63" s="408">
        <v>0</v>
      </c>
      <c r="EB63" s="408">
        <v>0</v>
      </c>
      <c r="EC63" s="408">
        <v>-13707.242855648672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265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66</v>
      </c>
      <c r="B64" s="408" t="s">
        <v>2230</v>
      </c>
      <c r="C64" s="408" t="s">
        <v>2227</v>
      </c>
      <c r="D64" s="408" t="s">
        <v>1952</v>
      </c>
      <c r="E64" s="408" t="s">
        <v>965</v>
      </c>
      <c r="F64" s="408" t="s">
        <v>1317</v>
      </c>
      <c r="G64" s="408" t="s">
        <v>1317</v>
      </c>
      <c r="H64" s="408" t="s">
        <v>1317</v>
      </c>
      <c r="I64" s="408" t="s">
        <v>1317</v>
      </c>
      <c r="J64" s="408" t="s">
        <v>2228</v>
      </c>
      <c r="K64" s="828">
        <v>44409</v>
      </c>
      <c r="L64" s="408">
        <v>0</v>
      </c>
      <c r="M64" s="408">
        <v>0</v>
      </c>
      <c r="N64" s="408">
        <v>9.2780000000000005</v>
      </c>
      <c r="O64" s="408">
        <v>9.2780000000000005</v>
      </c>
      <c r="P64" s="408">
        <v>9.2780000000000005</v>
      </c>
      <c r="Q64" s="408">
        <v>9.2780000000000005</v>
      </c>
      <c r="R64" s="408"/>
      <c r="S64" s="408">
        <v>739.04</v>
      </c>
      <c r="T64" s="408">
        <v>252.22</v>
      </c>
      <c r="U64" s="408"/>
      <c r="V64" s="408">
        <v>9196.9102800000001</v>
      </c>
      <c r="W64" s="408">
        <v>9196.9102800000001</v>
      </c>
      <c r="X64" s="408">
        <v>6290.2056600000005</v>
      </c>
      <c r="Y64" s="408">
        <v>0</v>
      </c>
      <c r="Z64" s="408">
        <v>573.87358715196183</v>
      </c>
      <c r="AA64" s="408">
        <v>0</v>
      </c>
      <c r="AB64" s="408">
        <v>0</v>
      </c>
      <c r="AC64" s="408">
        <v>0</v>
      </c>
      <c r="AD64" s="408">
        <v>1145.8105555552684</v>
      </c>
      <c r="AE64" s="408">
        <v>4703.8325305566423</v>
      </c>
      <c r="AF64" s="408">
        <v>2340.122836651226</v>
      </c>
      <c r="AG64" s="408">
        <v>0</v>
      </c>
      <c r="AH64" s="408">
        <v>0</v>
      </c>
      <c r="AI64" s="408">
        <v>0</v>
      </c>
      <c r="AJ64" s="408">
        <v>0</v>
      </c>
      <c r="AK64" s="408">
        <v>0</v>
      </c>
      <c r="AL64" s="408">
        <v>88.707228769145232</v>
      </c>
      <c r="AM64" s="408"/>
      <c r="AN64" s="408">
        <v>21.741123846541171</v>
      </c>
      <c r="AO64" s="408">
        <v>0</v>
      </c>
      <c r="AP64" s="408">
        <v>0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>
        <v>0</v>
      </c>
      <c r="BG64" s="408">
        <v>322.82103258742978</v>
      </c>
      <c r="BH64" s="408">
        <v>0</v>
      </c>
      <c r="BI64" s="408">
        <v>0</v>
      </c>
      <c r="BJ64" s="408">
        <v>0</v>
      </c>
      <c r="BK64" s="408">
        <v>2589.56</v>
      </c>
      <c r="BL64" s="408">
        <v>11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2662.9438692386557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6291.5615999999991</v>
      </c>
      <c r="CJ64" s="408">
        <v>-2905.3786800000016</v>
      </c>
      <c r="CK64" s="408"/>
      <c r="CL64" s="408"/>
      <c r="CM64" s="408"/>
      <c r="CN64" s="408"/>
      <c r="CO64" s="408">
        <v>-2906.70462</v>
      </c>
      <c r="CP64" s="408">
        <v>0</v>
      </c>
      <c r="CQ64" s="408">
        <v>31</v>
      </c>
      <c r="CR64" s="408">
        <v>-22.565923116630984</v>
      </c>
      <c r="CS64" s="408">
        <v>0</v>
      </c>
      <c r="CT64" s="408">
        <v>0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-2.9448340300693872</v>
      </c>
      <c r="DA64" s="408">
        <v>0</v>
      </c>
      <c r="DB64" s="408">
        <v>0</v>
      </c>
      <c r="DC64" s="408">
        <v>-3.2807020033942536E-7</v>
      </c>
      <c r="DD64" s="408">
        <v>0</v>
      </c>
      <c r="DE64" s="408">
        <v>0</v>
      </c>
      <c r="DF64" s="408">
        <v>0</v>
      </c>
      <c r="DG64" s="408">
        <v>-4.52571953246661E-8</v>
      </c>
      <c r="DH64" s="408">
        <v>0</v>
      </c>
      <c r="DI64" s="408">
        <v>-16.686573389665227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-2.2285131223878807</v>
      </c>
      <c r="DP64" s="408">
        <v>-0.70600220118002355</v>
      </c>
      <c r="DQ64" s="408">
        <v>0</v>
      </c>
      <c r="DR64" s="408">
        <v>0</v>
      </c>
      <c r="DS64" s="408"/>
      <c r="DT64" s="408"/>
      <c r="DU64" s="408"/>
      <c r="DV64" s="408">
        <v>4703.8325305566423</v>
      </c>
      <c r="DW64" s="408">
        <v>0</v>
      </c>
      <c r="DX64" s="408">
        <v>0</v>
      </c>
      <c r="DY64" s="408">
        <v>-2906.7046199999995</v>
      </c>
      <c r="DZ64" s="408">
        <v>0</v>
      </c>
      <c r="EA64" s="408">
        <v>0</v>
      </c>
      <c r="EB64" s="408">
        <v>0</v>
      </c>
      <c r="EC64" s="408">
        <v>-2884.1319699446285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265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67</v>
      </c>
      <c r="B65" s="408" t="s">
        <v>1031</v>
      </c>
      <c r="C65" s="408" t="s">
        <v>2235</v>
      </c>
      <c r="D65" s="408" t="s">
        <v>596</v>
      </c>
      <c r="E65" s="408" t="s">
        <v>965</v>
      </c>
      <c r="F65" s="408" t="s">
        <v>1317</v>
      </c>
      <c r="G65" s="408" t="s">
        <v>1317</v>
      </c>
      <c r="H65" s="408" t="s">
        <v>1317</v>
      </c>
      <c r="I65" s="408" t="s">
        <v>968</v>
      </c>
      <c r="J65" s="408" t="s">
        <v>2228</v>
      </c>
      <c r="K65" s="828">
        <v>44409</v>
      </c>
      <c r="L65" s="408">
        <v>0</v>
      </c>
      <c r="M65" s="408">
        <v>0</v>
      </c>
      <c r="N65" s="408">
        <v>19.786999999999999</v>
      </c>
      <c r="O65" s="408">
        <v>19.786999999999999</v>
      </c>
      <c r="P65" s="408">
        <v>19.786999999999999</v>
      </c>
      <c r="Q65" s="408">
        <v>19.786999999999999</v>
      </c>
      <c r="R65" s="408"/>
      <c r="S65" s="408">
        <v>2641.06</v>
      </c>
      <c r="T65" s="408">
        <v>252.22</v>
      </c>
      <c r="U65" s="408"/>
      <c r="V65" s="408">
        <v>57249.331359999996</v>
      </c>
      <c r="W65" s="408">
        <v>57249.331359999996</v>
      </c>
      <c r="X65" s="408">
        <v>33981.006580000001</v>
      </c>
      <c r="Y65" s="408">
        <v>0</v>
      </c>
      <c r="Z65" s="408">
        <v>1064.7829167933826</v>
      </c>
      <c r="AA65" s="408">
        <v>0</v>
      </c>
      <c r="AB65" s="408">
        <v>0</v>
      </c>
      <c r="AC65" s="408">
        <v>0</v>
      </c>
      <c r="AD65" s="408">
        <v>12817.365441799882</v>
      </c>
      <c r="AE65" s="408">
        <v>37834.531571435647</v>
      </c>
      <c r="AF65" s="408">
        <v>4990.7319000665875</v>
      </c>
      <c r="AG65" s="408">
        <v>0</v>
      </c>
      <c r="AH65" s="408">
        <v>0</v>
      </c>
      <c r="AI65" s="408">
        <v>0</v>
      </c>
      <c r="AJ65" s="408">
        <v>0</v>
      </c>
      <c r="AK65" s="408">
        <v>0</v>
      </c>
      <c r="AL65" s="408">
        <v>189.18408446379357</v>
      </c>
      <c r="AM65" s="408"/>
      <c r="AN65" s="408">
        <v>47.605664745461901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305.17176025771488</v>
      </c>
      <c r="BH65" s="408">
        <v>0</v>
      </c>
      <c r="BI65" s="408">
        <v>0</v>
      </c>
      <c r="BJ65" s="408">
        <v>0</v>
      </c>
      <c r="BK65" s="408">
        <v>0</v>
      </c>
      <c r="BL65" s="408">
        <v>0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5295.9036603243021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33986.158599999995</v>
      </c>
      <c r="CJ65" s="408">
        <v>-23263.202760000007</v>
      </c>
      <c r="CK65" s="408"/>
      <c r="CL65" s="408"/>
      <c r="CM65" s="408"/>
      <c r="CN65" s="408"/>
      <c r="CO65" s="408">
        <v>-23268.324779999999</v>
      </c>
      <c r="CP65" s="408">
        <v>0</v>
      </c>
      <c r="CQ65" s="408">
        <v>31</v>
      </c>
      <c r="CR65" s="408">
        <v>-70.201155115792062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-32.941757907437932</v>
      </c>
      <c r="DA65" s="408">
        <v>0</v>
      </c>
      <c r="DB65" s="408">
        <v>0</v>
      </c>
      <c r="DC65" s="408">
        <v>-6.9966881710570306E-7</v>
      </c>
      <c r="DD65" s="408">
        <v>0</v>
      </c>
      <c r="DE65" s="408">
        <v>0</v>
      </c>
      <c r="DF65" s="408">
        <v>0</v>
      </c>
      <c r="DG65" s="408">
        <v>-4.2783483422681456E-8</v>
      </c>
      <c r="DH65" s="408">
        <v>0</v>
      </c>
      <c r="DI65" s="408">
        <v>-30.960787676798418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-4.7527041552801279</v>
      </c>
      <c r="DP65" s="408">
        <v>-1.5459046338252804</v>
      </c>
      <c r="DQ65" s="408">
        <v>0</v>
      </c>
      <c r="DR65" s="408">
        <v>0</v>
      </c>
      <c r="DS65" s="408"/>
      <c r="DT65" s="408"/>
      <c r="DU65" s="408"/>
      <c r="DV65" s="408">
        <v>37834.531571435647</v>
      </c>
      <c r="DW65" s="408">
        <v>0</v>
      </c>
      <c r="DX65" s="408">
        <v>0</v>
      </c>
      <c r="DY65" s="408">
        <v>-23268.324779999999</v>
      </c>
      <c r="DZ65" s="408">
        <v>0</v>
      </c>
      <c r="EA65" s="408">
        <v>0</v>
      </c>
      <c r="EB65" s="408">
        <v>0</v>
      </c>
      <c r="EC65" s="408">
        <v>-23198.058469174259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265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68</v>
      </c>
      <c r="B66" s="408" t="s">
        <v>1031</v>
      </c>
      <c r="C66" s="408" t="s">
        <v>2235</v>
      </c>
      <c r="D66" s="408" t="s">
        <v>596</v>
      </c>
      <c r="E66" s="408" t="s">
        <v>965</v>
      </c>
      <c r="F66" s="408" t="s">
        <v>1317</v>
      </c>
      <c r="G66" s="408" t="s">
        <v>1317</v>
      </c>
      <c r="H66" s="408" t="s">
        <v>1317</v>
      </c>
      <c r="I66" s="408" t="s">
        <v>2236</v>
      </c>
      <c r="J66" s="408" t="s">
        <v>2228</v>
      </c>
      <c r="K66" s="828">
        <v>44409</v>
      </c>
      <c r="L66" s="408">
        <v>0</v>
      </c>
      <c r="M66" s="408">
        <v>0</v>
      </c>
      <c r="N66" s="408">
        <v>428.952</v>
      </c>
      <c r="O66" s="408">
        <v>428.952</v>
      </c>
      <c r="P66" s="408">
        <v>428.952</v>
      </c>
      <c r="Q66" s="408">
        <v>428.952</v>
      </c>
      <c r="R66" s="408"/>
      <c r="S66" s="408">
        <v>81.2</v>
      </c>
      <c r="T66" s="408">
        <v>252.22</v>
      </c>
      <c r="U66" s="408"/>
      <c r="V66" s="408">
        <v>143021.17584000001</v>
      </c>
      <c r="W66" s="408">
        <v>143021.17584000001</v>
      </c>
      <c r="X66" s="408">
        <v>142214.74608000001</v>
      </c>
      <c r="Y66" s="408">
        <v>0</v>
      </c>
      <c r="Z66" s="408">
        <v>23082.870658733264</v>
      </c>
      <c r="AA66" s="408">
        <v>0</v>
      </c>
      <c r="AB66" s="408">
        <v>0</v>
      </c>
      <c r="AC66" s="408">
        <v>0</v>
      </c>
      <c r="AD66" s="408">
        <v>0</v>
      </c>
      <c r="AE66" s="408">
        <v>0</v>
      </c>
      <c r="AF66" s="408">
        <v>108191.46055477652</v>
      </c>
      <c r="AG66" s="408">
        <v>0</v>
      </c>
      <c r="AH66" s="408">
        <v>0</v>
      </c>
      <c r="AI66" s="408">
        <v>0</v>
      </c>
      <c r="AJ66" s="408">
        <v>0</v>
      </c>
      <c r="AK66" s="408">
        <v>0</v>
      </c>
      <c r="AL66" s="408">
        <v>4101.222590534855</v>
      </c>
      <c r="AM66" s="408"/>
      <c r="AN66" s="408">
        <v>1032.0182495525028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6615.6586094944814</v>
      </c>
      <c r="BH66" s="408">
        <v>0</v>
      </c>
      <c r="BI66" s="408">
        <v>0</v>
      </c>
      <c r="BJ66" s="408">
        <v>0</v>
      </c>
      <c r="BK66" s="408">
        <v>0</v>
      </c>
      <c r="BL66" s="408">
        <v>0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114807.119164271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142214.08299999998</v>
      </c>
      <c r="CJ66" s="408">
        <v>-807.12284000002546</v>
      </c>
      <c r="CK66" s="408"/>
      <c r="CL66" s="408"/>
      <c r="CM66" s="408"/>
      <c r="CN66" s="408"/>
      <c r="CO66" s="408">
        <v>-806.42976000000419</v>
      </c>
      <c r="CP66" s="408">
        <v>0</v>
      </c>
      <c r="CQ66" s="408">
        <v>31</v>
      </c>
      <c r="CR66" s="408">
        <v>-807.72693947129301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0</v>
      </c>
      <c r="DA66" s="408">
        <v>0</v>
      </c>
      <c r="DB66" s="408">
        <v>0</v>
      </c>
      <c r="DC66" s="408">
        <v>-1.5167752280831337E-5</v>
      </c>
      <c r="DD66" s="408">
        <v>0</v>
      </c>
      <c r="DE66" s="408">
        <v>0</v>
      </c>
      <c r="DF66" s="408">
        <v>0</v>
      </c>
      <c r="DG66" s="408">
        <v>-9.2747905000578612E-7</v>
      </c>
      <c r="DH66" s="408">
        <v>0</v>
      </c>
      <c r="DI66" s="408">
        <v>-671.18268537615586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-103.03138185756916</v>
      </c>
      <c r="DP66" s="408">
        <v>-33.512856142346891</v>
      </c>
      <c r="DQ66" s="408">
        <v>0</v>
      </c>
      <c r="DR66" s="408">
        <v>0</v>
      </c>
      <c r="DS66" s="408"/>
      <c r="DT66" s="408"/>
      <c r="DU66" s="408"/>
      <c r="DV66" s="408">
        <v>0</v>
      </c>
      <c r="DW66" s="408">
        <v>0</v>
      </c>
      <c r="DX66" s="408">
        <v>0</v>
      </c>
      <c r="DY66" s="408">
        <v>-806.42975999999908</v>
      </c>
      <c r="DZ66" s="408">
        <v>0</v>
      </c>
      <c r="EA66" s="408">
        <v>0</v>
      </c>
      <c r="EB66" s="408">
        <v>0</v>
      </c>
      <c r="EC66" s="408">
        <v>0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265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69</v>
      </c>
      <c r="B67" s="408" t="s">
        <v>1031</v>
      </c>
      <c r="C67" s="408" t="s">
        <v>2235</v>
      </c>
      <c r="D67" s="408" t="s">
        <v>596</v>
      </c>
      <c r="E67" s="408" t="s">
        <v>965</v>
      </c>
      <c r="F67" s="408" t="s">
        <v>1317</v>
      </c>
      <c r="G67" s="408" t="s">
        <v>1317</v>
      </c>
      <c r="H67" s="408" t="s">
        <v>1317</v>
      </c>
      <c r="I67" s="408" t="s">
        <v>1317</v>
      </c>
      <c r="J67" s="408" t="s">
        <v>2228</v>
      </c>
      <c r="K67" s="828">
        <v>44409</v>
      </c>
      <c r="L67" s="408">
        <v>2254</v>
      </c>
      <c r="M67" s="408">
        <v>2254</v>
      </c>
      <c r="N67" s="408">
        <v>0</v>
      </c>
      <c r="O67" s="408">
        <v>0</v>
      </c>
      <c r="P67" s="408">
        <v>0</v>
      </c>
      <c r="Q67" s="408">
        <v>0</v>
      </c>
      <c r="R67" s="408">
        <v>74.44</v>
      </c>
      <c r="S67" s="408"/>
      <c r="T67" s="408"/>
      <c r="U67" s="408">
        <v>167787.76</v>
      </c>
      <c r="V67" s="408"/>
      <c r="W67" s="408">
        <v>167787.76</v>
      </c>
      <c r="X67" s="408">
        <v>102376.68000000001</v>
      </c>
      <c r="Y67" s="408">
        <v>0</v>
      </c>
      <c r="Z67" s="408">
        <v>0</v>
      </c>
      <c r="AA67" s="408">
        <v>0</v>
      </c>
      <c r="AB67" s="408">
        <v>0</v>
      </c>
      <c r="AC67" s="408">
        <v>0</v>
      </c>
      <c r="AD67" s="408">
        <v>61347.326563638358</v>
      </c>
      <c r="AE67" s="408">
        <v>106437.34650363766</v>
      </c>
      <c r="AF67" s="408"/>
      <c r="AG67" s="408"/>
      <c r="AH67" s="408"/>
      <c r="AI67" s="408">
        <v>0</v>
      </c>
      <c r="AJ67" s="408">
        <v>0</v>
      </c>
      <c r="AK67" s="408">
        <v>0</v>
      </c>
      <c r="AL67" s="408">
        <v>0</v>
      </c>
      <c r="AM67" s="408"/>
      <c r="AN67" s="408">
        <v>0</v>
      </c>
      <c r="AO67" s="408">
        <v>0</v>
      </c>
      <c r="AP67" s="408">
        <v>0</v>
      </c>
      <c r="AQ67" s="408">
        <v>0</v>
      </c>
      <c r="AR67" s="408">
        <v>0</v>
      </c>
      <c r="AS67" s="408"/>
      <c r="AT67" s="408"/>
      <c r="AU67" s="408">
        <v>0</v>
      </c>
      <c r="AV67" s="408">
        <v>0</v>
      </c>
      <c r="AW67" s="408">
        <v>0</v>
      </c>
      <c r="AX67" s="408"/>
      <c r="AY67" s="408"/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/>
      <c r="BG67" s="408">
        <v>0</v>
      </c>
      <c r="BH67" s="408">
        <v>0</v>
      </c>
      <c r="BI67" s="408">
        <v>0</v>
      </c>
      <c r="BJ67" s="408">
        <v>0</v>
      </c>
      <c r="BK67" s="408">
        <v>66103.86</v>
      </c>
      <c r="BL67" s="408">
        <v>9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0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102376.68000000001</v>
      </c>
      <c r="CJ67" s="408">
        <v>-65411.11000000003</v>
      </c>
      <c r="CK67" s="408"/>
      <c r="CL67" s="408"/>
      <c r="CM67" s="408"/>
      <c r="CN67" s="408"/>
      <c r="CO67" s="408">
        <v>-65411.079999999994</v>
      </c>
      <c r="CP67" s="408">
        <v>0</v>
      </c>
      <c r="CQ67" s="408">
        <v>31</v>
      </c>
      <c r="CR67" s="408">
        <v>-157.66803163284931</v>
      </c>
      <c r="CS67" s="408">
        <v>0</v>
      </c>
      <c r="CT67" s="408">
        <v>0</v>
      </c>
      <c r="CU67" s="408">
        <v>0</v>
      </c>
      <c r="CV67" s="408">
        <v>0</v>
      </c>
      <c r="CW67" s="408"/>
      <c r="CX67" s="408"/>
      <c r="CY67" s="408"/>
      <c r="CZ67" s="408">
        <v>-157.66803163284931</v>
      </c>
      <c r="DA67" s="408">
        <v>0</v>
      </c>
      <c r="DB67" s="408">
        <v>0</v>
      </c>
      <c r="DC67" s="408"/>
      <c r="DD67" s="408"/>
      <c r="DE67" s="408">
        <v>0</v>
      </c>
      <c r="DF67" s="408">
        <v>0</v>
      </c>
      <c r="DG67" s="408">
        <v>0</v>
      </c>
      <c r="DH67" s="408">
        <v>0</v>
      </c>
      <c r="DI67" s="408">
        <v>0</v>
      </c>
      <c r="DJ67" s="408"/>
      <c r="DK67" s="408">
        <v>0</v>
      </c>
      <c r="DL67" s="408">
        <v>0</v>
      </c>
      <c r="DM67" s="408"/>
      <c r="DN67" s="408">
        <v>0</v>
      </c>
      <c r="DO67" s="408">
        <v>0</v>
      </c>
      <c r="DP67" s="408">
        <v>0</v>
      </c>
      <c r="DQ67" s="408">
        <v>0</v>
      </c>
      <c r="DR67" s="408">
        <v>0</v>
      </c>
      <c r="DS67" s="408"/>
      <c r="DT67" s="408"/>
      <c r="DU67" s="408">
        <v>106437.34650363766</v>
      </c>
      <c r="DV67" s="408"/>
      <c r="DW67" s="408">
        <v>0</v>
      </c>
      <c r="DX67" s="408">
        <v>0</v>
      </c>
      <c r="DY67" s="408">
        <v>-65411.08</v>
      </c>
      <c r="DZ67" s="408"/>
      <c r="EA67" s="408">
        <v>0</v>
      </c>
      <c r="EB67" s="408"/>
      <c r="EC67" s="408">
        <v>-65261.539787618363</v>
      </c>
      <c r="ED67" s="408"/>
      <c r="EE67" s="408">
        <v>0</v>
      </c>
      <c r="EF67" s="408">
        <v>0</v>
      </c>
      <c r="EG67" s="408"/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/>
      <c r="EN67" s="408"/>
      <c r="EO67" s="408">
        <v>0</v>
      </c>
      <c r="EP67" s="408">
        <v>0</v>
      </c>
      <c r="EQ67" s="408"/>
      <c r="ER67" s="408">
        <v>0</v>
      </c>
      <c r="ES67" s="408"/>
      <c r="ET67" s="408">
        <v>0</v>
      </c>
      <c r="EU67" s="408"/>
      <c r="EV67" s="408">
        <v>265</v>
      </c>
      <c r="EW67" s="408"/>
      <c r="EX67" s="408"/>
      <c r="EY67" s="408"/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71</v>
      </c>
      <c r="B68" s="408" t="s">
        <v>1031</v>
      </c>
      <c r="C68" s="408" t="s">
        <v>2227</v>
      </c>
      <c r="D68" s="408" t="s">
        <v>1952</v>
      </c>
      <c r="E68" s="408" t="s">
        <v>993</v>
      </c>
      <c r="F68" s="408" t="s">
        <v>1317</v>
      </c>
      <c r="G68" s="408" t="s">
        <v>1317</v>
      </c>
      <c r="H68" s="408" t="s">
        <v>1317</v>
      </c>
      <c r="I68" s="408" t="s">
        <v>1317</v>
      </c>
      <c r="J68" s="408" t="s">
        <v>2228</v>
      </c>
      <c r="K68" s="828">
        <v>44409</v>
      </c>
      <c r="L68" s="408">
        <v>0</v>
      </c>
      <c r="M68" s="408">
        <v>0</v>
      </c>
      <c r="N68" s="408">
        <v>343.75799999999998</v>
      </c>
      <c r="O68" s="408">
        <v>343.75799999999998</v>
      </c>
      <c r="P68" s="408">
        <v>343.75799999999998</v>
      </c>
      <c r="Q68" s="408">
        <v>343.75799999999998</v>
      </c>
      <c r="R68" s="408"/>
      <c r="S68" s="408">
        <v>739.04</v>
      </c>
      <c r="T68" s="408">
        <v>252.22</v>
      </c>
      <c r="U68" s="408"/>
      <c r="V68" s="408">
        <v>340753.55507999996</v>
      </c>
      <c r="W68" s="408">
        <v>340753.55507999996</v>
      </c>
      <c r="X68" s="408">
        <v>233057.61125999998</v>
      </c>
      <c r="Y68" s="408">
        <v>0</v>
      </c>
      <c r="Z68" s="408">
        <v>21262.517414548834</v>
      </c>
      <c r="AA68" s="408">
        <v>0</v>
      </c>
      <c r="AB68" s="408">
        <v>0</v>
      </c>
      <c r="AC68" s="408">
        <v>0</v>
      </c>
      <c r="AD68" s="408">
        <v>42453.281413727949</v>
      </c>
      <c r="AE68" s="408">
        <v>174281.10185806101</v>
      </c>
      <c r="AF68" s="408">
        <v>86703.594102344476</v>
      </c>
      <c r="AG68" s="408">
        <v>0</v>
      </c>
      <c r="AH68" s="408">
        <v>0</v>
      </c>
      <c r="AI68" s="408">
        <v>0</v>
      </c>
      <c r="AJ68" s="408">
        <v>0</v>
      </c>
      <c r="AK68" s="408">
        <v>0</v>
      </c>
      <c r="AL68" s="408">
        <v>3286.6802702332211</v>
      </c>
      <c r="AM68" s="408"/>
      <c r="AN68" s="408">
        <v>805.52761923251774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11960.801090772762</v>
      </c>
      <c r="BH68" s="408">
        <v>0</v>
      </c>
      <c r="BI68" s="408">
        <v>0</v>
      </c>
      <c r="BJ68" s="408">
        <v>0</v>
      </c>
      <c r="BK68" s="408">
        <v>107336.1</v>
      </c>
      <c r="BL68" s="408">
        <v>847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>
        <v>98664.395193117234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233058.96720000001</v>
      </c>
      <c r="CJ68" s="408">
        <v>-107694.61787999998</v>
      </c>
      <c r="CK68" s="408"/>
      <c r="CL68" s="408"/>
      <c r="CM68" s="408"/>
      <c r="CN68" s="408"/>
      <c r="CO68" s="408">
        <v>-107695.94381999999</v>
      </c>
      <c r="CP68" s="408">
        <v>0</v>
      </c>
      <c r="CQ68" s="408">
        <v>31</v>
      </c>
      <c r="CR68" s="408">
        <v>-836.08715226626373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-109.10867175130261</v>
      </c>
      <c r="DA68" s="408">
        <v>0</v>
      </c>
      <c r="DB68" s="408">
        <v>0</v>
      </c>
      <c r="DC68" s="408">
        <v>-1.2155302101746202E-5</v>
      </c>
      <c r="DD68" s="408">
        <v>0</v>
      </c>
      <c r="DE68" s="408">
        <v>0</v>
      </c>
      <c r="DF68" s="408">
        <v>0</v>
      </c>
      <c r="DG68" s="408">
        <v>-1.6768190107541159E-6</v>
      </c>
      <c r="DH68" s="408">
        <v>0</v>
      </c>
      <c r="DI68" s="408">
        <v>-618.25211201601269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-82.568356749925897</v>
      </c>
      <c r="DP68" s="408">
        <v>-26.15799791692632</v>
      </c>
      <c r="DQ68" s="408">
        <v>0</v>
      </c>
      <c r="DR68" s="408">
        <v>0</v>
      </c>
      <c r="DS68" s="408"/>
      <c r="DT68" s="408"/>
      <c r="DU68" s="408"/>
      <c r="DV68" s="408">
        <v>174281.10185806101</v>
      </c>
      <c r="DW68" s="408">
        <v>0</v>
      </c>
      <c r="DX68" s="408">
        <v>0</v>
      </c>
      <c r="DY68" s="408">
        <v>-107695.94381999999</v>
      </c>
      <c r="DZ68" s="408">
        <v>0</v>
      </c>
      <c r="EA68" s="408">
        <v>0</v>
      </c>
      <c r="EB68" s="408">
        <v>0</v>
      </c>
      <c r="EC68" s="408">
        <v>-106859.60742878049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265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72</v>
      </c>
      <c r="B69" s="408" t="s">
        <v>2230</v>
      </c>
      <c r="C69" s="408" t="s">
        <v>2227</v>
      </c>
      <c r="D69" s="408" t="s">
        <v>1952</v>
      </c>
      <c r="E69" s="408" t="s">
        <v>993</v>
      </c>
      <c r="F69" s="408" t="s">
        <v>1317</v>
      </c>
      <c r="G69" s="408" t="s">
        <v>1317</v>
      </c>
      <c r="H69" s="408" t="s">
        <v>1317</v>
      </c>
      <c r="I69" s="408" t="s">
        <v>1317</v>
      </c>
      <c r="J69" s="408" t="s">
        <v>2228</v>
      </c>
      <c r="K69" s="828">
        <v>44409</v>
      </c>
      <c r="L69" s="408">
        <v>0</v>
      </c>
      <c r="M69" s="408">
        <v>0</v>
      </c>
      <c r="N69" s="408">
        <v>51.625</v>
      </c>
      <c r="O69" s="408">
        <v>51.625</v>
      </c>
      <c r="P69" s="408">
        <v>51.625</v>
      </c>
      <c r="Q69" s="408">
        <v>51.625</v>
      </c>
      <c r="R69" s="408"/>
      <c r="S69" s="408">
        <v>739.04</v>
      </c>
      <c r="T69" s="408">
        <v>252.22</v>
      </c>
      <c r="U69" s="408"/>
      <c r="V69" s="408">
        <v>51173.797499999993</v>
      </c>
      <c r="W69" s="408">
        <v>51173.797499999993</v>
      </c>
      <c r="X69" s="408">
        <v>35000.201249999998</v>
      </c>
      <c r="Y69" s="408">
        <v>0</v>
      </c>
      <c r="Z69" s="408">
        <v>3193.1692106833398</v>
      </c>
      <c r="AA69" s="408">
        <v>0</v>
      </c>
      <c r="AB69" s="408">
        <v>0</v>
      </c>
      <c r="AC69" s="408">
        <v>0</v>
      </c>
      <c r="AD69" s="408">
        <v>6375.5626137681311</v>
      </c>
      <c r="AE69" s="408">
        <v>26173.243629013436</v>
      </c>
      <c r="AF69" s="408">
        <v>13021.000370998008</v>
      </c>
      <c r="AG69" s="408">
        <v>0</v>
      </c>
      <c r="AH69" s="408">
        <v>0</v>
      </c>
      <c r="AI69" s="408">
        <v>0</v>
      </c>
      <c r="AJ69" s="408">
        <v>0</v>
      </c>
      <c r="AK69" s="408">
        <v>0</v>
      </c>
      <c r="AL69" s="408">
        <v>493.58813162396234</v>
      </c>
      <c r="AM69" s="408"/>
      <c r="AN69" s="408">
        <v>120.97278708532959</v>
      </c>
      <c r="AO69" s="408">
        <v>0</v>
      </c>
      <c r="AP69" s="408">
        <v>0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1796.2530510159586</v>
      </c>
      <c r="BH69" s="408">
        <v>0</v>
      </c>
      <c r="BI69" s="408">
        <v>0</v>
      </c>
      <c r="BJ69" s="408">
        <v>0</v>
      </c>
      <c r="BK69" s="408">
        <v>27605.79</v>
      </c>
      <c r="BL69" s="408">
        <v>115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14817.253422013968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35003.591099999998</v>
      </c>
      <c r="CJ69" s="408">
        <v>-16170.236400000002</v>
      </c>
      <c r="CK69" s="408"/>
      <c r="CL69" s="408"/>
      <c r="CM69" s="408"/>
      <c r="CN69" s="408"/>
      <c r="CO69" s="408">
        <v>-16173.596249999999</v>
      </c>
      <c r="CP69" s="408">
        <v>0</v>
      </c>
      <c r="CQ69" s="408">
        <v>31</v>
      </c>
      <c r="CR69" s="408">
        <v>-125.56216651175055</v>
      </c>
      <c r="CS69" s="408">
        <v>0</v>
      </c>
      <c r="CT69" s="408">
        <v>0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-16.38575736175062</v>
      </c>
      <c r="DA69" s="408">
        <v>0</v>
      </c>
      <c r="DB69" s="408">
        <v>0</v>
      </c>
      <c r="DC69" s="408">
        <v>-1.8254613678436726E-6</v>
      </c>
      <c r="DD69" s="408">
        <v>0</v>
      </c>
      <c r="DE69" s="408">
        <v>0</v>
      </c>
      <c r="DF69" s="408">
        <v>0</v>
      </c>
      <c r="DG69" s="408">
        <v>-2.5182180252159014E-7</v>
      </c>
      <c r="DH69" s="408">
        <v>0</v>
      </c>
      <c r="DI69" s="408">
        <v>-92.848065449608384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-12.39997735969763</v>
      </c>
      <c r="DP69" s="408">
        <v>-3.9283642634100744</v>
      </c>
      <c r="DQ69" s="408">
        <v>0</v>
      </c>
      <c r="DR69" s="408">
        <v>0</v>
      </c>
      <c r="DS69" s="408"/>
      <c r="DT69" s="408"/>
      <c r="DU69" s="408"/>
      <c r="DV69" s="408">
        <v>26173.243629013436</v>
      </c>
      <c r="DW69" s="408">
        <v>0</v>
      </c>
      <c r="DX69" s="408">
        <v>0</v>
      </c>
      <c r="DY69" s="408">
        <v>-16173.596249999995</v>
      </c>
      <c r="DZ69" s="408">
        <v>0</v>
      </c>
      <c r="EA69" s="408">
        <v>0</v>
      </c>
      <c r="EB69" s="408">
        <v>0</v>
      </c>
      <c r="EC69" s="408">
        <v>-16047.996653200198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265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73</v>
      </c>
      <c r="B70" s="408" t="s">
        <v>1031</v>
      </c>
      <c r="C70" s="408" t="s">
        <v>2235</v>
      </c>
      <c r="D70" s="408" t="s">
        <v>596</v>
      </c>
      <c r="E70" s="408" t="s">
        <v>993</v>
      </c>
      <c r="F70" s="408" t="s">
        <v>1317</v>
      </c>
      <c r="G70" s="408" t="s">
        <v>1317</v>
      </c>
      <c r="H70" s="408" t="s">
        <v>1317</v>
      </c>
      <c r="I70" s="408" t="s">
        <v>968</v>
      </c>
      <c r="J70" s="408" t="s">
        <v>2228</v>
      </c>
      <c r="K70" s="828">
        <v>44409</v>
      </c>
      <c r="L70" s="408">
        <v>0</v>
      </c>
      <c r="M70" s="408">
        <v>0</v>
      </c>
      <c r="N70" s="408">
        <v>8.1029999999999998</v>
      </c>
      <c r="O70" s="408">
        <v>8.1029999999999998</v>
      </c>
      <c r="P70" s="408">
        <v>8.1029999999999998</v>
      </c>
      <c r="Q70" s="408">
        <v>8.1029999999999998</v>
      </c>
      <c r="R70" s="408"/>
      <c r="S70" s="408">
        <v>2641.06</v>
      </c>
      <c r="T70" s="408">
        <v>252.22</v>
      </c>
      <c r="U70" s="408"/>
      <c r="V70" s="408">
        <v>23444.247839999996</v>
      </c>
      <c r="W70" s="408">
        <v>23444.247839999996</v>
      </c>
      <c r="X70" s="408">
        <v>13915.606019999999</v>
      </c>
      <c r="Y70" s="408">
        <v>0</v>
      </c>
      <c r="Z70" s="408">
        <v>436.04063146392986</v>
      </c>
      <c r="AA70" s="408">
        <v>0</v>
      </c>
      <c r="AB70" s="408">
        <v>0</v>
      </c>
      <c r="AC70" s="408">
        <v>0</v>
      </c>
      <c r="AD70" s="408">
        <v>5248.8559243394375</v>
      </c>
      <c r="AE70" s="408">
        <v>15493.668030694043</v>
      </c>
      <c r="AF70" s="408">
        <v>2043.7610848657987</v>
      </c>
      <c r="AG70" s="408">
        <v>0</v>
      </c>
      <c r="AH70" s="408">
        <v>0</v>
      </c>
      <c r="AI70" s="408">
        <v>0</v>
      </c>
      <c r="AJ70" s="408">
        <v>0</v>
      </c>
      <c r="AK70" s="408">
        <v>0</v>
      </c>
      <c r="AL70" s="408">
        <v>77.473019477946082</v>
      </c>
      <c r="AM70" s="408"/>
      <c r="AN70" s="408">
        <v>19.495057433288409</v>
      </c>
      <c r="AO70" s="408">
        <v>0</v>
      </c>
      <c r="AP70" s="408">
        <v>0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124.97128283055862</v>
      </c>
      <c r="BH70" s="408">
        <v>0</v>
      </c>
      <c r="BI70" s="408">
        <v>0</v>
      </c>
      <c r="BJ70" s="408">
        <v>0</v>
      </c>
      <c r="BK70" s="408">
        <v>0</v>
      </c>
      <c r="BL70" s="408">
        <v>0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2168.7323676963574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13910.453999999998</v>
      </c>
      <c r="CJ70" s="408">
        <v>-9533.8238399999937</v>
      </c>
      <c r="CK70" s="408"/>
      <c r="CL70" s="408"/>
      <c r="CM70" s="408"/>
      <c r="CN70" s="408"/>
      <c r="CO70" s="408">
        <v>-9528.6418200000007</v>
      </c>
      <c r="CP70" s="408">
        <v>0</v>
      </c>
      <c r="CQ70" s="408">
        <v>31</v>
      </c>
      <c r="CR70" s="408">
        <v>-28.748165962667372</v>
      </c>
      <c r="CS70" s="408">
        <v>0</v>
      </c>
      <c r="CT70" s="408">
        <v>0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-13.490021949965922</v>
      </c>
      <c r="DA70" s="408">
        <v>0</v>
      </c>
      <c r="DB70" s="408">
        <v>0</v>
      </c>
      <c r="DC70" s="408">
        <v>-2.8652220862568356E-7</v>
      </c>
      <c r="DD70" s="408">
        <v>0</v>
      </c>
      <c r="DE70" s="408">
        <v>0</v>
      </c>
      <c r="DF70" s="408">
        <v>0</v>
      </c>
      <c r="DG70" s="408">
        <v>-1.7520292772132962E-8</v>
      </c>
      <c r="DH70" s="408">
        <v>0</v>
      </c>
      <c r="DI70" s="408">
        <v>-12.678792264875824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-1.946286034782176</v>
      </c>
      <c r="DP70" s="408">
        <v>-0.63306540900016017</v>
      </c>
      <c r="DQ70" s="408">
        <v>0</v>
      </c>
      <c r="DR70" s="408">
        <v>0</v>
      </c>
      <c r="DS70" s="408"/>
      <c r="DT70" s="408"/>
      <c r="DU70" s="408"/>
      <c r="DV70" s="408">
        <v>15493.668030694043</v>
      </c>
      <c r="DW70" s="408">
        <v>0</v>
      </c>
      <c r="DX70" s="408">
        <v>0</v>
      </c>
      <c r="DY70" s="408">
        <v>-9528.6418199999989</v>
      </c>
      <c r="DZ70" s="408">
        <v>0</v>
      </c>
      <c r="EA70" s="408">
        <v>0</v>
      </c>
      <c r="EB70" s="408">
        <v>0</v>
      </c>
      <c r="EC70" s="408">
        <v>-9499.8669720381567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265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s="861" customFormat="1">
      <c r="A71" s="408">
        <v>74</v>
      </c>
      <c r="B71" s="408" t="s">
        <v>1031</v>
      </c>
      <c r="C71" s="408" t="s">
        <v>2235</v>
      </c>
      <c r="D71" s="408" t="s">
        <v>596</v>
      </c>
      <c r="E71" s="408" t="s">
        <v>993</v>
      </c>
      <c r="F71" s="408" t="s">
        <v>1317</v>
      </c>
      <c r="G71" s="408" t="s">
        <v>1317</v>
      </c>
      <c r="H71" s="408" t="s">
        <v>1317</v>
      </c>
      <c r="I71" s="408" t="s">
        <v>2236</v>
      </c>
      <c r="J71" s="408" t="s">
        <v>2228</v>
      </c>
      <c r="K71" s="828">
        <v>44409</v>
      </c>
      <c r="L71" s="408">
        <v>0</v>
      </c>
      <c r="M71" s="408">
        <v>0</v>
      </c>
      <c r="N71" s="408">
        <v>269.262</v>
      </c>
      <c r="O71" s="408">
        <v>269.262</v>
      </c>
      <c r="P71" s="408">
        <v>269.262</v>
      </c>
      <c r="Q71" s="408">
        <v>269.262</v>
      </c>
      <c r="R71" s="408"/>
      <c r="S71" s="408">
        <v>81.2</v>
      </c>
      <c r="T71" s="408">
        <v>252.22</v>
      </c>
      <c r="U71" s="408"/>
      <c r="V71" s="408">
        <v>89777.336039999995</v>
      </c>
      <c r="W71" s="408">
        <v>89777.336039999995</v>
      </c>
      <c r="X71" s="408">
        <v>89271.123479999995</v>
      </c>
      <c r="Y71" s="408">
        <v>0</v>
      </c>
      <c r="Z71" s="408">
        <v>14489.593053096467</v>
      </c>
      <c r="AA71" s="408">
        <v>0</v>
      </c>
      <c r="AB71" s="408">
        <v>0</v>
      </c>
      <c r="AC71" s="408">
        <v>0</v>
      </c>
      <c r="AD71" s="408">
        <v>0</v>
      </c>
      <c r="AE71" s="408">
        <v>0</v>
      </c>
      <c r="AF71" s="408">
        <v>67914.006816380934</v>
      </c>
      <c r="AG71" s="408">
        <v>0</v>
      </c>
      <c r="AH71" s="408">
        <v>0</v>
      </c>
      <c r="AI71" s="408">
        <v>0</v>
      </c>
      <c r="AJ71" s="408">
        <v>0</v>
      </c>
      <c r="AK71" s="408">
        <v>0</v>
      </c>
      <c r="AL71" s="408">
        <v>2574.4218401420117</v>
      </c>
      <c r="AM71" s="408"/>
      <c r="AN71" s="408">
        <v>647.81909843293897</v>
      </c>
      <c r="AO71" s="408">
        <v>0</v>
      </c>
      <c r="AP71" s="408">
        <v>0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4152.7850866989857</v>
      </c>
      <c r="BH71" s="408">
        <v>0</v>
      </c>
      <c r="BI71" s="408">
        <v>0</v>
      </c>
      <c r="BJ71" s="408">
        <v>0</v>
      </c>
      <c r="BK71" s="408">
        <v>0</v>
      </c>
      <c r="BL71" s="408">
        <v>0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72066.791903079924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89270.460399999982</v>
      </c>
      <c r="CJ71" s="408">
        <v>-506.90564000001177</v>
      </c>
      <c r="CK71" s="408"/>
      <c r="CL71" s="408"/>
      <c r="CM71" s="408"/>
      <c r="CN71" s="408"/>
      <c r="CO71" s="408">
        <v>-506.21256000000261</v>
      </c>
      <c r="CP71" s="408">
        <v>0</v>
      </c>
      <c r="CQ71" s="408">
        <v>31</v>
      </c>
      <c r="CR71" s="408">
        <v>-507.02682625544549</v>
      </c>
      <c r="CS71" s="408">
        <v>0</v>
      </c>
      <c r="CT71" s="408">
        <v>0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0</v>
      </c>
      <c r="DA71" s="408">
        <v>0</v>
      </c>
      <c r="DB71" s="408">
        <v>0</v>
      </c>
      <c r="DC71" s="408">
        <v>-9.5210998551920056E-6</v>
      </c>
      <c r="DD71" s="408">
        <v>0</v>
      </c>
      <c r="DE71" s="408">
        <v>0</v>
      </c>
      <c r="DF71" s="408">
        <v>0</v>
      </c>
      <c r="DG71" s="408">
        <v>-5.8219848142471164E-7</v>
      </c>
      <c r="DH71" s="408">
        <v>0</v>
      </c>
      <c r="DI71" s="408">
        <v>-421.31518731642427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-64.674919202458113</v>
      </c>
      <c r="DP71" s="408">
        <v>-21.036709633247256</v>
      </c>
      <c r="DQ71" s="408">
        <v>0</v>
      </c>
      <c r="DR71" s="408">
        <v>0</v>
      </c>
      <c r="DS71" s="408"/>
      <c r="DT71" s="408"/>
      <c r="DU71" s="408"/>
      <c r="DV71" s="408">
        <v>0</v>
      </c>
      <c r="DW71" s="408">
        <v>0</v>
      </c>
      <c r="DX71" s="408">
        <v>0</v>
      </c>
      <c r="DY71" s="408">
        <v>-506.21256000000358</v>
      </c>
      <c r="DZ71" s="408">
        <v>0</v>
      </c>
      <c r="EA71" s="408">
        <v>0</v>
      </c>
      <c r="EB71" s="408">
        <v>0</v>
      </c>
      <c r="EC71" s="408">
        <v>0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265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s="861" customFormat="1">
      <c r="A72" s="408">
        <v>75</v>
      </c>
      <c r="B72" s="408" t="s">
        <v>1031</v>
      </c>
      <c r="C72" s="408" t="s">
        <v>2235</v>
      </c>
      <c r="D72" s="408" t="s">
        <v>596</v>
      </c>
      <c r="E72" s="408" t="s">
        <v>993</v>
      </c>
      <c r="F72" s="408" t="s">
        <v>1317</v>
      </c>
      <c r="G72" s="408" t="s">
        <v>1317</v>
      </c>
      <c r="H72" s="408" t="s">
        <v>1317</v>
      </c>
      <c r="I72" s="408" t="s">
        <v>1317</v>
      </c>
      <c r="J72" s="408" t="s">
        <v>2228</v>
      </c>
      <c r="K72" s="828">
        <v>44409</v>
      </c>
      <c r="L72" s="408">
        <v>2676</v>
      </c>
      <c r="M72" s="408">
        <v>2676</v>
      </c>
      <c r="N72" s="408">
        <v>0</v>
      </c>
      <c r="O72" s="408">
        <v>0</v>
      </c>
      <c r="P72" s="408">
        <v>0</v>
      </c>
      <c r="Q72" s="408">
        <v>0</v>
      </c>
      <c r="R72" s="408">
        <v>74.44</v>
      </c>
      <c r="S72" s="408"/>
      <c r="T72" s="408"/>
      <c r="U72" s="408">
        <v>199201.44</v>
      </c>
      <c r="V72" s="408"/>
      <c r="W72" s="408">
        <v>199201.44</v>
      </c>
      <c r="X72" s="408">
        <v>121543.92</v>
      </c>
      <c r="Y72" s="408">
        <v>0</v>
      </c>
      <c r="Z72" s="408">
        <v>0</v>
      </c>
      <c r="AA72" s="408">
        <v>0</v>
      </c>
      <c r="AB72" s="408">
        <v>0</v>
      </c>
      <c r="AC72" s="408">
        <v>0</v>
      </c>
      <c r="AD72" s="408">
        <v>72832.939611489026</v>
      </c>
      <c r="AE72" s="408">
        <v>126364.83551186086</v>
      </c>
      <c r="AF72" s="408"/>
      <c r="AG72" s="408"/>
      <c r="AH72" s="408"/>
      <c r="AI72" s="408">
        <v>0</v>
      </c>
      <c r="AJ72" s="408">
        <v>0</v>
      </c>
      <c r="AK72" s="408">
        <v>0</v>
      </c>
      <c r="AL72" s="408">
        <v>0</v>
      </c>
      <c r="AM72" s="408"/>
      <c r="AN72" s="408">
        <v>0</v>
      </c>
      <c r="AO72" s="408">
        <v>0</v>
      </c>
      <c r="AP72" s="408">
        <v>0</v>
      </c>
      <c r="AQ72" s="408">
        <v>0</v>
      </c>
      <c r="AR72" s="408">
        <v>0</v>
      </c>
      <c r="AS72" s="408"/>
      <c r="AT72" s="408"/>
      <c r="AU72" s="408">
        <v>0</v>
      </c>
      <c r="AV72" s="408">
        <v>0</v>
      </c>
      <c r="AW72" s="408">
        <v>0</v>
      </c>
      <c r="AX72" s="408"/>
      <c r="AY72" s="408"/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/>
      <c r="BG72" s="408">
        <v>0</v>
      </c>
      <c r="BH72" s="408">
        <v>0</v>
      </c>
      <c r="BI72" s="408">
        <v>0</v>
      </c>
      <c r="BJ72" s="408">
        <v>0</v>
      </c>
      <c r="BK72" s="408">
        <v>103445.21</v>
      </c>
      <c r="BL72" s="408">
        <v>15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0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121543.92</v>
      </c>
      <c r="CJ72" s="408">
        <v>-77657.550000000032</v>
      </c>
      <c r="CK72" s="408"/>
      <c r="CL72" s="408"/>
      <c r="CM72" s="408"/>
      <c r="CN72" s="408"/>
      <c r="CO72" s="408">
        <v>-77657.51999999999</v>
      </c>
      <c r="CP72" s="408">
        <v>0</v>
      </c>
      <c r="CQ72" s="408">
        <v>31</v>
      </c>
      <c r="CR72" s="408">
        <v>-187.18706861115061</v>
      </c>
      <c r="CS72" s="408">
        <v>0</v>
      </c>
      <c r="CT72" s="408">
        <v>0</v>
      </c>
      <c r="CU72" s="408">
        <v>0</v>
      </c>
      <c r="CV72" s="408">
        <v>0</v>
      </c>
      <c r="CW72" s="408"/>
      <c r="CX72" s="408"/>
      <c r="CY72" s="408"/>
      <c r="CZ72" s="408">
        <v>-187.18706861115061</v>
      </c>
      <c r="DA72" s="408">
        <v>0</v>
      </c>
      <c r="DB72" s="408">
        <v>0</v>
      </c>
      <c r="DC72" s="408"/>
      <c r="DD72" s="408"/>
      <c r="DE72" s="408">
        <v>0</v>
      </c>
      <c r="DF72" s="408">
        <v>0</v>
      </c>
      <c r="DG72" s="408">
        <v>0</v>
      </c>
      <c r="DH72" s="408">
        <v>0</v>
      </c>
      <c r="DI72" s="408">
        <v>0</v>
      </c>
      <c r="DJ72" s="408"/>
      <c r="DK72" s="408">
        <v>0</v>
      </c>
      <c r="DL72" s="408">
        <v>0</v>
      </c>
      <c r="DM72" s="408"/>
      <c r="DN72" s="408">
        <v>0</v>
      </c>
      <c r="DO72" s="408">
        <v>0</v>
      </c>
      <c r="DP72" s="408">
        <v>0</v>
      </c>
      <c r="DQ72" s="408">
        <v>0</v>
      </c>
      <c r="DR72" s="408">
        <v>0</v>
      </c>
      <c r="DS72" s="408"/>
      <c r="DT72" s="408"/>
      <c r="DU72" s="408">
        <v>126364.83551186086</v>
      </c>
      <c r="DV72" s="408"/>
      <c r="DW72" s="408">
        <v>0</v>
      </c>
      <c r="DX72" s="408">
        <v>0</v>
      </c>
      <c r="DY72" s="408">
        <v>-77657.52</v>
      </c>
      <c r="DZ72" s="408"/>
      <c r="EA72" s="408">
        <v>0</v>
      </c>
      <c r="EB72" s="408"/>
      <c r="EC72" s="408">
        <v>-77479.982463028718</v>
      </c>
      <c r="ED72" s="408"/>
      <c r="EE72" s="408">
        <v>0</v>
      </c>
      <c r="EF72" s="408">
        <v>0</v>
      </c>
      <c r="EG72" s="408"/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/>
      <c r="EN72" s="408"/>
      <c r="EO72" s="408">
        <v>0</v>
      </c>
      <c r="EP72" s="408">
        <v>0</v>
      </c>
      <c r="EQ72" s="408"/>
      <c r="ER72" s="408">
        <v>0</v>
      </c>
      <c r="ES72" s="408"/>
      <c r="ET72" s="408">
        <v>0</v>
      </c>
      <c r="EU72" s="408"/>
      <c r="EV72" s="408">
        <v>265</v>
      </c>
      <c r="EW72" s="408"/>
      <c r="EX72" s="408"/>
      <c r="EY72" s="408"/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s="861" customFormat="1">
      <c r="A73" s="408">
        <v>76</v>
      </c>
      <c r="B73" s="408" t="s">
        <v>2230</v>
      </c>
      <c r="C73" s="408" t="s">
        <v>2235</v>
      </c>
      <c r="D73" s="408" t="s">
        <v>596</v>
      </c>
      <c r="E73" s="408" t="s">
        <v>993</v>
      </c>
      <c r="F73" s="408" t="s">
        <v>1317</v>
      </c>
      <c r="G73" s="408" t="s">
        <v>1317</v>
      </c>
      <c r="H73" s="408" t="s">
        <v>1317</v>
      </c>
      <c r="I73" s="408" t="s">
        <v>1317</v>
      </c>
      <c r="J73" s="408" t="s">
        <v>2228</v>
      </c>
      <c r="K73" s="828">
        <v>44409</v>
      </c>
      <c r="L73" s="408">
        <v>156</v>
      </c>
      <c r="M73" s="408">
        <v>156</v>
      </c>
      <c r="N73" s="408">
        <v>0</v>
      </c>
      <c r="O73" s="408">
        <v>0</v>
      </c>
      <c r="P73" s="408">
        <v>0</v>
      </c>
      <c r="Q73" s="408">
        <v>0</v>
      </c>
      <c r="R73" s="408">
        <v>74.44</v>
      </c>
      <c r="S73" s="408"/>
      <c r="T73" s="408"/>
      <c r="U73" s="408">
        <v>11612.64</v>
      </c>
      <c r="V73" s="408"/>
      <c r="W73" s="408">
        <v>11612.64</v>
      </c>
      <c r="X73" s="408">
        <v>7085.52</v>
      </c>
      <c r="Y73" s="408">
        <v>0</v>
      </c>
      <c r="Z73" s="408">
        <v>0</v>
      </c>
      <c r="AA73" s="408">
        <v>0</v>
      </c>
      <c r="AB73" s="408">
        <v>0</v>
      </c>
      <c r="AC73" s="408">
        <v>0</v>
      </c>
      <c r="AD73" s="408">
        <v>4245.8664347504809</v>
      </c>
      <c r="AE73" s="408">
        <v>7366.559917731799</v>
      </c>
      <c r="AF73" s="408"/>
      <c r="AG73" s="408"/>
      <c r="AH73" s="408"/>
      <c r="AI73" s="408">
        <v>0</v>
      </c>
      <c r="AJ73" s="408">
        <v>0</v>
      </c>
      <c r="AK73" s="408">
        <v>0</v>
      </c>
      <c r="AL73" s="408">
        <v>0</v>
      </c>
      <c r="AM73" s="408"/>
      <c r="AN73" s="408">
        <v>0</v>
      </c>
      <c r="AO73" s="408">
        <v>0</v>
      </c>
      <c r="AP73" s="408">
        <v>0</v>
      </c>
      <c r="AQ73" s="408">
        <v>0</v>
      </c>
      <c r="AR73" s="408">
        <v>0</v>
      </c>
      <c r="AS73" s="408"/>
      <c r="AT73" s="408"/>
      <c r="AU73" s="408">
        <v>0</v>
      </c>
      <c r="AV73" s="408">
        <v>0</v>
      </c>
      <c r="AW73" s="408">
        <v>0</v>
      </c>
      <c r="AX73" s="408"/>
      <c r="AY73" s="408"/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/>
      <c r="BG73" s="408">
        <v>0</v>
      </c>
      <c r="BH73" s="408">
        <v>0</v>
      </c>
      <c r="BI73" s="408">
        <v>0</v>
      </c>
      <c r="BJ73" s="408">
        <v>0</v>
      </c>
      <c r="BK73" s="408">
        <v>3520.19</v>
      </c>
      <c r="BL73" s="408">
        <v>1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0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7085.52</v>
      </c>
      <c r="CJ73" s="408">
        <v>-4527.1499999999996</v>
      </c>
      <c r="CK73" s="408"/>
      <c r="CL73" s="408"/>
      <c r="CM73" s="408"/>
      <c r="CN73" s="408"/>
      <c r="CO73" s="408">
        <v>-4527.119999999999</v>
      </c>
      <c r="CP73" s="408">
        <v>0</v>
      </c>
      <c r="CQ73" s="408">
        <v>31</v>
      </c>
      <c r="CR73" s="408">
        <v>-10.912250636523822</v>
      </c>
      <c r="CS73" s="408">
        <v>0</v>
      </c>
      <c r="CT73" s="408">
        <v>0</v>
      </c>
      <c r="CU73" s="408">
        <v>0</v>
      </c>
      <c r="CV73" s="408">
        <v>0</v>
      </c>
      <c r="CW73" s="408"/>
      <c r="CX73" s="408"/>
      <c r="CY73" s="408"/>
      <c r="CZ73" s="408">
        <v>-10.912250636523822</v>
      </c>
      <c r="DA73" s="408">
        <v>0</v>
      </c>
      <c r="DB73" s="408">
        <v>0</v>
      </c>
      <c r="DC73" s="408"/>
      <c r="DD73" s="408"/>
      <c r="DE73" s="408">
        <v>0</v>
      </c>
      <c r="DF73" s="408">
        <v>0</v>
      </c>
      <c r="DG73" s="408">
        <v>0</v>
      </c>
      <c r="DH73" s="408">
        <v>0</v>
      </c>
      <c r="DI73" s="408">
        <v>0</v>
      </c>
      <c r="DJ73" s="408"/>
      <c r="DK73" s="408">
        <v>0</v>
      </c>
      <c r="DL73" s="408">
        <v>0</v>
      </c>
      <c r="DM73" s="408"/>
      <c r="DN73" s="408">
        <v>0</v>
      </c>
      <c r="DO73" s="408">
        <v>0</v>
      </c>
      <c r="DP73" s="408">
        <v>0</v>
      </c>
      <c r="DQ73" s="408">
        <v>0</v>
      </c>
      <c r="DR73" s="408">
        <v>0</v>
      </c>
      <c r="DS73" s="408"/>
      <c r="DT73" s="408"/>
      <c r="DU73" s="408">
        <v>7366.559917731799</v>
      </c>
      <c r="DV73" s="408"/>
      <c r="DW73" s="408">
        <v>0</v>
      </c>
      <c r="DX73" s="408">
        <v>0</v>
      </c>
      <c r="DY73" s="408">
        <v>-4527.119999999999</v>
      </c>
      <c r="DZ73" s="408"/>
      <c r="EA73" s="408">
        <v>0</v>
      </c>
      <c r="EB73" s="408"/>
      <c r="EC73" s="408">
        <v>-4516.7702781137814</v>
      </c>
      <c r="ED73" s="408"/>
      <c r="EE73" s="408">
        <v>0</v>
      </c>
      <c r="EF73" s="408">
        <v>0</v>
      </c>
      <c r="EG73" s="408"/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/>
      <c r="EN73" s="408"/>
      <c r="EO73" s="408">
        <v>0</v>
      </c>
      <c r="EP73" s="408">
        <v>0</v>
      </c>
      <c r="EQ73" s="408"/>
      <c r="ER73" s="408">
        <v>0</v>
      </c>
      <c r="ES73" s="408"/>
      <c r="ET73" s="408">
        <v>0</v>
      </c>
      <c r="EU73" s="408"/>
      <c r="EV73" s="408">
        <v>265</v>
      </c>
      <c r="EW73" s="408"/>
      <c r="EX73" s="408"/>
      <c r="EY73" s="408"/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s="861" customFormat="1">
      <c r="A74" s="408">
        <v>79</v>
      </c>
      <c r="B74" s="408" t="s">
        <v>1031</v>
      </c>
      <c r="C74" s="408" t="s">
        <v>2227</v>
      </c>
      <c r="D74" s="408" t="s">
        <v>2237</v>
      </c>
      <c r="E74" s="408" t="s">
        <v>969</v>
      </c>
      <c r="F74" s="408" t="s">
        <v>1317</v>
      </c>
      <c r="G74" s="408" t="s">
        <v>1317</v>
      </c>
      <c r="H74" s="408" t="s">
        <v>1317</v>
      </c>
      <c r="I74" s="408" t="s">
        <v>1317</v>
      </c>
      <c r="J74" s="408" t="s">
        <v>2228</v>
      </c>
      <c r="K74" s="828">
        <v>44409</v>
      </c>
      <c r="L74" s="408">
        <v>0</v>
      </c>
      <c r="M74" s="408">
        <v>0</v>
      </c>
      <c r="N74" s="408">
        <v>2560.5230000000001</v>
      </c>
      <c r="O74" s="408">
        <v>2560.5230000000001</v>
      </c>
      <c r="P74" s="408">
        <v>2560.5230000000001</v>
      </c>
      <c r="Q74" s="408">
        <v>2560.5230000000001</v>
      </c>
      <c r="R74" s="408"/>
      <c r="S74" s="408">
        <v>739.04</v>
      </c>
      <c r="T74" s="408">
        <v>252.22</v>
      </c>
      <c r="U74" s="408"/>
      <c r="V74" s="408">
        <v>2538144.0289799999</v>
      </c>
      <c r="W74" s="408">
        <v>2538144.0289799999</v>
      </c>
      <c r="X74" s="408">
        <v>1735957.7783100002</v>
      </c>
      <c r="Y74" s="408">
        <v>0</v>
      </c>
      <c r="Z74" s="408">
        <v>158376.43015683367</v>
      </c>
      <c r="AA74" s="408">
        <v>0</v>
      </c>
      <c r="AB74" s="408">
        <v>0</v>
      </c>
      <c r="AC74" s="408">
        <v>0</v>
      </c>
      <c r="AD74" s="408">
        <v>316218.39632917033</v>
      </c>
      <c r="AE74" s="408">
        <v>1298153.8459407722</v>
      </c>
      <c r="AF74" s="408">
        <v>645822.19724840554</v>
      </c>
      <c r="AG74" s="408">
        <v>0</v>
      </c>
      <c r="AH74" s="408">
        <v>0</v>
      </c>
      <c r="AI74" s="408">
        <v>0</v>
      </c>
      <c r="AJ74" s="408">
        <v>0</v>
      </c>
      <c r="AK74" s="408">
        <v>0</v>
      </c>
      <c r="AL74" s="408">
        <v>24481.235129301367</v>
      </c>
      <c r="AM74" s="408"/>
      <c r="AN74" s="408">
        <v>6000.0698054448312</v>
      </c>
      <c r="AO74" s="408">
        <v>0</v>
      </c>
      <c r="AP74" s="408">
        <v>0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>
        <v>0</v>
      </c>
      <c r="BG74" s="408">
        <v>89091.472173298505</v>
      </c>
      <c r="BH74" s="408">
        <v>0</v>
      </c>
      <c r="BI74" s="408">
        <v>0</v>
      </c>
      <c r="BJ74" s="408">
        <v>0</v>
      </c>
      <c r="BK74" s="408">
        <v>106965.1</v>
      </c>
      <c r="BL74" s="408">
        <v>12097</v>
      </c>
      <c r="BM74" s="408"/>
      <c r="BN74" s="408"/>
      <c r="BO74" s="408"/>
      <c r="BP74" s="408"/>
      <c r="BQ74" s="408"/>
      <c r="BR74" s="408">
        <v>208298.54604999995</v>
      </c>
      <c r="BS74" s="408"/>
      <c r="BT74" s="408"/>
      <c r="BU74" s="408"/>
      <c r="BV74" s="408">
        <v>734913.66942170402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1527657.4424000001</v>
      </c>
      <c r="CJ74" s="408">
        <v>-705912.40572999977</v>
      </c>
      <c r="CK74" s="408"/>
      <c r="CL74" s="408"/>
      <c r="CM74" s="408"/>
      <c r="CN74" s="408"/>
      <c r="CO74" s="408">
        <v>-802186.25066999998</v>
      </c>
      <c r="CP74" s="408">
        <v>0</v>
      </c>
      <c r="CQ74" s="408">
        <v>31</v>
      </c>
      <c r="CR74" s="408">
        <v>-6227.6961798195262</v>
      </c>
      <c r="CS74" s="408">
        <v>0</v>
      </c>
      <c r="CT74" s="408">
        <v>0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-812.70912536914693</v>
      </c>
      <c r="DA74" s="408">
        <v>0</v>
      </c>
      <c r="DB74" s="408">
        <v>0</v>
      </c>
      <c r="DC74" s="408">
        <v>-9.0540153905749321E-5</v>
      </c>
      <c r="DD74" s="408">
        <v>0</v>
      </c>
      <c r="DE74" s="408">
        <v>0</v>
      </c>
      <c r="DF74" s="408">
        <v>0</v>
      </c>
      <c r="DG74" s="408">
        <v>-1.2489981600083411E-5</v>
      </c>
      <c r="DH74" s="408">
        <v>0</v>
      </c>
      <c r="DI74" s="408">
        <v>-4605.1255610504304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-615.02038215951688</v>
      </c>
      <c r="DP74" s="408">
        <v>-194.84100820996719</v>
      </c>
      <c r="DQ74" s="408">
        <v>0</v>
      </c>
      <c r="DR74" s="408">
        <v>0</v>
      </c>
      <c r="DS74" s="408"/>
      <c r="DT74" s="408"/>
      <c r="DU74" s="408"/>
      <c r="DV74" s="408">
        <v>1298153.8459407722</v>
      </c>
      <c r="DW74" s="408">
        <v>0</v>
      </c>
      <c r="DX74" s="408">
        <v>0</v>
      </c>
      <c r="DY74" s="408">
        <v>-802186.25066999975</v>
      </c>
      <c r="DZ74" s="408">
        <v>0</v>
      </c>
      <c r="EA74" s="408">
        <v>0</v>
      </c>
      <c r="EB74" s="408">
        <v>0</v>
      </c>
      <c r="EC74" s="408">
        <v>-795956.69800372166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265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s="861" customFormat="1">
      <c r="A75" s="408">
        <v>80</v>
      </c>
      <c r="B75" s="408" t="s">
        <v>2229</v>
      </c>
      <c r="C75" s="408" t="s">
        <v>2227</v>
      </c>
      <c r="D75" s="408" t="s">
        <v>2237</v>
      </c>
      <c r="E75" s="408" t="s">
        <v>969</v>
      </c>
      <c r="F75" s="408" t="s">
        <v>1317</v>
      </c>
      <c r="G75" s="408" t="s">
        <v>1317</v>
      </c>
      <c r="H75" s="408" t="s">
        <v>1317</v>
      </c>
      <c r="I75" s="408" t="s">
        <v>1317</v>
      </c>
      <c r="J75" s="408" t="s">
        <v>2228</v>
      </c>
      <c r="K75" s="828">
        <v>44409</v>
      </c>
      <c r="L75" s="408">
        <v>0</v>
      </c>
      <c r="M75" s="408">
        <v>0</v>
      </c>
      <c r="N75" s="408">
        <v>-2.149</v>
      </c>
      <c r="O75" s="408">
        <v>-2.149</v>
      </c>
      <c r="P75" s="408">
        <v>-2.149</v>
      </c>
      <c r="Q75" s="408">
        <v>-2.149</v>
      </c>
      <c r="R75" s="408"/>
      <c r="S75" s="408">
        <v>739.04</v>
      </c>
      <c r="T75" s="408">
        <v>252.22</v>
      </c>
      <c r="U75" s="408"/>
      <c r="V75" s="408">
        <v>-2130.21774</v>
      </c>
      <c r="W75" s="408">
        <v>-2130.21774</v>
      </c>
      <c r="X75" s="408">
        <v>-1456.9575300000001</v>
      </c>
      <c r="Y75" s="408">
        <v>0</v>
      </c>
      <c r="Z75" s="408">
        <v>-132.9224335836997</v>
      </c>
      <c r="AA75" s="408">
        <v>0</v>
      </c>
      <c r="AB75" s="408">
        <v>0</v>
      </c>
      <c r="AC75" s="408">
        <v>0</v>
      </c>
      <c r="AD75" s="408">
        <v>-265.39630134600901</v>
      </c>
      <c r="AE75" s="408">
        <v>-1089.5167178450338</v>
      </c>
      <c r="AF75" s="408">
        <v>-542.02672730798486</v>
      </c>
      <c r="AG75" s="408">
        <v>0</v>
      </c>
      <c r="AH75" s="408">
        <v>0</v>
      </c>
      <c r="AI75" s="408">
        <v>0</v>
      </c>
      <c r="AJ75" s="408">
        <v>0</v>
      </c>
      <c r="AK75" s="408">
        <v>0</v>
      </c>
      <c r="AL75" s="408">
        <v>-20.546651716414434</v>
      </c>
      <c r="AM75" s="408"/>
      <c r="AN75" s="408">
        <v>-5.0357485607045671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-74.772838869410066</v>
      </c>
      <c r="BH75" s="408">
        <v>0</v>
      </c>
      <c r="BI75" s="408">
        <v>0</v>
      </c>
      <c r="BJ75" s="408">
        <v>0</v>
      </c>
      <c r="BK75" s="408">
        <v>-14.65</v>
      </c>
      <c r="BL75" s="408">
        <v>0</v>
      </c>
      <c r="BM75" s="408"/>
      <c r="BN75" s="408"/>
      <c r="BO75" s="408"/>
      <c r="BP75" s="408"/>
      <c r="BQ75" s="408"/>
      <c r="BR75" s="408">
        <v>-174.82114999999993</v>
      </c>
      <c r="BS75" s="408"/>
      <c r="BT75" s="408"/>
      <c r="BU75" s="408"/>
      <c r="BV75" s="408">
        <v>-616.79956617739492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-1282.7329999999999</v>
      </c>
      <c r="CJ75" s="408">
        <v>591.83119000000033</v>
      </c>
      <c r="CK75" s="408"/>
      <c r="CL75" s="408"/>
      <c r="CM75" s="408"/>
      <c r="CN75" s="408"/>
      <c r="CO75" s="408">
        <v>673.26020999999992</v>
      </c>
      <c r="CP75" s="408">
        <v>0</v>
      </c>
      <c r="CQ75" s="408">
        <v>31</v>
      </c>
      <c r="CR75" s="408">
        <v>5.2267912025906753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0.6820918657705306</v>
      </c>
      <c r="DA75" s="408">
        <v>0</v>
      </c>
      <c r="DB75" s="408">
        <v>0</v>
      </c>
      <c r="DC75" s="408">
        <v>7.5988623393641319E-8</v>
      </c>
      <c r="DD75" s="408">
        <v>0</v>
      </c>
      <c r="DE75" s="408">
        <v>0</v>
      </c>
      <c r="DF75" s="408">
        <v>0</v>
      </c>
      <c r="DG75" s="408">
        <v>1.0482608558959328E-8</v>
      </c>
      <c r="DH75" s="408">
        <v>0</v>
      </c>
      <c r="DI75" s="408">
        <v>3.8649974363430033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0.51617532873588701</v>
      </c>
      <c r="DP75" s="408">
        <v>0.1635264852700864</v>
      </c>
      <c r="DQ75" s="408">
        <v>0</v>
      </c>
      <c r="DR75" s="408">
        <v>0</v>
      </c>
      <c r="DS75" s="408"/>
      <c r="DT75" s="408"/>
      <c r="DU75" s="408"/>
      <c r="DV75" s="408">
        <v>-1089.5167178450338</v>
      </c>
      <c r="DW75" s="408">
        <v>0</v>
      </c>
      <c r="DX75" s="408">
        <v>0</v>
      </c>
      <c r="DY75" s="408">
        <v>673.26021000000003</v>
      </c>
      <c r="DZ75" s="408">
        <v>0</v>
      </c>
      <c r="EA75" s="408">
        <v>0</v>
      </c>
      <c r="EB75" s="408">
        <v>0</v>
      </c>
      <c r="EC75" s="408">
        <v>668.03186068236755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265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s="861" customFormat="1">
      <c r="A76" s="408">
        <v>81</v>
      </c>
      <c r="B76" s="408" t="s">
        <v>2230</v>
      </c>
      <c r="C76" s="408" t="s">
        <v>2227</v>
      </c>
      <c r="D76" s="408" t="s">
        <v>2237</v>
      </c>
      <c r="E76" s="408" t="s">
        <v>969</v>
      </c>
      <c r="F76" s="408" t="s">
        <v>1317</v>
      </c>
      <c r="G76" s="408" t="s">
        <v>1317</v>
      </c>
      <c r="H76" s="408" t="s">
        <v>1317</v>
      </c>
      <c r="I76" s="408" t="s">
        <v>1317</v>
      </c>
      <c r="J76" s="408" t="s">
        <v>2228</v>
      </c>
      <c r="K76" s="828">
        <v>44409</v>
      </c>
      <c r="L76" s="408">
        <v>0</v>
      </c>
      <c r="M76" s="408">
        <v>0</v>
      </c>
      <c r="N76" s="408">
        <v>102.249</v>
      </c>
      <c r="O76" s="408">
        <v>102.249</v>
      </c>
      <c r="P76" s="408">
        <v>102.249</v>
      </c>
      <c r="Q76" s="408">
        <v>102.249</v>
      </c>
      <c r="R76" s="408"/>
      <c r="S76" s="408">
        <v>739.04</v>
      </c>
      <c r="T76" s="408">
        <v>252.22</v>
      </c>
      <c r="U76" s="408"/>
      <c r="V76" s="408">
        <v>101355.34374</v>
      </c>
      <c r="W76" s="408">
        <v>101355.34374</v>
      </c>
      <c r="X76" s="408">
        <v>69321.754530000006</v>
      </c>
      <c r="Y76" s="408">
        <v>0</v>
      </c>
      <c r="Z76" s="408">
        <v>6324.4234115866502</v>
      </c>
      <c r="AA76" s="408">
        <v>0</v>
      </c>
      <c r="AB76" s="408">
        <v>0</v>
      </c>
      <c r="AC76" s="408">
        <v>0</v>
      </c>
      <c r="AD76" s="408">
        <v>12627.504149059132</v>
      </c>
      <c r="AE76" s="408">
        <v>51838.992500203283</v>
      </c>
      <c r="AF76" s="408">
        <v>25789.525751751582</v>
      </c>
      <c r="AG76" s="408">
        <v>0</v>
      </c>
      <c r="AH76" s="408">
        <v>0</v>
      </c>
      <c r="AI76" s="408">
        <v>0</v>
      </c>
      <c r="AJ76" s="408">
        <v>0</v>
      </c>
      <c r="AK76" s="408">
        <v>0</v>
      </c>
      <c r="AL76" s="408">
        <v>977.60567303474136</v>
      </c>
      <c r="AM76" s="408"/>
      <c r="AN76" s="408">
        <v>239.59993233293685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3557.677059822387</v>
      </c>
      <c r="BH76" s="408">
        <v>0</v>
      </c>
      <c r="BI76" s="408">
        <v>0</v>
      </c>
      <c r="BJ76" s="408">
        <v>0</v>
      </c>
      <c r="BK76" s="408">
        <v>6834.28</v>
      </c>
      <c r="BL76" s="408">
        <v>775</v>
      </c>
      <c r="BM76" s="408"/>
      <c r="BN76" s="408"/>
      <c r="BO76" s="408"/>
      <c r="BP76" s="408"/>
      <c r="BQ76" s="408"/>
      <c r="BR76" s="408">
        <v>8317.9561499999963</v>
      </c>
      <c r="BS76" s="408"/>
      <c r="BT76" s="408"/>
      <c r="BU76" s="408"/>
      <c r="BV76" s="408">
        <v>29347.20281157397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61004.395000000004</v>
      </c>
      <c r="CJ76" s="408">
        <v>-28188.460189999983</v>
      </c>
      <c r="CK76" s="408"/>
      <c r="CL76" s="408"/>
      <c r="CM76" s="408"/>
      <c r="CN76" s="408"/>
      <c r="CO76" s="408">
        <v>-32033.589209999995</v>
      </c>
      <c r="CP76" s="408">
        <v>0</v>
      </c>
      <c r="CQ76" s="408">
        <v>31</v>
      </c>
      <c r="CR76" s="408">
        <v>-248.68970389655442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-32.45379766550468</v>
      </c>
      <c r="DA76" s="408">
        <v>0</v>
      </c>
      <c r="DB76" s="408">
        <v>0</v>
      </c>
      <c r="DC76" s="408">
        <v>-3.61552883987315E-6</v>
      </c>
      <c r="DD76" s="408">
        <v>0</v>
      </c>
      <c r="DE76" s="408">
        <v>0</v>
      </c>
      <c r="DF76" s="408">
        <v>0</v>
      </c>
      <c r="DG76" s="408">
        <v>-4.9876098273671232E-7</v>
      </c>
      <c r="DH76" s="408">
        <v>0</v>
      </c>
      <c r="DI76" s="408">
        <v>-183.89582264710953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-24.559521260081738</v>
      </c>
      <c r="DP76" s="408">
        <v>-7.780558209577066</v>
      </c>
      <c r="DQ76" s="408">
        <v>0</v>
      </c>
      <c r="DR76" s="408">
        <v>0</v>
      </c>
      <c r="DS76" s="408"/>
      <c r="DT76" s="408"/>
      <c r="DU76" s="408"/>
      <c r="DV76" s="408">
        <v>51838.992500203283</v>
      </c>
      <c r="DW76" s="408">
        <v>0</v>
      </c>
      <c r="DX76" s="408">
        <v>0</v>
      </c>
      <c r="DY76" s="408">
        <v>-32033.589209999998</v>
      </c>
      <c r="DZ76" s="408">
        <v>0</v>
      </c>
      <c r="EA76" s="408">
        <v>0</v>
      </c>
      <c r="EB76" s="408">
        <v>0</v>
      </c>
      <c r="EC76" s="408">
        <v>-31784.825371294271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265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s="861" customFormat="1">
      <c r="A77" s="408">
        <v>82</v>
      </c>
      <c r="B77" s="408" t="s">
        <v>2230</v>
      </c>
      <c r="C77" s="408" t="s">
        <v>2227</v>
      </c>
      <c r="D77" s="408" t="s">
        <v>2237</v>
      </c>
      <c r="E77" s="408" t="s">
        <v>969</v>
      </c>
      <c r="F77" s="408" t="s">
        <v>1317</v>
      </c>
      <c r="G77" s="408" t="s">
        <v>1317</v>
      </c>
      <c r="H77" s="408" t="s">
        <v>1317</v>
      </c>
      <c r="I77" s="408" t="s">
        <v>1317</v>
      </c>
      <c r="J77" s="408" t="s">
        <v>2228</v>
      </c>
      <c r="K77" s="828">
        <v>44409</v>
      </c>
      <c r="L77" s="408">
        <v>0</v>
      </c>
      <c r="M77" s="408">
        <v>0</v>
      </c>
      <c r="N77" s="408">
        <v>-0.85499999999999998</v>
      </c>
      <c r="O77" s="408">
        <v>-0.85499999999999998</v>
      </c>
      <c r="P77" s="408">
        <v>-0.85499999999999998</v>
      </c>
      <c r="Q77" s="408">
        <v>-0.85499999999999998</v>
      </c>
      <c r="R77" s="408"/>
      <c r="S77" s="408">
        <v>739.04</v>
      </c>
      <c r="T77" s="408">
        <v>252.22</v>
      </c>
      <c r="U77" s="408"/>
      <c r="V77" s="408">
        <v>-847.52729999999997</v>
      </c>
      <c r="W77" s="408">
        <v>-847.52729999999997</v>
      </c>
      <c r="X77" s="408">
        <v>-579.66435000000001</v>
      </c>
      <c r="Y77" s="408">
        <v>0</v>
      </c>
      <c r="Z77" s="408">
        <v>-52.884448913012214</v>
      </c>
      <c r="AA77" s="408">
        <v>0</v>
      </c>
      <c r="AB77" s="408">
        <v>0</v>
      </c>
      <c r="AC77" s="408">
        <v>0</v>
      </c>
      <c r="AD77" s="408">
        <v>-105.59043166628092</v>
      </c>
      <c r="AE77" s="408">
        <v>-433.47454339576728</v>
      </c>
      <c r="AF77" s="408">
        <v>-215.65046619279994</v>
      </c>
      <c r="AG77" s="408">
        <v>0</v>
      </c>
      <c r="AH77" s="408">
        <v>0</v>
      </c>
      <c r="AI77" s="408">
        <v>0</v>
      </c>
      <c r="AJ77" s="408">
        <v>0</v>
      </c>
      <c r="AK77" s="408">
        <v>0</v>
      </c>
      <c r="AL77" s="408">
        <v>-8.1746799523193765</v>
      </c>
      <c r="AM77" s="408"/>
      <c r="AN77" s="408">
        <v>-2.0035202510015844</v>
      </c>
      <c r="AO77" s="408">
        <v>0</v>
      </c>
      <c r="AP77" s="408">
        <v>0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-29.749082007140814</v>
      </c>
      <c r="BH77" s="408">
        <v>0</v>
      </c>
      <c r="BI77" s="408">
        <v>0</v>
      </c>
      <c r="BJ77" s="408">
        <v>0</v>
      </c>
      <c r="BK77" s="408">
        <v>-0.09</v>
      </c>
      <c r="BL77" s="408">
        <v>2</v>
      </c>
      <c r="BM77" s="408"/>
      <c r="BN77" s="408"/>
      <c r="BO77" s="408"/>
      <c r="BP77" s="408"/>
      <c r="BQ77" s="408"/>
      <c r="BR77" s="408">
        <v>-69.554249999999968</v>
      </c>
      <c r="BS77" s="408"/>
      <c r="BT77" s="408"/>
      <c r="BU77" s="408"/>
      <c r="BV77" s="408">
        <v>-245.39954819994074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-513.09320000000002</v>
      </c>
      <c r="CJ77" s="408">
        <v>232.70185000000004</v>
      </c>
      <c r="CK77" s="408"/>
      <c r="CL77" s="408"/>
      <c r="CM77" s="408"/>
      <c r="CN77" s="408"/>
      <c r="CO77" s="408">
        <v>267.86294999999996</v>
      </c>
      <c r="CP77" s="408">
        <v>0</v>
      </c>
      <c r="CQ77" s="408">
        <v>31</v>
      </c>
      <c r="CR77" s="408">
        <v>2.0795283751581906</v>
      </c>
      <c r="CS77" s="408">
        <v>0</v>
      </c>
      <c r="CT77" s="408">
        <v>0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0.27137670787985257</v>
      </c>
      <c r="DA77" s="408">
        <v>0</v>
      </c>
      <c r="DB77" s="408">
        <v>0</v>
      </c>
      <c r="DC77" s="408">
        <v>3.0232797598728212E-8</v>
      </c>
      <c r="DD77" s="408">
        <v>0</v>
      </c>
      <c r="DE77" s="408">
        <v>0</v>
      </c>
      <c r="DF77" s="408">
        <v>0</v>
      </c>
      <c r="DG77" s="408">
        <v>4.1706087472448417E-9</v>
      </c>
      <c r="DH77" s="408">
        <v>0</v>
      </c>
      <c r="DI77" s="408">
        <v>1.5377258297223264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0.20536524247053745</v>
      </c>
      <c r="DP77" s="408">
        <v>6.506056068214261E-2</v>
      </c>
      <c r="DQ77" s="408">
        <v>0</v>
      </c>
      <c r="DR77" s="408">
        <v>0</v>
      </c>
      <c r="DS77" s="408"/>
      <c r="DT77" s="408"/>
      <c r="DU77" s="408"/>
      <c r="DV77" s="408">
        <v>-433.47454339576728</v>
      </c>
      <c r="DW77" s="408">
        <v>0</v>
      </c>
      <c r="DX77" s="408">
        <v>0</v>
      </c>
      <c r="DY77" s="408">
        <v>267.86294999999996</v>
      </c>
      <c r="DZ77" s="408">
        <v>0</v>
      </c>
      <c r="EA77" s="408">
        <v>0</v>
      </c>
      <c r="EB77" s="408">
        <v>0</v>
      </c>
      <c r="EC77" s="408">
        <v>265.78280171401775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265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s="861" customFormat="1">
      <c r="A78" s="408">
        <v>83</v>
      </c>
      <c r="B78" s="408" t="s">
        <v>1031</v>
      </c>
      <c r="C78" s="408" t="s">
        <v>2235</v>
      </c>
      <c r="D78" s="408" t="s">
        <v>596</v>
      </c>
      <c r="E78" s="408" t="s">
        <v>969</v>
      </c>
      <c r="F78" s="408" t="s">
        <v>1317</v>
      </c>
      <c r="G78" s="408" t="s">
        <v>1317</v>
      </c>
      <c r="H78" s="408" t="s">
        <v>1317</v>
      </c>
      <c r="I78" s="408" t="s">
        <v>968</v>
      </c>
      <c r="J78" s="408" t="s">
        <v>2228</v>
      </c>
      <c r="K78" s="828">
        <v>44409</v>
      </c>
      <c r="L78" s="408">
        <v>0</v>
      </c>
      <c r="M78" s="408">
        <v>0</v>
      </c>
      <c r="N78" s="408">
        <v>3.3759999999999999</v>
      </c>
      <c r="O78" s="408">
        <v>3.2409599999999998</v>
      </c>
      <c r="P78" s="408">
        <v>3.3759999999999999</v>
      </c>
      <c r="Q78" s="408">
        <v>3.2409599999999998</v>
      </c>
      <c r="R78" s="408"/>
      <c r="S78" s="408">
        <v>2641.06</v>
      </c>
      <c r="T78" s="408">
        <v>252.22</v>
      </c>
      <c r="U78" s="408"/>
      <c r="V78" s="408">
        <v>9767.7132799999999</v>
      </c>
      <c r="W78" s="408">
        <v>9767.7132799999999</v>
      </c>
      <c r="X78" s="408">
        <v>5797.7398399999993</v>
      </c>
      <c r="Y78" s="408">
        <v>0</v>
      </c>
      <c r="Z78" s="408">
        <v>181.67014338173851</v>
      </c>
      <c r="AA78" s="408">
        <v>0</v>
      </c>
      <c r="AB78" s="408">
        <v>0</v>
      </c>
      <c r="AC78" s="408">
        <v>0</v>
      </c>
      <c r="AD78" s="408">
        <v>2186.861360060464</v>
      </c>
      <c r="AE78" s="408">
        <v>6455.2169902040096</v>
      </c>
      <c r="AF78" s="408">
        <v>851.50406300221357</v>
      </c>
      <c r="AG78" s="408">
        <v>0</v>
      </c>
      <c r="AH78" s="408">
        <v>0</v>
      </c>
      <c r="AI78" s="408">
        <v>0</v>
      </c>
      <c r="AJ78" s="408">
        <v>0</v>
      </c>
      <c r="AK78" s="408">
        <v>0</v>
      </c>
      <c r="AL78" s="408">
        <v>32.278034525181539</v>
      </c>
      <c r="AM78" s="408"/>
      <c r="AN78" s="408">
        <v>8.1223391206690945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52.067512135747982</v>
      </c>
      <c r="BH78" s="408">
        <v>0</v>
      </c>
      <c r="BI78" s="408">
        <v>0</v>
      </c>
      <c r="BJ78" s="408">
        <v>0</v>
      </c>
      <c r="BK78" s="408">
        <v>0</v>
      </c>
      <c r="BL78" s="408">
        <v>0</v>
      </c>
      <c r="BM78" s="408"/>
      <c r="BN78" s="408"/>
      <c r="BO78" s="408"/>
      <c r="BP78" s="408"/>
      <c r="BQ78" s="408"/>
      <c r="BR78" s="408">
        <v>231.90959360000005</v>
      </c>
      <c r="BS78" s="408"/>
      <c r="BT78" s="408"/>
      <c r="BU78" s="408"/>
      <c r="BV78" s="408">
        <v>903.57157513796153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5564.1815999999999</v>
      </c>
      <c r="CJ78" s="408">
        <v>-3812.853148799999</v>
      </c>
      <c r="CK78" s="408"/>
      <c r="CL78" s="408"/>
      <c r="CM78" s="408"/>
      <c r="CN78" s="408"/>
      <c r="CO78" s="408">
        <v>-3969.9734400000002</v>
      </c>
      <c r="CP78" s="408">
        <v>0</v>
      </c>
      <c r="CQ78" s="408">
        <v>31</v>
      </c>
      <c r="CR78" s="408">
        <v>-11.977515523875809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-5.6204262746000495</v>
      </c>
      <c r="DA78" s="408">
        <v>0</v>
      </c>
      <c r="DB78" s="408">
        <v>0</v>
      </c>
      <c r="DC78" s="408">
        <v>-1.1937538602069253E-7</v>
      </c>
      <c r="DD78" s="408">
        <v>0</v>
      </c>
      <c r="DE78" s="408">
        <v>0</v>
      </c>
      <c r="DF78" s="408">
        <v>0</v>
      </c>
      <c r="DG78" s="408">
        <v>-7.2995831601474492E-9</v>
      </c>
      <c r="DH78" s="408">
        <v>0</v>
      </c>
      <c r="DI78" s="408">
        <v>-5.282438934495957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-0.81089246617606392</v>
      </c>
      <c r="DP78" s="408">
        <v>-0.26375772192824254</v>
      </c>
      <c r="DQ78" s="408">
        <v>0</v>
      </c>
      <c r="DR78" s="408">
        <v>0</v>
      </c>
      <c r="DS78" s="408"/>
      <c r="DT78" s="408"/>
      <c r="DU78" s="408"/>
      <c r="DV78" s="408">
        <v>6455.2169902040096</v>
      </c>
      <c r="DW78" s="408">
        <v>0</v>
      </c>
      <c r="DX78" s="408">
        <v>0</v>
      </c>
      <c r="DY78" s="408">
        <v>-3969.9734399999998</v>
      </c>
      <c r="DZ78" s="408">
        <v>0</v>
      </c>
      <c r="EA78" s="408">
        <v>0</v>
      </c>
      <c r="EB78" s="408">
        <v>0</v>
      </c>
      <c r="EC78" s="408">
        <v>-3957.9848077996812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265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s="861" customFormat="1">
      <c r="A79" s="408">
        <v>84</v>
      </c>
      <c r="B79" s="408" t="s">
        <v>1031</v>
      </c>
      <c r="C79" s="408" t="s">
        <v>2235</v>
      </c>
      <c r="D79" s="408" t="s">
        <v>596</v>
      </c>
      <c r="E79" s="408" t="s">
        <v>969</v>
      </c>
      <c r="F79" s="408" t="s">
        <v>1317</v>
      </c>
      <c r="G79" s="408" t="s">
        <v>1317</v>
      </c>
      <c r="H79" s="408" t="s">
        <v>1317</v>
      </c>
      <c r="I79" s="408" t="s">
        <v>2236</v>
      </c>
      <c r="J79" s="408" t="s">
        <v>2228</v>
      </c>
      <c r="K79" s="828">
        <v>44409</v>
      </c>
      <c r="L79" s="408">
        <v>0</v>
      </c>
      <c r="M79" s="408">
        <v>0</v>
      </c>
      <c r="N79" s="408">
        <v>28.582999999999998</v>
      </c>
      <c r="O79" s="408">
        <v>27.439679999999999</v>
      </c>
      <c r="P79" s="408">
        <v>28.582999999999998</v>
      </c>
      <c r="Q79" s="408">
        <v>27.439679999999999</v>
      </c>
      <c r="R79" s="408"/>
      <c r="S79" s="408">
        <v>81.2</v>
      </c>
      <c r="T79" s="408">
        <v>252.22</v>
      </c>
      <c r="U79" s="408"/>
      <c r="V79" s="408">
        <v>9530.1438600000001</v>
      </c>
      <c r="W79" s="408">
        <v>9530.1438600000001</v>
      </c>
      <c r="X79" s="408">
        <v>9476.4078199999985</v>
      </c>
      <c r="Y79" s="408">
        <v>0</v>
      </c>
      <c r="Z79" s="408">
        <v>1538.1154349171302</v>
      </c>
      <c r="AA79" s="408">
        <v>0</v>
      </c>
      <c r="AB79" s="408">
        <v>0</v>
      </c>
      <c r="AC79" s="408">
        <v>0</v>
      </c>
      <c r="AD79" s="408">
        <v>0</v>
      </c>
      <c r="AE79" s="408">
        <v>0</v>
      </c>
      <c r="AF79" s="408">
        <v>7209.283362793919</v>
      </c>
      <c r="AG79" s="408">
        <v>0</v>
      </c>
      <c r="AH79" s="408">
        <v>0</v>
      </c>
      <c r="AI79" s="408">
        <v>0</v>
      </c>
      <c r="AJ79" s="408">
        <v>0</v>
      </c>
      <c r="AK79" s="408">
        <v>0</v>
      </c>
      <c r="AL79" s="408">
        <v>273.28289716625113</v>
      </c>
      <c r="AM79" s="408"/>
      <c r="AN79" s="408">
        <v>68.768015132134096</v>
      </c>
      <c r="AO79" s="408">
        <v>0</v>
      </c>
      <c r="AP79" s="408">
        <v>0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>
        <v>0</v>
      </c>
      <c r="BG79" s="408">
        <v>440.83107209007244</v>
      </c>
      <c r="BH79" s="408">
        <v>0</v>
      </c>
      <c r="BI79" s="408">
        <v>0</v>
      </c>
      <c r="BJ79" s="408">
        <v>0</v>
      </c>
      <c r="BK79" s="408">
        <v>0</v>
      </c>
      <c r="BL79" s="408">
        <v>0</v>
      </c>
      <c r="BM79" s="408"/>
      <c r="BN79" s="408"/>
      <c r="BO79" s="408"/>
      <c r="BP79" s="408"/>
      <c r="BQ79" s="408"/>
      <c r="BR79" s="408">
        <v>379.05631279999977</v>
      </c>
      <c r="BS79" s="408"/>
      <c r="BT79" s="408"/>
      <c r="BU79" s="408"/>
      <c r="BV79" s="408">
        <v>7650.1144348839916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9097.4575999999997</v>
      </c>
      <c r="CJ79" s="408">
        <v>-51.510505599999306</v>
      </c>
      <c r="CK79" s="408"/>
      <c r="CL79" s="408"/>
      <c r="CM79" s="408"/>
      <c r="CN79" s="408"/>
      <c r="CO79" s="408">
        <v>-53.736040000000273</v>
      </c>
      <c r="CP79" s="408">
        <v>0</v>
      </c>
      <c r="CQ79" s="408">
        <v>31</v>
      </c>
      <c r="CR79" s="408">
        <v>-53.822476899298636</v>
      </c>
      <c r="CS79" s="408">
        <v>0</v>
      </c>
      <c r="CT79" s="408">
        <v>0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0</v>
      </c>
      <c r="DA79" s="408">
        <v>0</v>
      </c>
      <c r="DB79" s="408">
        <v>0</v>
      </c>
      <c r="DC79" s="408">
        <v>-1.0106950867339037E-6</v>
      </c>
      <c r="DD79" s="408">
        <v>0</v>
      </c>
      <c r="DE79" s="408">
        <v>0</v>
      </c>
      <c r="DF79" s="408">
        <v>0</v>
      </c>
      <c r="DG79" s="408">
        <v>-6.1802097661711741E-8</v>
      </c>
      <c r="DH79" s="408">
        <v>0</v>
      </c>
      <c r="DI79" s="408">
        <v>-44.723919450443645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-6.8654441234331784</v>
      </c>
      <c r="DP79" s="408">
        <v>-2.2331122529250393</v>
      </c>
      <c r="DQ79" s="408">
        <v>0</v>
      </c>
      <c r="DR79" s="408">
        <v>0</v>
      </c>
      <c r="DS79" s="408"/>
      <c r="DT79" s="408"/>
      <c r="DU79" s="408"/>
      <c r="DV79" s="408">
        <v>0</v>
      </c>
      <c r="DW79" s="408">
        <v>0</v>
      </c>
      <c r="DX79" s="408">
        <v>0</v>
      </c>
      <c r="DY79" s="408">
        <v>-53.736040000000685</v>
      </c>
      <c r="DZ79" s="408">
        <v>0</v>
      </c>
      <c r="EA79" s="408">
        <v>0</v>
      </c>
      <c r="EB79" s="408">
        <v>0</v>
      </c>
      <c r="EC79" s="408">
        <v>0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265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s="861" customFormat="1">
      <c r="A80" s="408">
        <v>85</v>
      </c>
      <c r="B80" s="408" t="s">
        <v>1031</v>
      </c>
      <c r="C80" s="408" t="s">
        <v>2235</v>
      </c>
      <c r="D80" s="408" t="s">
        <v>596</v>
      </c>
      <c r="E80" s="408" t="s">
        <v>969</v>
      </c>
      <c r="F80" s="408" t="s">
        <v>1317</v>
      </c>
      <c r="G80" s="408" t="s">
        <v>1317</v>
      </c>
      <c r="H80" s="408" t="s">
        <v>1317</v>
      </c>
      <c r="I80" s="408" t="s">
        <v>1317</v>
      </c>
      <c r="J80" s="408" t="s">
        <v>2228</v>
      </c>
      <c r="K80" s="828">
        <v>44409</v>
      </c>
      <c r="L80" s="408">
        <v>241</v>
      </c>
      <c r="M80" s="408">
        <v>231.35999999999999</v>
      </c>
      <c r="N80" s="408">
        <v>0</v>
      </c>
      <c r="O80" s="408">
        <v>0</v>
      </c>
      <c r="P80" s="408">
        <v>0</v>
      </c>
      <c r="Q80" s="408">
        <v>0</v>
      </c>
      <c r="R80" s="408">
        <v>74.44</v>
      </c>
      <c r="S80" s="408"/>
      <c r="T80" s="408"/>
      <c r="U80" s="408">
        <v>17940.04</v>
      </c>
      <c r="V80" s="408"/>
      <c r="W80" s="408">
        <v>17940.04</v>
      </c>
      <c r="X80" s="408">
        <v>10946.220000000001</v>
      </c>
      <c r="Y80" s="408">
        <v>0</v>
      </c>
      <c r="Z80" s="408">
        <v>0</v>
      </c>
      <c r="AA80" s="408">
        <v>0</v>
      </c>
      <c r="AB80" s="408">
        <v>0</v>
      </c>
      <c r="AC80" s="408">
        <v>0</v>
      </c>
      <c r="AD80" s="408">
        <v>6559.319299838884</v>
      </c>
      <c r="AE80" s="408">
        <v>11380.390642136947</v>
      </c>
      <c r="AF80" s="408"/>
      <c r="AG80" s="408"/>
      <c r="AH80" s="408"/>
      <c r="AI80" s="408">
        <v>0</v>
      </c>
      <c r="AJ80" s="408">
        <v>0</v>
      </c>
      <c r="AK80" s="408">
        <v>0</v>
      </c>
      <c r="AL80" s="408">
        <v>0</v>
      </c>
      <c r="AM80" s="408"/>
      <c r="AN80" s="408">
        <v>0</v>
      </c>
      <c r="AO80" s="408">
        <v>0</v>
      </c>
      <c r="AP80" s="408">
        <v>0</v>
      </c>
      <c r="AQ80" s="408">
        <v>0</v>
      </c>
      <c r="AR80" s="408">
        <v>0</v>
      </c>
      <c r="AS80" s="408"/>
      <c r="AT80" s="408"/>
      <c r="AU80" s="408">
        <v>0</v>
      </c>
      <c r="AV80" s="408">
        <v>0</v>
      </c>
      <c r="AW80" s="408">
        <v>0</v>
      </c>
      <c r="AX80" s="408"/>
      <c r="AY80" s="408"/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/>
      <c r="BG80" s="408">
        <v>0</v>
      </c>
      <c r="BH80" s="408">
        <v>0</v>
      </c>
      <c r="BI80" s="408">
        <v>0</v>
      </c>
      <c r="BJ80" s="408">
        <v>0</v>
      </c>
      <c r="BK80" s="408">
        <v>15.02</v>
      </c>
      <c r="BL80" s="408">
        <v>2</v>
      </c>
      <c r="BM80" s="408"/>
      <c r="BN80" s="408"/>
      <c r="BO80" s="408"/>
      <c r="BP80" s="408"/>
      <c r="BQ80" s="408"/>
      <c r="BR80" s="408">
        <v>437.84880000000067</v>
      </c>
      <c r="BS80" s="408"/>
      <c r="BT80" s="408"/>
      <c r="BU80" s="408"/>
      <c r="BV80" s="408">
        <v>0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10508.371200000001</v>
      </c>
      <c r="CJ80" s="408">
        <v>-6714.0971999999929</v>
      </c>
      <c r="CK80" s="408"/>
      <c r="CL80" s="408"/>
      <c r="CM80" s="408"/>
      <c r="CN80" s="408"/>
      <c r="CO80" s="408">
        <v>-6993.8199999999988</v>
      </c>
      <c r="CP80" s="408">
        <v>0</v>
      </c>
      <c r="CQ80" s="408">
        <v>31</v>
      </c>
      <c r="CR80" s="408">
        <v>-16.858028226937677</v>
      </c>
      <c r="CS80" s="408">
        <v>0</v>
      </c>
      <c r="CT80" s="408">
        <v>0</v>
      </c>
      <c r="CU80" s="408">
        <v>0</v>
      </c>
      <c r="CV80" s="408">
        <v>0</v>
      </c>
      <c r="CW80" s="408"/>
      <c r="CX80" s="408"/>
      <c r="CY80" s="408"/>
      <c r="CZ80" s="408">
        <v>-16.858028226937677</v>
      </c>
      <c r="DA80" s="408">
        <v>0</v>
      </c>
      <c r="DB80" s="408">
        <v>0</v>
      </c>
      <c r="DC80" s="408"/>
      <c r="DD80" s="408"/>
      <c r="DE80" s="408">
        <v>0</v>
      </c>
      <c r="DF80" s="408">
        <v>0</v>
      </c>
      <c r="DG80" s="408">
        <v>0</v>
      </c>
      <c r="DH80" s="408">
        <v>0</v>
      </c>
      <c r="DI80" s="408">
        <v>0</v>
      </c>
      <c r="DJ80" s="408"/>
      <c r="DK80" s="408">
        <v>0</v>
      </c>
      <c r="DL80" s="408">
        <v>0</v>
      </c>
      <c r="DM80" s="408"/>
      <c r="DN80" s="408">
        <v>0</v>
      </c>
      <c r="DO80" s="408">
        <v>0</v>
      </c>
      <c r="DP80" s="408">
        <v>0</v>
      </c>
      <c r="DQ80" s="408">
        <v>0</v>
      </c>
      <c r="DR80" s="408">
        <v>0</v>
      </c>
      <c r="DS80" s="408"/>
      <c r="DT80" s="408"/>
      <c r="DU80" s="408">
        <v>11380.390642136947</v>
      </c>
      <c r="DV80" s="408"/>
      <c r="DW80" s="408">
        <v>0</v>
      </c>
      <c r="DX80" s="408">
        <v>0</v>
      </c>
      <c r="DY80" s="408">
        <v>-6993.82</v>
      </c>
      <c r="DZ80" s="408"/>
      <c r="EA80" s="408">
        <v>0</v>
      </c>
      <c r="EB80" s="408"/>
      <c r="EC80" s="408">
        <v>-6977.8310065732148</v>
      </c>
      <c r="ED80" s="408"/>
      <c r="EE80" s="408">
        <v>0</v>
      </c>
      <c r="EF80" s="408">
        <v>0</v>
      </c>
      <c r="EG80" s="408"/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/>
      <c r="EN80" s="408"/>
      <c r="EO80" s="408">
        <v>0</v>
      </c>
      <c r="EP80" s="408">
        <v>0</v>
      </c>
      <c r="EQ80" s="408"/>
      <c r="ER80" s="408">
        <v>0</v>
      </c>
      <c r="ES80" s="408"/>
      <c r="ET80" s="408">
        <v>0</v>
      </c>
      <c r="EU80" s="408"/>
      <c r="EV80" s="408">
        <v>265</v>
      </c>
      <c r="EW80" s="408"/>
      <c r="EX80" s="408"/>
      <c r="EY80" s="408"/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s="861" customFormat="1">
      <c r="A81" s="408">
        <v>86</v>
      </c>
      <c r="B81" s="408" t="s">
        <v>2230</v>
      </c>
      <c r="C81" s="408" t="s">
        <v>2235</v>
      </c>
      <c r="D81" s="408" t="s">
        <v>596</v>
      </c>
      <c r="E81" s="408" t="s">
        <v>969</v>
      </c>
      <c r="F81" s="408" t="s">
        <v>1317</v>
      </c>
      <c r="G81" s="408" t="s">
        <v>1317</v>
      </c>
      <c r="H81" s="408" t="s">
        <v>1317</v>
      </c>
      <c r="I81" s="408" t="s">
        <v>1317</v>
      </c>
      <c r="J81" s="408" t="s">
        <v>2228</v>
      </c>
      <c r="K81" s="828">
        <v>44409</v>
      </c>
      <c r="L81" s="408">
        <v>317</v>
      </c>
      <c r="M81" s="408">
        <v>304.32</v>
      </c>
      <c r="N81" s="408">
        <v>0</v>
      </c>
      <c r="O81" s="408">
        <v>0</v>
      </c>
      <c r="P81" s="408">
        <v>0</v>
      </c>
      <c r="Q81" s="408">
        <v>0</v>
      </c>
      <c r="R81" s="408">
        <v>74.44</v>
      </c>
      <c r="S81" s="408"/>
      <c r="T81" s="408"/>
      <c r="U81" s="408">
        <v>23597.48</v>
      </c>
      <c r="V81" s="408"/>
      <c r="W81" s="408">
        <v>23597.48</v>
      </c>
      <c r="X81" s="408">
        <v>14398.140000000001</v>
      </c>
      <c r="Y81" s="408">
        <v>0</v>
      </c>
      <c r="Z81" s="408">
        <v>0</v>
      </c>
      <c r="AA81" s="408">
        <v>0</v>
      </c>
      <c r="AB81" s="408">
        <v>0</v>
      </c>
      <c r="AC81" s="408">
        <v>0</v>
      </c>
      <c r="AD81" s="408">
        <v>8627.8183321532215</v>
      </c>
      <c r="AE81" s="408">
        <v>14969.227525134489</v>
      </c>
      <c r="AF81" s="408"/>
      <c r="AG81" s="408"/>
      <c r="AH81" s="408"/>
      <c r="AI81" s="408">
        <v>0</v>
      </c>
      <c r="AJ81" s="408">
        <v>0</v>
      </c>
      <c r="AK81" s="408">
        <v>0</v>
      </c>
      <c r="AL81" s="408">
        <v>0</v>
      </c>
      <c r="AM81" s="408"/>
      <c r="AN81" s="408">
        <v>0</v>
      </c>
      <c r="AO81" s="408">
        <v>0</v>
      </c>
      <c r="AP81" s="408">
        <v>0</v>
      </c>
      <c r="AQ81" s="408">
        <v>0</v>
      </c>
      <c r="AR81" s="408">
        <v>0</v>
      </c>
      <c r="AS81" s="408"/>
      <c r="AT81" s="408"/>
      <c r="AU81" s="408">
        <v>0</v>
      </c>
      <c r="AV81" s="408">
        <v>0</v>
      </c>
      <c r="AW81" s="408">
        <v>0</v>
      </c>
      <c r="AX81" s="408"/>
      <c r="AY81" s="408"/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/>
      <c r="BG81" s="408">
        <v>0</v>
      </c>
      <c r="BH81" s="408">
        <v>0</v>
      </c>
      <c r="BI81" s="408">
        <v>0</v>
      </c>
      <c r="BJ81" s="408">
        <v>0</v>
      </c>
      <c r="BK81" s="408">
        <v>5.33</v>
      </c>
      <c r="BL81" s="408">
        <v>4</v>
      </c>
      <c r="BM81" s="408"/>
      <c r="BN81" s="408"/>
      <c r="BO81" s="408"/>
      <c r="BP81" s="408"/>
      <c r="BQ81" s="408"/>
      <c r="BR81" s="408">
        <v>575.92560000000037</v>
      </c>
      <c r="BS81" s="408"/>
      <c r="BT81" s="408"/>
      <c r="BU81" s="408"/>
      <c r="BV81" s="408">
        <v>0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13822.214400000001</v>
      </c>
      <c r="CJ81" s="408">
        <v>-8831.3963999999942</v>
      </c>
      <c r="CK81" s="408"/>
      <c r="CL81" s="408"/>
      <c r="CM81" s="408"/>
      <c r="CN81" s="408"/>
      <c r="CO81" s="408">
        <v>-9199.3399999999983</v>
      </c>
      <c r="CP81" s="408">
        <v>0</v>
      </c>
      <c r="CQ81" s="408">
        <v>31</v>
      </c>
      <c r="CR81" s="408">
        <v>-22.174252896013058</v>
      </c>
      <c r="CS81" s="408">
        <v>0</v>
      </c>
      <c r="CT81" s="408">
        <v>0</v>
      </c>
      <c r="CU81" s="408">
        <v>0</v>
      </c>
      <c r="CV81" s="408">
        <v>0</v>
      </c>
      <c r="CW81" s="408"/>
      <c r="CX81" s="408"/>
      <c r="CY81" s="408"/>
      <c r="CZ81" s="408">
        <v>-22.174252896013058</v>
      </c>
      <c r="DA81" s="408">
        <v>0</v>
      </c>
      <c r="DB81" s="408">
        <v>0</v>
      </c>
      <c r="DC81" s="408"/>
      <c r="DD81" s="408"/>
      <c r="DE81" s="408">
        <v>0</v>
      </c>
      <c r="DF81" s="408">
        <v>0</v>
      </c>
      <c r="DG81" s="408">
        <v>0</v>
      </c>
      <c r="DH81" s="408">
        <v>0</v>
      </c>
      <c r="DI81" s="408">
        <v>0</v>
      </c>
      <c r="DJ81" s="408"/>
      <c r="DK81" s="408">
        <v>0</v>
      </c>
      <c r="DL81" s="408">
        <v>0</v>
      </c>
      <c r="DM81" s="408"/>
      <c r="DN81" s="408">
        <v>0</v>
      </c>
      <c r="DO81" s="408">
        <v>0</v>
      </c>
      <c r="DP81" s="408">
        <v>0</v>
      </c>
      <c r="DQ81" s="408">
        <v>0</v>
      </c>
      <c r="DR81" s="408">
        <v>0</v>
      </c>
      <c r="DS81" s="408"/>
      <c r="DT81" s="408"/>
      <c r="DU81" s="408">
        <v>14969.227525134489</v>
      </c>
      <c r="DV81" s="408"/>
      <c r="DW81" s="408">
        <v>0</v>
      </c>
      <c r="DX81" s="408">
        <v>0</v>
      </c>
      <c r="DY81" s="408">
        <v>-9199.3399999999983</v>
      </c>
      <c r="DZ81" s="408"/>
      <c r="EA81" s="408">
        <v>0</v>
      </c>
      <c r="EB81" s="408"/>
      <c r="EC81" s="408">
        <v>-9178.3088343722375</v>
      </c>
      <c r="ED81" s="408"/>
      <c r="EE81" s="408">
        <v>0</v>
      </c>
      <c r="EF81" s="408">
        <v>0</v>
      </c>
      <c r="EG81" s="408"/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/>
      <c r="EN81" s="408"/>
      <c r="EO81" s="408">
        <v>0</v>
      </c>
      <c r="EP81" s="408">
        <v>0</v>
      </c>
      <c r="EQ81" s="408"/>
      <c r="ER81" s="408">
        <v>0</v>
      </c>
      <c r="ES81" s="408"/>
      <c r="ET81" s="408">
        <v>0</v>
      </c>
      <c r="EU81" s="408"/>
      <c r="EV81" s="408">
        <v>265</v>
      </c>
      <c r="EW81" s="408"/>
      <c r="EX81" s="408"/>
      <c r="EY81" s="408"/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s="861" customFormat="1">
      <c r="A82" s="408">
        <v>87</v>
      </c>
      <c r="B82" s="408" t="s">
        <v>1031</v>
      </c>
      <c r="C82" s="408" t="s">
        <v>2227</v>
      </c>
      <c r="D82" s="408" t="s">
        <v>1952</v>
      </c>
      <c r="E82" s="408" t="s">
        <v>2238</v>
      </c>
      <c r="F82" s="408" t="s">
        <v>1317</v>
      </c>
      <c r="G82" s="408" t="s">
        <v>1317</v>
      </c>
      <c r="H82" s="408" t="s">
        <v>1317</v>
      </c>
      <c r="I82" s="408" t="s">
        <v>1317</v>
      </c>
      <c r="J82" s="408" t="s">
        <v>2228</v>
      </c>
      <c r="K82" s="828">
        <v>44409</v>
      </c>
      <c r="L82" s="408">
        <v>0</v>
      </c>
      <c r="M82" s="408">
        <v>0</v>
      </c>
      <c r="N82" s="408">
        <v>187.249</v>
      </c>
      <c r="O82" s="408">
        <v>187.249</v>
      </c>
      <c r="P82" s="408">
        <v>187.249</v>
      </c>
      <c r="Q82" s="408">
        <v>187.249</v>
      </c>
      <c r="R82" s="408"/>
      <c r="S82" s="408">
        <v>739.04</v>
      </c>
      <c r="T82" s="408">
        <v>252.22</v>
      </c>
      <c r="U82" s="408"/>
      <c r="V82" s="408">
        <v>185612.44373999996</v>
      </c>
      <c r="W82" s="408">
        <v>185612.44373999996</v>
      </c>
      <c r="X82" s="408">
        <v>126949.20453</v>
      </c>
      <c r="Y82" s="408">
        <v>0</v>
      </c>
      <c r="Z82" s="408">
        <v>11581.941724576169</v>
      </c>
      <c r="AA82" s="408">
        <v>0</v>
      </c>
      <c r="AB82" s="408">
        <v>0</v>
      </c>
      <c r="AC82" s="408">
        <v>0</v>
      </c>
      <c r="AD82" s="408">
        <v>23124.798525239104</v>
      </c>
      <c r="AE82" s="408">
        <v>94932.952954753244</v>
      </c>
      <c r="AF82" s="408">
        <v>47228.460987293096</v>
      </c>
      <c r="AG82" s="408">
        <v>0</v>
      </c>
      <c r="AH82" s="408">
        <v>0</v>
      </c>
      <c r="AI82" s="408">
        <v>0</v>
      </c>
      <c r="AJ82" s="408">
        <v>0</v>
      </c>
      <c r="AK82" s="408">
        <v>0</v>
      </c>
      <c r="AL82" s="408">
        <v>1790.2931536746794</v>
      </c>
      <c r="AM82" s="408"/>
      <c r="AN82" s="408">
        <v>438.78030816350372</v>
      </c>
      <c r="AO82" s="408">
        <v>0</v>
      </c>
      <c r="AP82" s="408">
        <v>0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>
        <v>0</v>
      </c>
      <c r="BG82" s="408">
        <v>6515.1881365556847</v>
      </c>
      <c r="BH82" s="408">
        <v>0</v>
      </c>
      <c r="BI82" s="408">
        <v>0</v>
      </c>
      <c r="BJ82" s="408">
        <v>0</v>
      </c>
      <c r="BK82" s="408">
        <v>54000.34</v>
      </c>
      <c r="BL82" s="408">
        <v>366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>
        <v>53743.64912384878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126949.88250000001</v>
      </c>
      <c r="CJ82" s="408">
        <v>-58662.59123999998</v>
      </c>
      <c r="CK82" s="408"/>
      <c r="CL82" s="408"/>
      <c r="CM82" s="408"/>
      <c r="CN82" s="408"/>
      <c r="CO82" s="408">
        <v>-58663.239209999992</v>
      </c>
      <c r="CP82" s="408">
        <v>0</v>
      </c>
      <c r="CQ82" s="408">
        <v>31</v>
      </c>
      <c r="CR82" s="408">
        <v>-455.4264429473842</v>
      </c>
      <c r="CS82" s="408">
        <v>0</v>
      </c>
      <c r="CT82" s="408">
        <v>0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-59.432768624319579</v>
      </c>
      <c r="DA82" s="408">
        <v>0</v>
      </c>
      <c r="DB82" s="408">
        <v>0</v>
      </c>
      <c r="DC82" s="408">
        <v>-6.6211287048645318E-6</v>
      </c>
      <c r="DD82" s="408">
        <v>0</v>
      </c>
      <c r="DE82" s="408">
        <v>0</v>
      </c>
      <c r="DF82" s="408">
        <v>0</v>
      </c>
      <c r="DG82" s="408">
        <v>-9.1338279162300751E-7</v>
      </c>
      <c r="DH82" s="408">
        <v>0</v>
      </c>
      <c r="DI82" s="408">
        <v>-336.76915074815952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-44.975948874111737</v>
      </c>
      <c r="DP82" s="408">
        <v>-14.248567166281305</v>
      </c>
      <c r="DQ82" s="408">
        <v>0</v>
      </c>
      <c r="DR82" s="408">
        <v>0</v>
      </c>
      <c r="DS82" s="408"/>
      <c r="DT82" s="408"/>
      <c r="DU82" s="408"/>
      <c r="DV82" s="408">
        <v>94932.952954753244</v>
      </c>
      <c r="DW82" s="408">
        <v>0</v>
      </c>
      <c r="DX82" s="408">
        <v>0</v>
      </c>
      <c r="DY82" s="408">
        <v>-58663.239209999971</v>
      </c>
      <c r="DZ82" s="408">
        <v>0</v>
      </c>
      <c r="EA82" s="408">
        <v>0</v>
      </c>
      <c r="EB82" s="408">
        <v>0</v>
      </c>
      <c r="EC82" s="408">
        <v>-58207.677003682002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0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265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1" customFormat="1">
      <c r="A83" s="408">
        <v>88</v>
      </c>
      <c r="B83" s="408" t="s">
        <v>2230</v>
      </c>
      <c r="C83" s="408" t="s">
        <v>2227</v>
      </c>
      <c r="D83" s="408" t="s">
        <v>1952</v>
      </c>
      <c r="E83" s="408" t="s">
        <v>2238</v>
      </c>
      <c r="F83" s="408" t="s">
        <v>1317</v>
      </c>
      <c r="G83" s="408" t="s">
        <v>1317</v>
      </c>
      <c r="H83" s="408" t="s">
        <v>1317</v>
      </c>
      <c r="I83" s="408" t="s">
        <v>1317</v>
      </c>
      <c r="J83" s="408" t="s">
        <v>2228</v>
      </c>
      <c r="K83" s="828">
        <v>44409</v>
      </c>
      <c r="L83" s="408">
        <v>0</v>
      </c>
      <c r="M83" s="408">
        <v>0</v>
      </c>
      <c r="N83" s="408">
        <v>0.872</v>
      </c>
      <c r="O83" s="408">
        <v>0.872</v>
      </c>
      <c r="P83" s="408">
        <v>0.872</v>
      </c>
      <c r="Q83" s="408">
        <v>0.872</v>
      </c>
      <c r="R83" s="408"/>
      <c r="S83" s="408">
        <v>739.04</v>
      </c>
      <c r="T83" s="408">
        <v>252.22</v>
      </c>
      <c r="U83" s="408"/>
      <c r="V83" s="408">
        <v>864.37871999999993</v>
      </c>
      <c r="W83" s="408">
        <v>864.37871999999993</v>
      </c>
      <c r="X83" s="408">
        <v>591.18984</v>
      </c>
      <c r="Y83" s="408">
        <v>0</v>
      </c>
      <c r="Z83" s="408">
        <v>53.935952575610116</v>
      </c>
      <c r="AA83" s="408">
        <v>0</v>
      </c>
      <c r="AB83" s="408">
        <v>0</v>
      </c>
      <c r="AC83" s="408">
        <v>0</v>
      </c>
      <c r="AD83" s="408">
        <v>107.68989054151692</v>
      </c>
      <c r="AE83" s="408">
        <v>442.09333548667729</v>
      </c>
      <c r="AF83" s="408">
        <v>219.93825323990825</v>
      </c>
      <c r="AG83" s="408">
        <v>0</v>
      </c>
      <c r="AH83" s="408">
        <v>0</v>
      </c>
      <c r="AI83" s="408">
        <v>0</v>
      </c>
      <c r="AJ83" s="408">
        <v>0</v>
      </c>
      <c r="AK83" s="408">
        <v>0</v>
      </c>
      <c r="AL83" s="408">
        <v>8.3372174484473636</v>
      </c>
      <c r="AM83" s="408"/>
      <c r="AN83" s="408">
        <v>2.0433563261676979</v>
      </c>
      <c r="AO83" s="408">
        <v>0</v>
      </c>
      <c r="AP83" s="408">
        <v>0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30.340584222487472</v>
      </c>
      <c r="BH83" s="408">
        <v>0</v>
      </c>
      <c r="BI83" s="408">
        <v>0</v>
      </c>
      <c r="BJ83" s="408">
        <v>0</v>
      </c>
      <c r="BK83" s="408">
        <v>348.2</v>
      </c>
      <c r="BL83" s="408">
        <v>2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250.27883746239573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589.83389999999997</v>
      </c>
      <c r="CJ83" s="408">
        <v>-274.57481999999993</v>
      </c>
      <c r="CK83" s="408"/>
      <c r="CL83" s="408"/>
      <c r="CM83" s="408"/>
      <c r="CN83" s="408"/>
      <c r="CO83" s="408">
        <v>-273.18887999999998</v>
      </c>
      <c r="CP83" s="408">
        <v>0</v>
      </c>
      <c r="CQ83" s="408">
        <v>31</v>
      </c>
      <c r="CR83" s="408">
        <v>-2.120875722968492</v>
      </c>
      <c r="CS83" s="408">
        <v>0</v>
      </c>
      <c r="CT83" s="408">
        <v>0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-0.27677250207160853</v>
      </c>
      <c r="DA83" s="408">
        <v>0</v>
      </c>
      <c r="DB83" s="408">
        <v>0</v>
      </c>
      <c r="DC83" s="408">
        <v>-3.0833945174890687E-8</v>
      </c>
      <c r="DD83" s="408">
        <v>0</v>
      </c>
      <c r="DE83" s="408">
        <v>0</v>
      </c>
      <c r="DF83" s="408">
        <v>0</v>
      </c>
      <c r="DG83" s="408">
        <v>-4.2535326372217241E-9</v>
      </c>
      <c r="DH83" s="408">
        <v>0</v>
      </c>
      <c r="DI83" s="408">
        <v>-1.5683004953425339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-0.20944852799334157</v>
      </c>
      <c r="DP83" s="408">
        <v>-6.635416247348358E-2</v>
      </c>
      <c r="DQ83" s="408">
        <v>0</v>
      </c>
      <c r="DR83" s="408">
        <v>0</v>
      </c>
      <c r="DS83" s="408"/>
      <c r="DT83" s="408"/>
      <c r="DU83" s="408"/>
      <c r="DV83" s="408">
        <v>442.09333548667729</v>
      </c>
      <c r="DW83" s="408">
        <v>0</v>
      </c>
      <c r="DX83" s="408">
        <v>0</v>
      </c>
      <c r="DY83" s="408">
        <v>-273.18887999999993</v>
      </c>
      <c r="DZ83" s="408">
        <v>0</v>
      </c>
      <c r="EA83" s="408">
        <v>0</v>
      </c>
      <c r="EB83" s="408">
        <v>0</v>
      </c>
      <c r="EC83" s="408">
        <v>-271.06737204049534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265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1" customFormat="1">
      <c r="A84" s="408">
        <v>89</v>
      </c>
      <c r="B84" s="408" t="s">
        <v>1031</v>
      </c>
      <c r="C84" s="408" t="s">
        <v>2227</v>
      </c>
      <c r="D84" s="408" t="s">
        <v>2240</v>
      </c>
      <c r="E84" s="408" t="s">
        <v>2241</v>
      </c>
      <c r="F84" s="408" t="s">
        <v>2242</v>
      </c>
      <c r="G84" s="408" t="s">
        <v>1317</v>
      </c>
      <c r="H84" s="408" t="s">
        <v>1317</v>
      </c>
      <c r="I84" s="408" t="s">
        <v>1317</v>
      </c>
      <c r="J84" s="408" t="s">
        <v>2228</v>
      </c>
      <c r="K84" s="828">
        <v>44409</v>
      </c>
      <c r="L84" s="408">
        <v>0</v>
      </c>
      <c r="M84" s="408">
        <v>0</v>
      </c>
      <c r="N84" s="408">
        <v>380.58699999999999</v>
      </c>
      <c r="O84" s="408">
        <v>380.58699999999999</v>
      </c>
      <c r="P84" s="408">
        <v>380.58699999999999</v>
      </c>
      <c r="Q84" s="408">
        <v>380.58699999999999</v>
      </c>
      <c r="R84" s="408"/>
      <c r="S84" s="408">
        <v>406.47</v>
      </c>
      <c r="T84" s="408">
        <v>138.72</v>
      </c>
      <c r="U84" s="408"/>
      <c r="V84" s="408">
        <v>207492.22653000001</v>
      </c>
      <c r="W84" s="408">
        <v>207492.22653000001</v>
      </c>
      <c r="X84" s="408">
        <v>141913.28055999998</v>
      </c>
      <c r="Y84" s="408">
        <v>0</v>
      </c>
      <c r="Z84" s="408">
        <v>12947.279025907719</v>
      </c>
      <c r="AA84" s="408">
        <v>0</v>
      </c>
      <c r="AB84" s="408">
        <v>0</v>
      </c>
      <c r="AC84" s="408">
        <v>0</v>
      </c>
      <c r="AD84" s="408">
        <v>25850.865601305562</v>
      </c>
      <c r="AE84" s="408">
        <v>106124.12494274935</v>
      </c>
      <c r="AF84" s="408">
        <v>52795.988523164197</v>
      </c>
      <c r="AG84" s="408">
        <v>0</v>
      </c>
      <c r="AH84" s="408">
        <v>0</v>
      </c>
      <c r="AI84" s="408">
        <v>0</v>
      </c>
      <c r="AJ84" s="408">
        <v>0</v>
      </c>
      <c r="AK84" s="408">
        <v>0</v>
      </c>
      <c r="AL84" s="408">
        <v>2001.3418777279021</v>
      </c>
      <c r="AM84" s="408"/>
      <c r="AN84" s="408">
        <v>490.50592862265268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7283.2311469221422</v>
      </c>
      <c r="BH84" s="408">
        <v>0</v>
      </c>
      <c r="BI84" s="408">
        <v>0</v>
      </c>
      <c r="BJ84" s="408">
        <v>0</v>
      </c>
      <c r="BK84" s="408">
        <v>44313.97</v>
      </c>
      <c r="BL84" s="408">
        <v>66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60079.219670086342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141914.39919999999</v>
      </c>
      <c r="CJ84" s="408">
        <v>-65577.857330000057</v>
      </c>
      <c r="CK84" s="408"/>
      <c r="CL84" s="408"/>
      <c r="CM84" s="408"/>
      <c r="CN84" s="408"/>
      <c r="CO84" s="408">
        <v>-65578.945970000015</v>
      </c>
      <c r="CP84" s="408">
        <v>0</v>
      </c>
      <c r="CQ84" s="408">
        <v>31</v>
      </c>
      <c r="CR84" s="408">
        <v>-509.11439315050666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-66.439001072605606</v>
      </c>
      <c r="DA84" s="408">
        <v>0</v>
      </c>
      <c r="DB84" s="408">
        <v>0</v>
      </c>
      <c r="DC84" s="408">
        <v>-7.401271432172507E-6</v>
      </c>
      <c r="DD84" s="408">
        <v>0</v>
      </c>
      <c r="DE84" s="408">
        <v>0</v>
      </c>
      <c r="DF84" s="408">
        <v>0</v>
      </c>
      <c r="DG84" s="408">
        <v>-1.0210387699771672E-6</v>
      </c>
      <c r="DH84" s="408">
        <v>0</v>
      </c>
      <c r="DI84" s="408">
        <v>-376.46918502466542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-50.277938999853859</v>
      </c>
      <c r="DP84" s="408">
        <v>-15.928259631093454</v>
      </c>
      <c r="DQ84" s="408">
        <v>0</v>
      </c>
      <c r="DR84" s="408">
        <v>0</v>
      </c>
      <c r="DS84" s="408"/>
      <c r="DT84" s="408"/>
      <c r="DU84" s="408"/>
      <c r="DV84" s="408">
        <v>106124.12494274935</v>
      </c>
      <c r="DW84" s="408">
        <v>0</v>
      </c>
      <c r="DX84" s="408">
        <v>0</v>
      </c>
      <c r="DY84" s="408">
        <v>-65578.945970000015</v>
      </c>
      <c r="DZ84" s="408">
        <v>0</v>
      </c>
      <c r="EA84" s="408">
        <v>0</v>
      </c>
      <c r="EB84" s="408">
        <v>0</v>
      </c>
      <c r="EC84" s="408">
        <v>-65069.489515512352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265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1" customFormat="1">
      <c r="A85" s="408">
        <v>90</v>
      </c>
      <c r="B85" s="408" t="s">
        <v>1031</v>
      </c>
      <c r="C85" s="408" t="s">
        <v>2227</v>
      </c>
      <c r="D85" s="408" t="s">
        <v>1952</v>
      </c>
      <c r="E85" s="408" t="s">
        <v>996</v>
      </c>
      <c r="F85" s="408" t="s">
        <v>2243</v>
      </c>
      <c r="G85" s="408" t="s">
        <v>1317</v>
      </c>
      <c r="H85" s="408" t="s">
        <v>1317</v>
      </c>
      <c r="I85" s="408" t="s">
        <v>1317</v>
      </c>
      <c r="J85" s="408" t="s">
        <v>2228</v>
      </c>
      <c r="K85" s="828">
        <v>44409</v>
      </c>
      <c r="L85" s="408">
        <v>0</v>
      </c>
      <c r="M85" s="408">
        <v>0</v>
      </c>
      <c r="N85" s="408">
        <v>78.555999999999997</v>
      </c>
      <c r="O85" s="408">
        <v>73.842639999999989</v>
      </c>
      <c r="P85" s="408">
        <v>78.555999999999997</v>
      </c>
      <c r="Q85" s="408">
        <v>73.842639999999989</v>
      </c>
      <c r="R85" s="408"/>
      <c r="S85" s="408">
        <v>739.04</v>
      </c>
      <c r="T85" s="408">
        <v>252.22</v>
      </c>
      <c r="U85" s="408"/>
      <c r="V85" s="408">
        <v>77869.420559999999</v>
      </c>
      <c r="W85" s="408">
        <v>77869.420559999999</v>
      </c>
      <c r="X85" s="408">
        <v>53258.611319999996</v>
      </c>
      <c r="Y85" s="408">
        <v>0</v>
      </c>
      <c r="Z85" s="408">
        <v>4858.9365717082892</v>
      </c>
      <c r="AA85" s="408">
        <v>0</v>
      </c>
      <c r="AB85" s="408">
        <v>0</v>
      </c>
      <c r="AC85" s="408">
        <v>0</v>
      </c>
      <c r="AD85" s="408">
        <v>9701.4759648846357</v>
      </c>
      <c r="AE85" s="408">
        <v>39826.931264325023</v>
      </c>
      <c r="AF85" s="408">
        <v>19813.611721919991</v>
      </c>
      <c r="AG85" s="408">
        <v>0</v>
      </c>
      <c r="AH85" s="408">
        <v>0</v>
      </c>
      <c r="AI85" s="408">
        <v>0</v>
      </c>
      <c r="AJ85" s="408">
        <v>0</v>
      </c>
      <c r="AK85" s="408">
        <v>0</v>
      </c>
      <c r="AL85" s="408">
        <v>751.07620857824668</v>
      </c>
      <c r="AM85" s="408"/>
      <c r="AN85" s="408">
        <v>184.08016004407074</v>
      </c>
      <c r="AO85" s="408">
        <v>0</v>
      </c>
      <c r="AP85" s="408">
        <v>0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2733.2969428689516</v>
      </c>
      <c r="BH85" s="408">
        <v>0</v>
      </c>
      <c r="BI85" s="408">
        <v>0</v>
      </c>
      <c r="BJ85" s="408">
        <v>0</v>
      </c>
      <c r="BK85" s="408">
        <v>24546.78</v>
      </c>
      <c r="BL85" s="408">
        <v>28</v>
      </c>
      <c r="BM85" s="408"/>
      <c r="BN85" s="408"/>
      <c r="BO85" s="408"/>
      <c r="BP85" s="408"/>
      <c r="BQ85" s="408">
        <v>3195.5166792000059</v>
      </c>
      <c r="BR85" s="408"/>
      <c r="BS85" s="408"/>
      <c r="BT85" s="408"/>
      <c r="BU85" s="408"/>
      <c r="BV85" s="408">
        <v>22546.908664788942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50061.304799999998</v>
      </c>
      <c r="CJ85" s="408">
        <v>-23135.980526399988</v>
      </c>
      <c r="CK85" s="408"/>
      <c r="CL85" s="408"/>
      <c r="CM85" s="408"/>
      <c r="CN85" s="408"/>
      <c r="CO85" s="408">
        <v>-24610.809239999995</v>
      </c>
      <c r="CP85" s="408">
        <v>0</v>
      </c>
      <c r="CQ85" s="408">
        <v>31</v>
      </c>
      <c r="CR85" s="408">
        <v>-191.0636620338264</v>
      </c>
      <c r="CS85" s="408">
        <v>0</v>
      </c>
      <c r="CT85" s="408">
        <v>0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-24.933647560477766</v>
      </c>
      <c r="DA85" s="408">
        <v>0</v>
      </c>
      <c r="DB85" s="408">
        <v>0</v>
      </c>
      <c r="DC85" s="408">
        <v>-2.7777423383668065E-6</v>
      </c>
      <c r="DD85" s="408">
        <v>0</v>
      </c>
      <c r="DE85" s="408">
        <v>0</v>
      </c>
      <c r="DF85" s="408">
        <v>0</v>
      </c>
      <c r="DG85" s="408">
        <v>-3.8318876249832101E-7</v>
      </c>
      <c r="DH85" s="408">
        <v>0</v>
      </c>
      <c r="DI85" s="408">
        <v>-141.28373132124761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-18.868622207620433</v>
      </c>
      <c r="DP85" s="408">
        <v>-5.9776577835630462</v>
      </c>
      <c r="DQ85" s="408">
        <v>0</v>
      </c>
      <c r="DR85" s="408">
        <v>0</v>
      </c>
      <c r="DS85" s="408"/>
      <c r="DT85" s="408"/>
      <c r="DU85" s="408"/>
      <c r="DV85" s="408">
        <v>39826.931264325023</v>
      </c>
      <c r="DW85" s="408">
        <v>0</v>
      </c>
      <c r="DX85" s="408">
        <v>0</v>
      </c>
      <c r="DY85" s="408">
        <v>-24610.809239999995</v>
      </c>
      <c r="DZ85" s="408">
        <v>0</v>
      </c>
      <c r="EA85" s="408">
        <v>0</v>
      </c>
      <c r="EB85" s="408">
        <v>0</v>
      </c>
      <c r="EC85" s="408">
        <v>-24419.688621574714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265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1" customFormat="1">
      <c r="A86" s="408">
        <v>91</v>
      </c>
      <c r="B86" s="408" t="s">
        <v>1031</v>
      </c>
      <c r="C86" s="408" t="s">
        <v>2227</v>
      </c>
      <c r="D86" s="408" t="s">
        <v>1952</v>
      </c>
      <c r="E86" s="408" t="s">
        <v>2244</v>
      </c>
      <c r="F86" s="408" t="s">
        <v>1317</v>
      </c>
      <c r="G86" s="408" t="s">
        <v>1317</v>
      </c>
      <c r="H86" s="408" t="s">
        <v>1317</v>
      </c>
      <c r="I86" s="408" t="s">
        <v>1317</v>
      </c>
      <c r="J86" s="408" t="s">
        <v>2228</v>
      </c>
      <c r="K86" s="828">
        <v>44409</v>
      </c>
      <c r="L86" s="408">
        <v>0</v>
      </c>
      <c r="M86" s="408">
        <v>0</v>
      </c>
      <c r="N86" s="408">
        <v>7.2480000000000002</v>
      </c>
      <c r="O86" s="408">
        <v>7.2480000000000002</v>
      </c>
      <c r="P86" s="408">
        <v>7.2480000000000002</v>
      </c>
      <c r="Q86" s="408">
        <v>7.2480000000000002</v>
      </c>
      <c r="R86" s="408"/>
      <c r="S86" s="408">
        <v>739.04</v>
      </c>
      <c r="T86" s="408">
        <v>252.22</v>
      </c>
      <c r="U86" s="408"/>
      <c r="V86" s="408">
        <v>7184.6524800000007</v>
      </c>
      <c r="W86" s="408">
        <v>7184.6524800000007</v>
      </c>
      <c r="X86" s="408">
        <v>4913.9265599999999</v>
      </c>
      <c r="Y86" s="408">
        <v>0</v>
      </c>
      <c r="Z86" s="408">
        <v>448.31167920644742</v>
      </c>
      <c r="AA86" s="408">
        <v>0</v>
      </c>
      <c r="AB86" s="408">
        <v>0</v>
      </c>
      <c r="AC86" s="408">
        <v>0</v>
      </c>
      <c r="AD86" s="408">
        <v>895.11046633591127</v>
      </c>
      <c r="AE86" s="408">
        <v>3674.6473573479784</v>
      </c>
      <c r="AF86" s="408">
        <v>1828.110618672999</v>
      </c>
      <c r="AG86" s="408">
        <v>0</v>
      </c>
      <c r="AH86" s="408">
        <v>0</v>
      </c>
      <c r="AI86" s="408">
        <v>0</v>
      </c>
      <c r="AJ86" s="408">
        <v>0</v>
      </c>
      <c r="AK86" s="408">
        <v>0</v>
      </c>
      <c r="AL86" s="408">
        <v>69.298339525626716</v>
      </c>
      <c r="AM86" s="408"/>
      <c r="AN86" s="408">
        <v>16.984227811999396</v>
      </c>
      <c r="AO86" s="408">
        <v>0</v>
      </c>
      <c r="AP86" s="408">
        <v>0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252.18870922544633</v>
      </c>
      <c r="BH86" s="408">
        <v>0</v>
      </c>
      <c r="BI86" s="408">
        <v>0</v>
      </c>
      <c r="BJ86" s="408">
        <v>0</v>
      </c>
      <c r="BK86" s="408">
        <v>2262.63</v>
      </c>
      <c r="BL86" s="408">
        <v>11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>
        <v>2080.2993278984454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4915.2825000000003</v>
      </c>
      <c r="CJ86" s="408">
        <v>-2269.3999800000011</v>
      </c>
      <c r="CK86" s="408"/>
      <c r="CL86" s="408"/>
      <c r="CM86" s="408"/>
      <c r="CN86" s="408"/>
      <c r="CO86" s="408">
        <v>-2270.7259199999999</v>
      </c>
      <c r="CP86" s="408">
        <v>0</v>
      </c>
      <c r="CQ86" s="408">
        <v>31</v>
      </c>
      <c r="CR86" s="408">
        <v>-17.628563348710941</v>
      </c>
      <c r="CS86" s="408">
        <v>0</v>
      </c>
      <c r="CT86" s="408">
        <v>0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-2.3005127236410772</v>
      </c>
      <c r="DA86" s="408">
        <v>0</v>
      </c>
      <c r="DB86" s="408">
        <v>0</v>
      </c>
      <c r="DC86" s="408">
        <v>-2.5628946787037421E-7</v>
      </c>
      <c r="DD86" s="408">
        <v>0</v>
      </c>
      <c r="DE86" s="408">
        <v>0</v>
      </c>
      <c r="DF86" s="408">
        <v>0</v>
      </c>
      <c r="DG86" s="408">
        <v>-3.5355043337403913E-8</v>
      </c>
      <c r="DH86" s="408">
        <v>0</v>
      </c>
      <c r="DI86" s="408">
        <v>-13.035598612663648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-1.7409207923116412</v>
      </c>
      <c r="DP86" s="408">
        <v>-0.55153092844932061</v>
      </c>
      <c r="DQ86" s="408">
        <v>0</v>
      </c>
      <c r="DR86" s="408">
        <v>0</v>
      </c>
      <c r="DS86" s="408"/>
      <c r="DT86" s="408"/>
      <c r="DU86" s="408"/>
      <c r="DV86" s="408">
        <v>3674.6473573479784</v>
      </c>
      <c r="DW86" s="408">
        <v>0</v>
      </c>
      <c r="DX86" s="408">
        <v>0</v>
      </c>
      <c r="DY86" s="408">
        <v>-2270.7259199999999</v>
      </c>
      <c r="DZ86" s="408">
        <v>0</v>
      </c>
      <c r="EA86" s="408">
        <v>0</v>
      </c>
      <c r="EB86" s="408">
        <v>0</v>
      </c>
      <c r="EC86" s="408">
        <v>-2253.0921015476038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265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1" customFormat="1">
      <c r="A87" s="408">
        <v>93</v>
      </c>
      <c r="B87" s="408" t="s">
        <v>1031</v>
      </c>
      <c r="C87" s="408" t="s">
        <v>2227</v>
      </c>
      <c r="D87" s="408" t="s">
        <v>2237</v>
      </c>
      <c r="E87" s="408" t="s">
        <v>969</v>
      </c>
      <c r="F87" s="408" t="s">
        <v>2245</v>
      </c>
      <c r="G87" s="408" t="s">
        <v>2246</v>
      </c>
      <c r="H87" s="408" t="s">
        <v>1317</v>
      </c>
      <c r="I87" s="408" t="s">
        <v>1317</v>
      </c>
      <c r="J87" s="408" t="s">
        <v>2228</v>
      </c>
      <c r="K87" s="828">
        <v>44409</v>
      </c>
      <c r="L87" s="408">
        <v>0</v>
      </c>
      <c r="M87" s="408">
        <v>0</v>
      </c>
      <c r="N87" s="408">
        <v>0</v>
      </c>
      <c r="O87" s="408">
        <v>0</v>
      </c>
      <c r="P87" s="408">
        <v>0</v>
      </c>
      <c r="Q87" s="408">
        <v>0</v>
      </c>
      <c r="R87" s="408"/>
      <c r="S87" s="408"/>
      <c r="T87" s="408"/>
      <c r="U87" s="408"/>
      <c r="V87" s="408"/>
      <c r="W87" s="408"/>
      <c r="X87" s="408"/>
      <c r="Y87" s="408"/>
      <c r="Z87" s="408"/>
      <c r="AA87" s="408">
        <v>0</v>
      </c>
      <c r="AB87" s="408"/>
      <c r="AC87" s="408"/>
      <c r="AD87" s="408"/>
      <c r="AE87" s="408"/>
      <c r="AF87" s="408"/>
      <c r="AG87" s="408"/>
      <c r="AH87" s="408"/>
      <c r="AI87" s="408"/>
      <c r="AJ87" s="408"/>
      <c r="AK87" s="408"/>
      <c r="AL87" s="408"/>
      <c r="AM87" s="408"/>
      <c r="AN87" s="408"/>
      <c r="AO87" s="408"/>
      <c r="AP87" s="408"/>
      <c r="AQ87" s="408"/>
      <c r="AR87" s="408"/>
      <c r="AS87" s="408"/>
      <c r="AT87" s="408"/>
      <c r="AU87" s="408"/>
      <c r="AV87" s="408"/>
      <c r="AW87" s="408"/>
      <c r="AX87" s="408"/>
      <c r="AY87" s="408"/>
      <c r="AZ87" s="408">
        <v>0</v>
      </c>
      <c r="BA87" s="408"/>
      <c r="BB87" s="408"/>
      <c r="BC87" s="408"/>
      <c r="BD87" s="408"/>
      <c r="BE87" s="408"/>
      <c r="BF87" s="408"/>
      <c r="BG87" s="408"/>
      <c r="BH87" s="408"/>
      <c r="BI87" s="408">
        <v>0</v>
      </c>
      <c r="BJ87" s="408">
        <v>0</v>
      </c>
      <c r="BK87" s="408">
        <v>180.95</v>
      </c>
      <c r="BL87" s="408">
        <v>18</v>
      </c>
      <c r="BM87" s="408"/>
      <c r="BN87" s="408"/>
      <c r="BO87" s="408"/>
      <c r="BP87" s="408"/>
      <c r="BQ87" s="408"/>
      <c r="BR87" s="408"/>
      <c r="BS87" s="408"/>
      <c r="BT87" s="408"/>
      <c r="BU87" s="408"/>
      <c r="BV87" s="408"/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/>
      <c r="CJ87" s="408">
        <v>-0.03</v>
      </c>
      <c r="CK87" s="408"/>
      <c r="CL87" s="408"/>
      <c r="CM87" s="408"/>
      <c r="CN87" s="408"/>
      <c r="CO87" s="408">
        <v>0</v>
      </c>
      <c r="CP87" s="408">
        <v>0</v>
      </c>
      <c r="CQ87" s="408">
        <v>31</v>
      </c>
      <c r="CR87" s="408"/>
      <c r="CS87" s="408"/>
      <c r="CT87" s="408"/>
      <c r="CU87" s="408"/>
      <c r="CV87" s="408"/>
      <c r="CW87" s="408"/>
      <c r="CX87" s="408"/>
      <c r="CY87" s="408"/>
      <c r="CZ87" s="408"/>
      <c r="DA87" s="408"/>
      <c r="DB87" s="408"/>
      <c r="DC87" s="408"/>
      <c r="DD87" s="408"/>
      <c r="DE87" s="408"/>
      <c r="DF87" s="408"/>
      <c r="DG87" s="408"/>
      <c r="DH87" s="408"/>
      <c r="DI87" s="408"/>
      <c r="DJ87" s="408"/>
      <c r="DK87" s="408">
        <v>0</v>
      </c>
      <c r="DL87" s="408"/>
      <c r="DM87" s="408"/>
      <c r="DN87" s="408"/>
      <c r="DO87" s="408"/>
      <c r="DP87" s="408"/>
      <c r="DQ87" s="408"/>
      <c r="DR87" s="408"/>
      <c r="DS87" s="408"/>
      <c r="DT87" s="408"/>
      <c r="DU87" s="408"/>
      <c r="DV87" s="408"/>
      <c r="DW87" s="408"/>
      <c r="DX87" s="408"/>
      <c r="DY87" s="408"/>
      <c r="DZ87" s="408"/>
      <c r="EA87" s="408"/>
      <c r="EB87" s="408"/>
      <c r="EC87" s="408"/>
      <c r="ED87" s="408"/>
      <c r="EE87" s="408"/>
      <c r="EF87" s="408"/>
      <c r="EG87" s="408"/>
      <c r="EH87" s="408"/>
      <c r="EI87" s="408"/>
      <c r="EJ87" s="408"/>
      <c r="EK87" s="408"/>
      <c r="EL87" s="408"/>
      <c r="EM87" s="408"/>
      <c r="EN87" s="408"/>
      <c r="EO87" s="408"/>
      <c r="EP87" s="408"/>
      <c r="EQ87" s="408"/>
      <c r="ER87" s="408"/>
      <c r="ES87" s="408"/>
      <c r="ET87" s="408"/>
      <c r="EU87" s="408"/>
      <c r="EV87" s="408">
        <v>265</v>
      </c>
      <c r="EW87" s="408"/>
      <c r="EX87" s="408"/>
      <c r="EY87" s="408"/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1" customFormat="1">
      <c r="A88" s="408">
        <v>94</v>
      </c>
      <c r="B88" s="408" t="s">
        <v>2230</v>
      </c>
      <c r="C88" s="408" t="s">
        <v>2227</v>
      </c>
      <c r="D88" s="408" t="s">
        <v>2237</v>
      </c>
      <c r="E88" s="408" t="s">
        <v>969</v>
      </c>
      <c r="F88" s="408" t="s">
        <v>2245</v>
      </c>
      <c r="G88" s="408" t="s">
        <v>2246</v>
      </c>
      <c r="H88" s="408" t="s">
        <v>1317</v>
      </c>
      <c r="I88" s="408" t="s">
        <v>1317</v>
      </c>
      <c r="J88" s="408" t="s">
        <v>2228</v>
      </c>
      <c r="K88" s="828">
        <v>44409</v>
      </c>
      <c r="L88" s="408">
        <v>0</v>
      </c>
      <c r="M88" s="408">
        <v>0</v>
      </c>
      <c r="N88" s="408">
        <v>0</v>
      </c>
      <c r="O88" s="408">
        <v>0</v>
      </c>
      <c r="P88" s="408">
        <v>0</v>
      </c>
      <c r="Q88" s="408">
        <v>0</v>
      </c>
      <c r="R88" s="408"/>
      <c r="S88" s="408"/>
      <c r="T88" s="408"/>
      <c r="U88" s="408"/>
      <c r="V88" s="408"/>
      <c r="W88" s="408"/>
      <c r="X88" s="408"/>
      <c r="Y88" s="408"/>
      <c r="Z88" s="408"/>
      <c r="AA88" s="408">
        <v>0</v>
      </c>
      <c r="AB88" s="408"/>
      <c r="AC88" s="408"/>
      <c r="AD88" s="408"/>
      <c r="AE88" s="408"/>
      <c r="AF88" s="408"/>
      <c r="AG88" s="408"/>
      <c r="AH88" s="408"/>
      <c r="AI88" s="408"/>
      <c r="AJ88" s="408"/>
      <c r="AK88" s="408"/>
      <c r="AL88" s="408"/>
      <c r="AM88" s="408"/>
      <c r="AN88" s="408"/>
      <c r="AO88" s="408"/>
      <c r="AP88" s="408"/>
      <c r="AQ88" s="408"/>
      <c r="AR88" s="408"/>
      <c r="AS88" s="408"/>
      <c r="AT88" s="408"/>
      <c r="AU88" s="408"/>
      <c r="AV88" s="408"/>
      <c r="AW88" s="408"/>
      <c r="AX88" s="408"/>
      <c r="AY88" s="408"/>
      <c r="AZ88" s="408">
        <v>0</v>
      </c>
      <c r="BA88" s="408"/>
      <c r="BB88" s="408"/>
      <c r="BC88" s="408"/>
      <c r="BD88" s="408"/>
      <c r="BE88" s="408"/>
      <c r="BF88" s="408"/>
      <c r="BG88" s="408"/>
      <c r="BH88" s="408"/>
      <c r="BI88" s="408">
        <v>0</v>
      </c>
      <c r="BJ88" s="408">
        <v>0</v>
      </c>
      <c r="BK88" s="408">
        <v>19.260000000000002</v>
      </c>
      <c r="BL88" s="408">
        <v>2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/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/>
      <c r="CJ88" s="408">
        <v>-0.03</v>
      </c>
      <c r="CK88" s="408"/>
      <c r="CL88" s="408"/>
      <c r="CM88" s="408"/>
      <c r="CN88" s="408"/>
      <c r="CO88" s="408">
        <v>0</v>
      </c>
      <c r="CP88" s="408">
        <v>0</v>
      </c>
      <c r="CQ88" s="408">
        <v>31</v>
      </c>
      <c r="CR88" s="408"/>
      <c r="CS88" s="408"/>
      <c r="CT88" s="408"/>
      <c r="CU88" s="408"/>
      <c r="CV88" s="408"/>
      <c r="CW88" s="408"/>
      <c r="CX88" s="408"/>
      <c r="CY88" s="408"/>
      <c r="CZ88" s="408"/>
      <c r="DA88" s="408"/>
      <c r="DB88" s="408"/>
      <c r="DC88" s="408"/>
      <c r="DD88" s="408"/>
      <c r="DE88" s="408"/>
      <c r="DF88" s="408"/>
      <c r="DG88" s="408"/>
      <c r="DH88" s="408"/>
      <c r="DI88" s="408"/>
      <c r="DJ88" s="408"/>
      <c r="DK88" s="408">
        <v>0</v>
      </c>
      <c r="DL88" s="408"/>
      <c r="DM88" s="408"/>
      <c r="DN88" s="408"/>
      <c r="DO88" s="408"/>
      <c r="DP88" s="408"/>
      <c r="DQ88" s="408"/>
      <c r="DR88" s="408"/>
      <c r="DS88" s="408"/>
      <c r="DT88" s="408"/>
      <c r="DU88" s="408"/>
      <c r="DV88" s="408"/>
      <c r="DW88" s="408"/>
      <c r="DX88" s="408"/>
      <c r="DY88" s="408"/>
      <c r="DZ88" s="408"/>
      <c r="EA88" s="408"/>
      <c r="EB88" s="408"/>
      <c r="EC88" s="408"/>
      <c r="ED88" s="408"/>
      <c r="EE88" s="408"/>
      <c r="EF88" s="408"/>
      <c r="EG88" s="408"/>
      <c r="EH88" s="408"/>
      <c r="EI88" s="408"/>
      <c r="EJ88" s="408"/>
      <c r="EK88" s="408"/>
      <c r="EL88" s="408"/>
      <c r="EM88" s="408"/>
      <c r="EN88" s="408"/>
      <c r="EO88" s="408"/>
      <c r="EP88" s="408"/>
      <c r="EQ88" s="408"/>
      <c r="ER88" s="408"/>
      <c r="ES88" s="408"/>
      <c r="ET88" s="408"/>
      <c r="EU88" s="408"/>
      <c r="EV88" s="408">
        <v>265</v>
      </c>
      <c r="EW88" s="408"/>
      <c r="EX88" s="408"/>
      <c r="EY88" s="408"/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1" customFormat="1">
      <c r="A89" s="408">
        <v>95</v>
      </c>
      <c r="B89" s="408" t="s">
        <v>1031</v>
      </c>
      <c r="C89" s="408" t="s">
        <v>2227</v>
      </c>
      <c r="D89" s="408" t="s">
        <v>2237</v>
      </c>
      <c r="E89" s="408" t="s">
        <v>969</v>
      </c>
      <c r="F89" s="408" t="s">
        <v>2245</v>
      </c>
      <c r="G89" s="408" t="s">
        <v>2246</v>
      </c>
      <c r="H89" s="408" t="s">
        <v>1317</v>
      </c>
      <c r="I89" s="408" t="s">
        <v>1317</v>
      </c>
      <c r="J89" s="408" t="s">
        <v>2228</v>
      </c>
      <c r="K89" s="828">
        <v>44409</v>
      </c>
      <c r="L89" s="408">
        <v>0</v>
      </c>
      <c r="M89" s="408">
        <v>0</v>
      </c>
      <c r="N89" s="408">
        <v>2.2959999999999998</v>
      </c>
      <c r="O89" s="408">
        <v>2.2959999999999998</v>
      </c>
      <c r="P89" s="408">
        <v>2.2959999999999998</v>
      </c>
      <c r="Q89" s="408">
        <v>2.2959999999999998</v>
      </c>
      <c r="R89" s="408"/>
      <c r="S89" s="408">
        <v>739.04</v>
      </c>
      <c r="T89" s="408">
        <v>252.22</v>
      </c>
      <c r="U89" s="408"/>
      <c r="V89" s="408">
        <v>2275.9329599999996</v>
      </c>
      <c r="W89" s="408">
        <v>2275.9329599999996</v>
      </c>
      <c r="X89" s="408">
        <v>1556.6191199999998</v>
      </c>
      <c r="Y89" s="408">
        <v>0</v>
      </c>
      <c r="Z89" s="408">
        <v>142.01484760734039</v>
      </c>
      <c r="AA89" s="408">
        <v>0</v>
      </c>
      <c r="AB89" s="408">
        <v>0</v>
      </c>
      <c r="AC89" s="408">
        <v>0</v>
      </c>
      <c r="AD89" s="408">
        <v>283.55044573775552</v>
      </c>
      <c r="AE89" s="408">
        <v>1164.0439200429025</v>
      </c>
      <c r="AF89" s="408">
        <v>579.1034741270978</v>
      </c>
      <c r="AG89" s="408">
        <v>0</v>
      </c>
      <c r="AH89" s="408">
        <v>0</v>
      </c>
      <c r="AI89" s="408">
        <v>0</v>
      </c>
      <c r="AJ89" s="408">
        <v>0</v>
      </c>
      <c r="AK89" s="408">
        <v>0</v>
      </c>
      <c r="AL89" s="408">
        <v>21.952123006462323</v>
      </c>
      <c r="AM89" s="408"/>
      <c r="AN89" s="408">
        <v>5.3802134459644888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>
        <v>0</v>
      </c>
      <c r="BG89" s="408">
        <v>79.887593319760583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>
        <v>186.7795999999999</v>
      </c>
      <c r="BS89" s="408"/>
      <c r="BT89" s="408"/>
      <c r="BU89" s="408"/>
      <c r="BV89" s="408">
        <v>658.99106744685832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1372.2259999999999</v>
      </c>
      <c r="CJ89" s="408">
        <v>-630.62775999999985</v>
      </c>
      <c r="CK89" s="408"/>
      <c r="CL89" s="408"/>
      <c r="CM89" s="408"/>
      <c r="CN89" s="408"/>
      <c r="CO89" s="408">
        <v>-719.31383999999991</v>
      </c>
      <c r="CP89" s="408">
        <v>0</v>
      </c>
      <c r="CQ89" s="408">
        <v>31</v>
      </c>
      <c r="CR89" s="408">
        <v>-5.5843241513023258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-0.72874961554634865</v>
      </c>
      <c r="DA89" s="408">
        <v>0</v>
      </c>
      <c r="DB89" s="408">
        <v>0</v>
      </c>
      <c r="DC89" s="408">
        <v>-8.1186612987949047E-8</v>
      </c>
      <c r="DD89" s="408">
        <v>0</v>
      </c>
      <c r="DE89" s="408">
        <v>0</v>
      </c>
      <c r="DF89" s="408">
        <v>0</v>
      </c>
      <c r="DG89" s="408">
        <v>-1.119965986617899E-8</v>
      </c>
      <c r="DH89" s="408">
        <v>0</v>
      </c>
      <c r="DI89" s="408">
        <v>-4.129378368470725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-0.5514837388448548</v>
      </c>
      <c r="DP89" s="408">
        <v>-0.1747123360540348</v>
      </c>
      <c r="DQ89" s="408">
        <v>0</v>
      </c>
      <c r="DR89" s="408">
        <v>0</v>
      </c>
      <c r="DS89" s="408"/>
      <c r="DT89" s="408"/>
      <c r="DU89" s="408"/>
      <c r="DV89" s="408">
        <v>1164.0439200429025</v>
      </c>
      <c r="DW89" s="408">
        <v>0</v>
      </c>
      <c r="DX89" s="408">
        <v>0</v>
      </c>
      <c r="DY89" s="408">
        <v>-719.3138399999998</v>
      </c>
      <c r="DZ89" s="408">
        <v>0</v>
      </c>
      <c r="EA89" s="408">
        <v>0</v>
      </c>
      <c r="EB89" s="408">
        <v>0</v>
      </c>
      <c r="EC89" s="408">
        <v>-713.7278511524969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265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1" customFormat="1">
      <c r="A90" s="408">
        <v>96</v>
      </c>
      <c r="B90" s="408" t="s">
        <v>2230</v>
      </c>
      <c r="C90" s="408" t="s">
        <v>2227</v>
      </c>
      <c r="D90" s="408" t="s">
        <v>2237</v>
      </c>
      <c r="E90" s="408" t="s">
        <v>969</v>
      </c>
      <c r="F90" s="408" t="s">
        <v>2245</v>
      </c>
      <c r="G90" s="408" t="s">
        <v>2246</v>
      </c>
      <c r="H90" s="408" t="s">
        <v>1317</v>
      </c>
      <c r="I90" s="408" t="s">
        <v>1317</v>
      </c>
      <c r="J90" s="408" t="s">
        <v>2228</v>
      </c>
      <c r="K90" s="828">
        <v>44409</v>
      </c>
      <c r="L90" s="408">
        <v>0</v>
      </c>
      <c r="M90" s="408">
        <v>0</v>
      </c>
      <c r="N90" s="408">
        <v>0.36599999999999999</v>
      </c>
      <c r="O90" s="408">
        <v>0.36599999999999999</v>
      </c>
      <c r="P90" s="408">
        <v>0.36599999999999999</v>
      </c>
      <c r="Q90" s="408">
        <v>0.36599999999999999</v>
      </c>
      <c r="R90" s="408"/>
      <c r="S90" s="408">
        <v>739.04</v>
      </c>
      <c r="T90" s="408">
        <v>252.22</v>
      </c>
      <c r="U90" s="408"/>
      <c r="V90" s="408">
        <v>362.80115999999998</v>
      </c>
      <c r="W90" s="408">
        <v>362.80115999999998</v>
      </c>
      <c r="X90" s="408">
        <v>248.13702000000001</v>
      </c>
      <c r="Y90" s="408">
        <v>0</v>
      </c>
      <c r="Z90" s="408">
        <v>22.638255324166632</v>
      </c>
      <c r="AA90" s="408">
        <v>0</v>
      </c>
      <c r="AB90" s="408">
        <v>0</v>
      </c>
      <c r="AC90" s="408">
        <v>0</v>
      </c>
      <c r="AD90" s="408">
        <v>45.200114608022005</v>
      </c>
      <c r="AE90" s="408">
        <v>185.55752383959162</v>
      </c>
      <c r="AF90" s="408">
        <v>92.313532896566997</v>
      </c>
      <c r="AG90" s="408">
        <v>0</v>
      </c>
      <c r="AH90" s="408">
        <v>0</v>
      </c>
      <c r="AI90" s="408">
        <v>0</v>
      </c>
      <c r="AJ90" s="408">
        <v>0</v>
      </c>
      <c r="AK90" s="408">
        <v>0</v>
      </c>
      <c r="AL90" s="408">
        <v>3.499336681343733</v>
      </c>
      <c r="AM90" s="408"/>
      <c r="AN90" s="408">
        <v>0.8576472653410292</v>
      </c>
      <c r="AO90" s="408">
        <v>0</v>
      </c>
      <c r="AP90" s="408">
        <v>0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>
        <v>0</v>
      </c>
      <c r="BG90" s="408">
        <v>12.734694753933962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>
        <v>29.774099999999986</v>
      </c>
      <c r="BS90" s="408"/>
      <c r="BT90" s="408"/>
      <c r="BU90" s="408"/>
      <c r="BV90" s="408">
        <v>105.04822765050096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220.74940000000001</v>
      </c>
      <c r="CJ90" s="408">
        <v>-98.546059999999926</v>
      </c>
      <c r="CK90" s="408"/>
      <c r="CL90" s="408"/>
      <c r="CM90" s="408"/>
      <c r="CN90" s="408"/>
      <c r="CO90" s="408">
        <v>-114.66413999999999</v>
      </c>
      <c r="CP90" s="408">
        <v>0</v>
      </c>
      <c r="CQ90" s="408">
        <v>31</v>
      </c>
      <c r="CR90" s="408">
        <v>-0.8901840763835196</v>
      </c>
      <c r="CS90" s="408">
        <v>0</v>
      </c>
      <c r="CT90" s="408">
        <v>0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-0.1161682749520736</v>
      </c>
      <c r="DA90" s="408">
        <v>0</v>
      </c>
      <c r="DB90" s="408">
        <v>0</v>
      </c>
      <c r="DC90" s="408">
        <v>-1.2941768545715604E-8</v>
      </c>
      <c r="DD90" s="408">
        <v>0</v>
      </c>
      <c r="DE90" s="408">
        <v>0</v>
      </c>
      <c r="DF90" s="408">
        <v>0</v>
      </c>
      <c r="DG90" s="408">
        <v>-1.7853132305845065E-9</v>
      </c>
      <c r="DH90" s="408">
        <v>0</v>
      </c>
      <c r="DI90" s="408">
        <v>-0.6582545657057004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-8.7910735373352811E-2</v>
      </c>
      <c r="DP90" s="408">
        <v>-2.7850485625338317E-2</v>
      </c>
      <c r="DQ90" s="408">
        <v>0</v>
      </c>
      <c r="DR90" s="408">
        <v>0</v>
      </c>
      <c r="DS90" s="408"/>
      <c r="DT90" s="408"/>
      <c r="DU90" s="408"/>
      <c r="DV90" s="408">
        <v>185.55752383959162</v>
      </c>
      <c r="DW90" s="408">
        <v>0</v>
      </c>
      <c r="DX90" s="408">
        <v>0</v>
      </c>
      <c r="DY90" s="408">
        <v>-114.66413999999997</v>
      </c>
      <c r="DZ90" s="408">
        <v>0</v>
      </c>
      <c r="EA90" s="408">
        <v>0</v>
      </c>
      <c r="EB90" s="408">
        <v>0</v>
      </c>
      <c r="EC90" s="408">
        <v>-113.77369055828132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265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1" customFormat="1">
      <c r="A91" s="408">
        <v>97</v>
      </c>
      <c r="B91" s="408" t="s">
        <v>1031</v>
      </c>
      <c r="C91" s="408" t="s">
        <v>2227</v>
      </c>
      <c r="D91" s="408" t="s">
        <v>2237</v>
      </c>
      <c r="E91" s="408" t="s">
        <v>969</v>
      </c>
      <c r="F91" s="408" t="s">
        <v>2245</v>
      </c>
      <c r="G91" s="408" t="s">
        <v>2247</v>
      </c>
      <c r="H91" s="408" t="s">
        <v>1317</v>
      </c>
      <c r="I91" s="408" t="s">
        <v>1317</v>
      </c>
      <c r="J91" s="408" t="s">
        <v>2228</v>
      </c>
      <c r="K91" s="828">
        <v>44409</v>
      </c>
      <c r="L91" s="408">
        <v>0</v>
      </c>
      <c r="M91" s="408">
        <v>0</v>
      </c>
      <c r="N91" s="408">
        <v>1.163</v>
      </c>
      <c r="O91" s="408">
        <v>0.4652</v>
      </c>
      <c r="P91" s="408">
        <v>1.163</v>
      </c>
      <c r="Q91" s="408">
        <v>0.4652</v>
      </c>
      <c r="R91" s="408"/>
      <c r="S91" s="408">
        <v>739.04</v>
      </c>
      <c r="T91" s="408">
        <v>252.22</v>
      </c>
      <c r="U91" s="408"/>
      <c r="V91" s="408">
        <v>1152.83538</v>
      </c>
      <c r="W91" s="408">
        <v>1152.83538</v>
      </c>
      <c r="X91" s="408">
        <v>788.47910999999999</v>
      </c>
      <c r="Y91" s="408">
        <v>0</v>
      </c>
      <c r="Z91" s="408">
        <v>71.935221153021303</v>
      </c>
      <c r="AA91" s="408">
        <v>0</v>
      </c>
      <c r="AB91" s="408">
        <v>0</v>
      </c>
      <c r="AC91" s="408">
        <v>0</v>
      </c>
      <c r="AD91" s="408">
        <v>143.6276865823213</v>
      </c>
      <c r="AE91" s="408">
        <v>589.62677657225424</v>
      </c>
      <c r="AF91" s="408">
        <v>293.33507857570333</v>
      </c>
      <c r="AG91" s="408">
        <v>0</v>
      </c>
      <c r="AH91" s="408">
        <v>0</v>
      </c>
      <c r="AI91" s="408">
        <v>0</v>
      </c>
      <c r="AJ91" s="408">
        <v>0</v>
      </c>
      <c r="AK91" s="408">
        <v>0</v>
      </c>
      <c r="AL91" s="408">
        <v>11.119476940991152</v>
      </c>
      <c r="AM91" s="408"/>
      <c r="AN91" s="408">
        <v>2.7252562010699917</v>
      </c>
      <c r="AO91" s="408">
        <v>0</v>
      </c>
      <c r="AP91" s="408">
        <v>0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>
        <v>0</v>
      </c>
      <c r="BG91" s="408">
        <v>40.465710379303822</v>
      </c>
      <c r="BH91" s="408">
        <v>0</v>
      </c>
      <c r="BI91" s="408">
        <v>0</v>
      </c>
      <c r="BJ91" s="408">
        <v>0</v>
      </c>
      <c r="BK91" s="408">
        <v>0</v>
      </c>
      <c r="BL91" s="408">
        <v>0</v>
      </c>
      <c r="BM91" s="408"/>
      <c r="BN91" s="408"/>
      <c r="BO91" s="408"/>
      <c r="BP91" s="408"/>
      <c r="BQ91" s="408"/>
      <c r="BR91" s="408"/>
      <c r="BS91" s="408">
        <v>510.93148600000001</v>
      </c>
      <c r="BT91" s="408"/>
      <c r="BU91" s="408"/>
      <c r="BV91" s="408">
        <v>333.80078895500714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280.41140000000001</v>
      </c>
      <c r="CJ91" s="408">
        <v>-125.41721199999995</v>
      </c>
      <c r="CK91" s="408"/>
      <c r="CL91" s="408"/>
      <c r="CM91" s="408"/>
      <c r="CN91" s="408"/>
      <c r="CO91" s="408">
        <v>-364.35626999999999</v>
      </c>
      <c r="CP91" s="408">
        <v>0</v>
      </c>
      <c r="CQ91" s="408">
        <v>31</v>
      </c>
      <c r="CR91" s="408">
        <v>-2.8286450296012617</v>
      </c>
      <c r="CS91" s="408">
        <v>0</v>
      </c>
      <c r="CT91" s="408">
        <v>0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-0.36913580264825896</v>
      </c>
      <c r="DA91" s="408">
        <v>0</v>
      </c>
      <c r="DB91" s="408">
        <v>0</v>
      </c>
      <c r="DC91" s="408">
        <v>-4.1123712435364723E-8</v>
      </c>
      <c r="DD91" s="408">
        <v>0</v>
      </c>
      <c r="DE91" s="408">
        <v>0</v>
      </c>
      <c r="DF91" s="408">
        <v>0</v>
      </c>
      <c r="DG91" s="408">
        <v>-5.6730016240180703E-9</v>
      </c>
      <c r="DH91" s="408">
        <v>0</v>
      </c>
      <c r="DI91" s="408">
        <v>-2.0916668303708406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-0.27934476841313938</v>
      </c>
      <c r="DP91" s="408">
        <v>-8.8497581372318113E-2</v>
      </c>
      <c r="DQ91" s="408">
        <v>0</v>
      </c>
      <c r="DR91" s="408">
        <v>0</v>
      </c>
      <c r="DS91" s="408"/>
      <c r="DT91" s="408"/>
      <c r="DU91" s="408"/>
      <c r="DV91" s="408">
        <v>589.62677657225424</v>
      </c>
      <c r="DW91" s="408">
        <v>0</v>
      </c>
      <c r="DX91" s="408">
        <v>0</v>
      </c>
      <c r="DY91" s="408">
        <v>-364.35626999999994</v>
      </c>
      <c r="DZ91" s="408">
        <v>0</v>
      </c>
      <c r="EA91" s="408">
        <v>0</v>
      </c>
      <c r="EB91" s="408">
        <v>0</v>
      </c>
      <c r="EC91" s="408">
        <v>-361.52678174666983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265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1" customFormat="1">
      <c r="A92" s="408">
        <v>98</v>
      </c>
      <c r="B92" s="408" t="s">
        <v>2230</v>
      </c>
      <c r="C92" s="408" t="s">
        <v>2227</v>
      </c>
      <c r="D92" s="408" t="s">
        <v>2237</v>
      </c>
      <c r="E92" s="408" t="s">
        <v>969</v>
      </c>
      <c r="F92" s="408" t="s">
        <v>2245</v>
      </c>
      <c r="G92" s="408" t="s">
        <v>2247</v>
      </c>
      <c r="H92" s="408" t="s">
        <v>1317</v>
      </c>
      <c r="I92" s="408" t="s">
        <v>1317</v>
      </c>
      <c r="J92" s="408" t="s">
        <v>2228</v>
      </c>
      <c r="K92" s="828">
        <v>44409</v>
      </c>
      <c r="L92" s="408">
        <v>0</v>
      </c>
      <c r="M92" s="408">
        <v>0</v>
      </c>
      <c r="N92" s="408">
        <v>0.317</v>
      </c>
      <c r="O92" s="408">
        <v>0.317</v>
      </c>
      <c r="P92" s="408">
        <v>0.317</v>
      </c>
      <c r="Q92" s="408">
        <v>0.317</v>
      </c>
      <c r="R92" s="408"/>
      <c r="S92" s="408">
        <v>739.04</v>
      </c>
      <c r="T92" s="408">
        <v>252.22</v>
      </c>
      <c r="U92" s="408"/>
      <c r="V92" s="408">
        <v>314.22942</v>
      </c>
      <c r="W92" s="408">
        <v>314.22942</v>
      </c>
      <c r="X92" s="408">
        <v>214.91649000000001</v>
      </c>
      <c r="Y92" s="408">
        <v>0</v>
      </c>
      <c r="Z92" s="408">
        <v>19.607450649619732</v>
      </c>
      <c r="AA92" s="408">
        <v>0</v>
      </c>
      <c r="AB92" s="408">
        <v>0</v>
      </c>
      <c r="AC92" s="408">
        <v>0</v>
      </c>
      <c r="AD92" s="408">
        <v>39.148733144106494</v>
      </c>
      <c r="AE92" s="408">
        <v>160.71512310696869</v>
      </c>
      <c r="AF92" s="408">
        <v>79.954617290196012</v>
      </c>
      <c r="AG92" s="408">
        <v>0</v>
      </c>
      <c r="AH92" s="408">
        <v>0</v>
      </c>
      <c r="AI92" s="408">
        <v>0</v>
      </c>
      <c r="AJ92" s="408">
        <v>0</v>
      </c>
      <c r="AK92" s="408">
        <v>0</v>
      </c>
      <c r="AL92" s="408">
        <v>3.0308462513277687</v>
      </c>
      <c r="AM92" s="408"/>
      <c r="AN92" s="408">
        <v>0.7428256369210553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11.029776603817121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>
        <v>25.787949999999988</v>
      </c>
      <c r="BS92" s="408"/>
      <c r="BT92" s="408"/>
      <c r="BU92" s="408"/>
      <c r="BV92" s="408">
        <v>90.984393894013138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190.91840000000002</v>
      </c>
      <c r="CJ92" s="408">
        <v>-85.633870000000002</v>
      </c>
      <c r="CK92" s="408"/>
      <c r="CL92" s="408"/>
      <c r="CM92" s="408"/>
      <c r="CN92" s="408"/>
      <c r="CO92" s="408">
        <v>-99.312929999999994</v>
      </c>
      <c r="CP92" s="408">
        <v>0</v>
      </c>
      <c r="CQ92" s="408">
        <v>31</v>
      </c>
      <c r="CR92" s="408">
        <v>-0.77100642681310205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-0.10061569169346285</v>
      </c>
      <c r="DA92" s="408">
        <v>0</v>
      </c>
      <c r="DB92" s="408">
        <v>0</v>
      </c>
      <c r="DC92" s="408">
        <v>-1.1209124295419315E-8</v>
      </c>
      <c r="DD92" s="408">
        <v>0</v>
      </c>
      <c r="DE92" s="408">
        <v>0</v>
      </c>
      <c r="DF92" s="408">
        <v>0</v>
      </c>
      <c r="DG92" s="408">
        <v>-1.5462955360590058E-9</v>
      </c>
      <c r="DH92" s="408">
        <v>0</v>
      </c>
      <c r="DI92" s="408">
        <v>-0.57012758832979671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-7.6141265337029473E-2</v>
      </c>
      <c r="DP92" s="408">
        <v>-2.4121868697355775E-2</v>
      </c>
      <c r="DQ92" s="408">
        <v>0</v>
      </c>
      <c r="DR92" s="408">
        <v>0</v>
      </c>
      <c r="DS92" s="408"/>
      <c r="DT92" s="408"/>
      <c r="DU92" s="408"/>
      <c r="DV92" s="408">
        <v>160.71512310696869</v>
      </c>
      <c r="DW92" s="408">
        <v>0</v>
      </c>
      <c r="DX92" s="408">
        <v>0</v>
      </c>
      <c r="DY92" s="408">
        <v>-99.312929999999994</v>
      </c>
      <c r="DZ92" s="408">
        <v>0</v>
      </c>
      <c r="EA92" s="408">
        <v>0</v>
      </c>
      <c r="EB92" s="408">
        <v>0</v>
      </c>
      <c r="EC92" s="408">
        <v>-98.54169373490484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265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1" customFormat="1">
      <c r="A93" s="408">
        <v>99</v>
      </c>
      <c r="B93" s="408" t="s">
        <v>1031</v>
      </c>
      <c r="C93" s="408" t="s">
        <v>2235</v>
      </c>
      <c r="D93" s="408" t="s">
        <v>596</v>
      </c>
      <c r="E93" s="408" t="s">
        <v>969</v>
      </c>
      <c r="F93" s="408" t="s">
        <v>2245</v>
      </c>
      <c r="G93" s="408" t="s">
        <v>1317</v>
      </c>
      <c r="H93" s="408" t="s">
        <v>1317</v>
      </c>
      <c r="I93" s="408" t="s">
        <v>968</v>
      </c>
      <c r="J93" s="408" t="s">
        <v>2228</v>
      </c>
      <c r="K93" s="828">
        <v>44409</v>
      </c>
      <c r="L93" s="408">
        <v>0</v>
      </c>
      <c r="M93" s="408">
        <v>0</v>
      </c>
      <c r="N93" s="408">
        <v>7.4409999999999998</v>
      </c>
      <c r="O93" s="408">
        <v>7.1433599999999995</v>
      </c>
      <c r="P93" s="408">
        <v>7.4409999999999998</v>
      </c>
      <c r="Q93" s="408">
        <v>7.1433599999999995</v>
      </c>
      <c r="R93" s="408"/>
      <c r="S93" s="408">
        <v>2641.06</v>
      </c>
      <c r="T93" s="408">
        <v>252.22</v>
      </c>
      <c r="U93" s="408"/>
      <c r="V93" s="408">
        <v>21528.896479999999</v>
      </c>
      <c r="W93" s="408">
        <v>21528.896479999999</v>
      </c>
      <c r="X93" s="408">
        <v>12778.726939999999</v>
      </c>
      <c r="Y93" s="408">
        <v>0</v>
      </c>
      <c r="Z93" s="408">
        <v>400.4169244382453</v>
      </c>
      <c r="AA93" s="408">
        <v>0</v>
      </c>
      <c r="AB93" s="408">
        <v>0</v>
      </c>
      <c r="AC93" s="408">
        <v>0</v>
      </c>
      <c r="AD93" s="408">
        <v>4820.0341766024621</v>
      </c>
      <c r="AE93" s="408">
        <v>14227.864225150484</v>
      </c>
      <c r="AF93" s="408">
        <v>1876.7896127960519</v>
      </c>
      <c r="AG93" s="408">
        <v>0</v>
      </c>
      <c r="AH93" s="408">
        <v>0</v>
      </c>
      <c r="AI93" s="408">
        <v>0</v>
      </c>
      <c r="AJ93" s="408">
        <v>0</v>
      </c>
      <c r="AK93" s="408">
        <v>0</v>
      </c>
      <c r="AL93" s="408">
        <v>71.143618158138565</v>
      </c>
      <c r="AM93" s="408"/>
      <c r="AN93" s="408">
        <v>17.902347570171425</v>
      </c>
      <c r="AO93" s="408">
        <v>0</v>
      </c>
      <c r="AP93" s="408">
        <v>0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114.7613619082052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>
        <v>511.14907760000057</v>
      </c>
      <c r="BS93" s="408"/>
      <c r="BT93" s="408"/>
      <c r="BU93" s="408"/>
      <c r="BV93" s="408">
        <v>1991.550974704257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12261.807599999998</v>
      </c>
      <c r="CJ93" s="408">
        <v>-8405.9630207999926</v>
      </c>
      <c r="CK93" s="408"/>
      <c r="CL93" s="408"/>
      <c r="CM93" s="408"/>
      <c r="CN93" s="408"/>
      <c r="CO93" s="408">
        <v>-8750.1695400000008</v>
      </c>
      <c r="CP93" s="408">
        <v>0</v>
      </c>
      <c r="CQ93" s="408">
        <v>31</v>
      </c>
      <c r="CR93" s="408">
        <v>-26.39949437593441</v>
      </c>
      <c r="CS93" s="408">
        <v>0</v>
      </c>
      <c r="CT93" s="408">
        <v>0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-12.387912295408569</v>
      </c>
      <c r="DA93" s="408">
        <v>0</v>
      </c>
      <c r="DB93" s="408">
        <v>0</v>
      </c>
      <c r="DC93" s="408">
        <v>-2.6311386136512738E-7</v>
      </c>
      <c r="DD93" s="408">
        <v>0</v>
      </c>
      <c r="DE93" s="408">
        <v>0</v>
      </c>
      <c r="DF93" s="408">
        <v>0</v>
      </c>
      <c r="DG93" s="408">
        <v>-1.6088918641798955E-8</v>
      </c>
      <c r="DH93" s="408">
        <v>0</v>
      </c>
      <c r="DI93" s="408">
        <v>-11.642958563857917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-1.7872780926587808</v>
      </c>
      <c r="DP93" s="408">
        <v>-0.58134514480688892</v>
      </c>
      <c r="DQ93" s="408">
        <v>0</v>
      </c>
      <c r="DR93" s="408">
        <v>0</v>
      </c>
      <c r="DS93" s="408"/>
      <c r="DT93" s="408"/>
      <c r="DU93" s="408"/>
      <c r="DV93" s="408">
        <v>14227.864225150484</v>
      </c>
      <c r="DW93" s="408">
        <v>0</v>
      </c>
      <c r="DX93" s="408">
        <v>0</v>
      </c>
      <c r="DY93" s="408">
        <v>-8750.1695400000008</v>
      </c>
      <c r="DZ93" s="408">
        <v>0</v>
      </c>
      <c r="EA93" s="408">
        <v>0</v>
      </c>
      <c r="EB93" s="408">
        <v>0</v>
      </c>
      <c r="EC93" s="408">
        <v>-8723.7455434944986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265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1" customFormat="1">
      <c r="A94" s="408">
        <v>100</v>
      </c>
      <c r="B94" s="408" t="s">
        <v>1031</v>
      </c>
      <c r="C94" s="408" t="s">
        <v>2235</v>
      </c>
      <c r="D94" s="408" t="s">
        <v>596</v>
      </c>
      <c r="E94" s="408" t="s">
        <v>969</v>
      </c>
      <c r="F94" s="408" t="s">
        <v>2245</v>
      </c>
      <c r="G94" s="408" t="s">
        <v>1317</v>
      </c>
      <c r="H94" s="408" t="s">
        <v>1317</v>
      </c>
      <c r="I94" s="408" t="s">
        <v>2236</v>
      </c>
      <c r="J94" s="408" t="s">
        <v>2228</v>
      </c>
      <c r="K94" s="828">
        <v>44409</v>
      </c>
      <c r="L94" s="408">
        <v>0</v>
      </c>
      <c r="M94" s="408">
        <v>0</v>
      </c>
      <c r="N94" s="408">
        <v>57.018999999999998</v>
      </c>
      <c r="O94" s="408">
        <v>54.738239999999998</v>
      </c>
      <c r="P94" s="408">
        <v>57.018999999999998</v>
      </c>
      <c r="Q94" s="408">
        <v>54.738239999999998</v>
      </c>
      <c r="R94" s="408"/>
      <c r="S94" s="408">
        <v>81.2</v>
      </c>
      <c r="T94" s="408">
        <v>252.22</v>
      </c>
      <c r="U94" s="408"/>
      <c r="V94" s="408">
        <v>19011.274979999998</v>
      </c>
      <c r="W94" s="408">
        <v>19011.274979999998</v>
      </c>
      <c r="X94" s="408">
        <v>18904.079259999999</v>
      </c>
      <c r="Y94" s="408">
        <v>0</v>
      </c>
      <c r="Z94" s="408">
        <v>3068.3204696336929</v>
      </c>
      <c r="AA94" s="408">
        <v>0</v>
      </c>
      <c r="AB94" s="408">
        <v>0</v>
      </c>
      <c r="AC94" s="408">
        <v>0</v>
      </c>
      <c r="AD94" s="408">
        <v>0</v>
      </c>
      <c r="AE94" s="408">
        <v>0</v>
      </c>
      <c r="AF94" s="408">
        <v>14381.489978768725</v>
      </c>
      <c r="AG94" s="408">
        <v>0</v>
      </c>
      <c r="AH94" s="408">
        <v>0</v>
      </c>
      <c r="AI94" s="408">
        <v>0</v>
      </c>
      <c r="AJ94" s="408">
        <v>0</v>
      </c>
      <c r="AK94" s="408">
        <v>0</v>
      </c>
      <c r="AL94" s="408">
        <v>545.16032304245437</v>
      </c>
      <c r="AM94" s="408"/>
      <c r="AN94" s="408">
        <v>137.18236206203528</v>
      </c>
      <c r="AO94" s="408">
        <v>0</v>
      </c>
      <c r="AP94" s="408">
        <v>0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>
        <v>0</v>
      </c>
      <c r="BG94" s="408">
        <v>879.39498651309668</v>
      </c>
      <c r="BH94" s="408">
        <v>0</v>
      </c>
      <c r="BI94" s="408">
        <v>0</v>
      </c>
      <c r="BJ94" s="408">
        <v>0</v>
      </c>
      <c r="BK94" s="408">
        <v>0</v>
      </c>
      <c r="BL94" s="408">
        <v>0</v>
      </c>
      <c r="BM94" s="408"/>
      <c r="BN94" s="408"/>
      <c r="BO94" s="408"/>
      <c r="BP94" s="408"/>
      <c r="BQ94" s="408"/>
      <c r="BR94" s="408">
        <v>756.16317040000024</v>
      </c>
      <c r="BS94" s="408"/>
      <c r="BT94" s="408"/>
      <c r="BU94" s="408"/>
      <c r="BV94" s="408">
        <v>15260.884965281821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18148.499599999999</v>
      </c>
      <c r="CJ94" s="408">
        <v>-102.35438079999949</v>
      </c>
      <c r="CK94" s="408"/>
      <c r="CL94" s="408"/>
      <c r="CM94" s="408"/>
      <c r="CN94" s="408"/>
      <c r="CO94" s="408">
        <v>-107.19572000000055</v>
      </c>
      <c r="CP94" s="408">
        <v>0</v>
      </c>
      <c r="CQ94" s="408">
        <v>31</v>
      </c>
      <c r="CR94" s="408">
        <v>-107.36814926079023</v>
      </c>
      <c r="CS94" s="408">
        <v>0</v>
      </c>
      <c r="CT94" s="408">
        <v>0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0</v>
      </c>
      <c r="DA94" s="408">
        <v>0</v>
      </c>
      <c r="DB94" s="408">
        <v>0</v>
      </c>
      <c r="DC94" s="408">
        <v>-2.0161915017524734E-6</v>
      </c>
      <c r="DD94" s="408">
        <v>0</v>
      </c>
      <c r="DE94" s="408">
        <v>0</v>
      </c>
      <c r="DF94" s="408">
        <v>0</v>
      </c>
      <c r="DG94" s="408">
        <v>-1.2328644061199157E-7</v>
      </c>
      <c r="DH94" s="408">
        <v>0</v>
      </c>
      <c r="DI94" s="408">
        <v>-89.217827489936099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-13.695579836757361</v>
      </c>
      <c r="DP94" s="408">
        <v>-4.4547397946168417</v>
      </c>
      <c r="DQ94" s="408">
        <v>0</v>
      </c>
      <c r="DR94" s="408">
        <v>0</v>
      </c>
      <c r="DS94" s="408"/>
      <c r="DT94" s="408"/>
      <c r="DU94" s="408"/>
      <c r="DV94" s="408">
        <v>0</v>
      </c>
      <c r="DW94" s="408">
        <v>0</v>
      </c>
      <c r="DX94" s="408">
        <v>0</v>
      </c>
      <c r="DY94" s="408">
        <v>-107.19572000000062</v>
      </c>
      <c r="DZ94" s="408">
        <v>0</v>
      </c>
      <c r="EA94" s="408">
        <v>0</v>
      </c>
      <c r="EB94" s="408">
        <v>0</v>
      </c>
      <c r="EC94" s="408">
        <v>0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265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1" customFormat="1">
      <c r="A95" s="408">
        <v>101</v>
      </c>
      <c r="B95" s="408" t="s">
        <v>1031</v>
      </c>
      <c r="C95" s="408" t="s">
        <v>2235</v>
      </c>
      <c r="D95" s="408" t="s">
        <v>596</v>
      </c>
      <c r="E95" s="408" t="s">
        <v>969</v>
      </c>
      <c r="F95" s="408" t="s">
        <v>2245</v>
      </c>
      <c r="G95" s="408" t="s">
        <v>1317</v>
      </c>
      <c r="H95" s="408" t="s">
        <v>1317</v>
      </c>
      <c r="I95" s="408" t="s">
        <v>1317</v>
      </c>
      <c r="J95" s="408" t="s">
        <v>2228</v>
      </c>
      <c r="K95" s="828">
        <v>44409</v>
      </c>
      <c r="L95" s="408">
        <v>1487</v>
      </c>
      <c r="M95" s="408">
        <v>1427.52</v>
      </c>
      <c r="N95" s="408">
        <v>0</v>
      </c>
      <c r="O95" s="408">
        <v>0</v>
      </c>
      <c r="P95" s="408">
        <v>0</v>
      </c>
      <c r="Q95" s="408">
        <v>0</v>
      </c>
      <c r="R95" s="408">
        <v>74.44</v>
      </c>
      <c r="S95" s="408"/>
      <c r="T95" s="408"/>
      <c r="U95" s="408">
        <v>110692.28</v>
      </c>
      <c r="V95" s="408"/>
      <c r="W95" s="408">
        <v>110692.28</v>
      </c>
      <c r="X95" s="408">
        <v>67539.540000000008</v>
      </c>
      <c r="Y95" s="408">
        <v>0</v>
      </c>
      <c r="Z95" s="408">
        <v>0</v>
      </c>
      <c r="AA95" s="408">
        <v>0</v>
      </c>
      <c r="AB95" s="408">
        <v>0</v>
      </c>
      <c r="AC95" s="408">
        <v>0</v>
      </c>
      <c r="AD95" s="408">
        <v>40471.816592781826</v>
      </c>
      <c r="AE95" s="408">
        <v>70218.426908122987</v>
      </c>
      <c r="AF95" s="408"/>
      <c r="AG95" s="408"/>
      <c r="AH95" s="408"/>
      <c r="AI95" s="408">
        <v>0</v>
      </c>
      <c r="AJ95" s="408">
        <v>0</v>
      </c>
      <c r="AK95" s="408">
        <v>0</v>
      </c>
      <c r="AL95" s="408">
        <v>0</v>
      </c>
      <c r="AM95" s="408"/>
      <c r="AN95" s="408">
        <v>0</v>
      </c>
      <c r="AO95" s="408">
        <v>0</v>
      </c>
      <c r="AP95" s="408">
        <v>0</v>
      </c>
      <c r="AQ95" s="408">
        <v>0</v>
      </c>
      <c r="AR95" s="408">
        <v>0</v>
      </c>
      <c r="AS95" s="408"/>
      <c r="AT95" s="408"/>
      <c r="AU95" s="408">
        <v>0</v>
      </c>
      <c r="AV95" s="408">
        <v>0</v>
      </c>
      <c r="AW95" s="408">
        <v>0</v>
      </c>
      <c r="AX95" s="408"/>
      <c r="AY95" s="408"/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/>
      <c r="BG95" s="408">
        <v>0</v>
      </c>
      <c r="BH95" s="408">
        <v>0</v>
      </c>
      <c r="BI95" s="408">
        <v>0</v>
      </c>
      <c r="BJ95" s="408">
        <v>0</v>
      </c>
      <c r="BK95" s="408">
        <v>141.75</v>
      </c>
      <c r="BL95" s="408">
        <v>24</v>
      </c>
      <c r="BM95" s="408"/>
      <c r="BN95" s="408"/>
      <c r="BO95" s="408"/>
      <c r="BP95" s="408"/>
      <c r="BQ95" s="408"/>
      <c r="BR95" s="408">
        <v>2701.5816000000009</v>
      </c>
      <c r="BS95" s="408"/>
      <c r="BT95" s="408"/>
      <c r="BU95" s="408"/>
      <c r="BV95" s="408">
        <v>0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64837.958400000003</v>
      </c>
      <c r="CJ95" s="408">
        <v>-41426.660399999979</v>
      </c>
      <c r="CK95" s="408"/>
      <c r="CL95" s="408"/>
      <c r="CM95" s="408"/>
      <c r="CN95" s="408"/>
      <c r="CO95" s="408">
        <v>-43152.739999999991</v>
      </c>
      <c r="CP95" s="408">
        <v>0</v>
      </c>
      <c r="CQ95" s="408">
        <v>31</v>
      </c>
      <c r="CR95" s="408">
        <v>-104.01613266993809</v>
      </c>
      <c r="CS95" s="408">
        <v>0</v>
      </c>
      <c r="CT95" s="408">
        <v>0</v>
      </c>
      <c r="CU95" s="408">
        <v>0</v>
      </c>
      <c r="CV95" s="408">
        <v>0</v>
      </c>
      <c r="CW95" s="408"/>
      <c r="CX95" s="408"/>
      <c r="CY95" s="408"/>
      <c r="CZ95" s="408">
        <v>-104.01613266993809</v>
      </c>
      <c r="DA95" s="408">
        <v>0</v>
      </c>
      <c r="DB95" s="408">
        <v>0</v>
      </c>
      <c r="DC95" s="408"/>
      <c r="DD95" s="408"/>
      <c r="DE95" s="408">
        <v>0</v>
      </c>
      <c r="DF95" s="408">
        <v>0</v>
      </c>
      <c r="DG95" s="408">
        <v>0</v>
      </c>
      <c r="DH95" s="408">
        <v>0</v>
      </c>
      <c r="DI95" s="408">
        <v>0</v>
      </c>
      <c r="DJ95" s="408"/>
      <c r="DK95" s="408">
        <v>0</v>
      </c>
      <c r="DL95" s="408">
        <v>0</v>
      </c>
      <c r="DM95" s="408"/>
      <c r="DN95" s="408">
        <v>0</v>
      </c>
      <c r="DO95" s="408">
        <v>0</v>
      </c>
      <c r="DP95" s="408">
        <v>0</v>
      </c>
      <c r="DQ95" s="408">
        <v>0</v>
      </c>
      <c r="DR95" s="408">
        <v>0</v>
      </c>
      <c r="DS95" s="408"/>
      <c r="DT95" s="408"/>
      <c r="DU95" s="408">
        <v>70218.426908122987</v>
      </c>
      <c r="DV95" s="408"/>
      <c r="DW95" s="408">
        <v>0</v>
      </c>
      <c r="DX95" s="408">
        <v>0</v>
      </c>
      <c r="DY95" s="408">
        <v>-43152.739999999991</v>
      </c>
      <c r="DZ95" s="408"/>
      <c r="EA95" s="408">
        <v>0</v>
      </c>
      <c r="EB95" s="408"/>
      <c r="EC95" s="408">
        <v>-43054.085920225611</v>
      </c>
      <c r="ED95" s="408"/>
      <c r="EE95" s="408">
        <v>0</v>
      </c>
      <c r="EF95" s="408">
        <v>0</v>
      </c>
      <c r="EG95" s="408"/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/>
      <c r="EN95" s="408"/>
      <c r="EO95" s="408">
        <v>0</v>
      </c>
      <c r="EP95" s="408">
        <v>0</v>
      </c>
      <c r="EQ95" s="408"/>
      <c r="ER95" s="408">
        <v>0</v>
      </c>
      <c r="ES95" s="408"/>
      <c r="ET95" s="408">
        <v>0</v>
      </c>
      <c r="EU95" s="408"/>
      <c r="EV95" s="408">
        <v>265</v>
      </c>
      <c r="EW95" s="408"/>
      <c r="EX95" s="408"/>
      <c r="EY95" s="408"/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1" customFormat="1">
      <c r="A96" s="408">
        <v>102</v>
      </c>
      <c r="B96" s="408" t="s">
        <v>1031</v>
      </c>
      <c r="C96" s="408" t="s">
        <v>2235</v>
      </c>
      <c r="D96" s="408" t="s">
        <v>596</v>
      </c>
      <c r="E96" s="408" t="s">
        <v>969</v>
      </c>
      <c r="F96" s="408" t="s">
        <v>2245</v>
      </c>
      <c r="G96" s="408" t="s">
        <v>2247</v>
      </c>
      <c r="H96" s="408" t="s">
        <v>1317</v>
      </c>
      <c r="I96" s="408" t="s">
        <v>2236</v>
      </c>
      <c r="J96" s="408" t="s">
        <v>2228</v>
      </c>
      <c r="K96" s="828">
        <v>44409</v>
      </c>
      <c r="L96" s="408">
        <v>0</v>
      </c>
      <c r="M96" s="408">
        <v>0</v>
      </c>
      <c r="N96" s="408">
        <v>27.2</v>
      </c>
      <c r="O96" s="408">
        <v>8.16</v>
      </c>
      <c r="P96" s="408">
        <v>27.2</v>
      </c>
      <c r="Q96" s="408">
        <v>8.16</v>
      </c>
      <c r="R96" s="408"/>
      <c r="S96" s="408">
        <v>81.2</v>
      </c>
      <c r="T96" s="408">
        <v>252.22</v>
      </c>
      <c r="U96" s="408"/>
      <c r="V96" s="408">
        <v>9069.0239999999994</v>
      </c>
      <c r="W96" s="408">
        <v>9069.0239999999994</v>
      </c>
      <c r="X96" s="408">
        <v>9017.887999999999</v>
      </c>
      <c r="Y96" s="408">
        <v>0</v>
      </c>
      <c r="Z96" s="408">
        <v>1463.6930983362818</v>
      </c>
      <c r="AA96" s="408">
        <v>0</v>
      </c>
      <c r="AB96" s="408">
        <v>0</v>
      </c>
      <c r="AC96" s="408">
        <v>0</v>
      </c>
      <c r="AD96" s="408">
        <v>0</v>
      </c>
      <c r="AE96" s="408">
        <v>0</v>
      </c>
      <c r="AF96" s="408">
        <v>6860.459275373285</v>
      </c>
      <c r="AG96" s="408">
        <v>0</v>
      </c>
      <c r="AH96" s="408">
        <v>0</v>
      </c>
      <c r="AI96" s="408">
        <v>0</v>
      </c>
      <c r="AJ96" s="408">
        <v>0</v>
      </c>
      <c r="AK96" s="408">
        <v>0</v>
      </c>
      <c r="AL96" s="408">
        <v>260.05999380478016</v>
      </c>
      <c r="AM96" s="408"/>
      <c r="AN96" s="408">
        <v>65.440646943779441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419.50128261029181</v>
      </c>
      <c r="BH96" s="408">
        <v>0</v>
      </c>
      <c r="BI96" s="408">
        <v>0</v>
      </c>
      <c r="BJ96" s="408">
        <v>0</v>
      </c>
      <c r="BK96" s="408">
        <v>0</v>
      </c>
      <c r="BL96" s="408">
        <v>0</v>
      </c>
      <c r="BM96" s="408"/>
      <c r="BN96" s="408"/>
      <c r="BO96" s="408"/>
      <c r="BP96" s="408"/>
      <c r="BQ96" s="408"/>
      <c r="BR96" s="408"/>
      <c r="BS96" s="408">
        <v>6312.5216</v>
      </c>
      <c r="BT96" s="408"/>
      <c r="BU96" s="408"/>
      <c r="BV96" s="408">
        <v>7279.960557983577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2705.3663999999999</v>
      </c>
      <c r="CJ96" s="408">
        <v>-15.3708000000006</v>
      </c>
      <c r="CK96" s="408"/>
      <c r="CL96" s="408"/>
      <c r="CM96" s="408"/>
      <c r="CN96" s="408"/>
      <c r="CO96" s="408">
        <v>-51.136000000000259</v>
      </c>
      <c r="CP96" s="408">
        <v>0</v>
      </c>
      <c r="CQ96" s="408">
        <v>31</v>
      </c>
      <c r="CR96" s="408">
        <v>-51.218254615016122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0</v>
      </c>
      <c r="DA96" s="408">
        <v>0</v>
      </c>
      <c r="DB96" s="408">
        <v>0</v>
      </c>
      <c r="DC96" s="408">
        <v>-9.6179246611427516E-7</v>
      </c>
      <c r="DD96" s="408">
        <v>0</v>
      </c>
      <c r="DE96" s="408">
        <v>0</v>
      </c>
      <c r="DF96" s="408">
        <v>0</v>
      </c>
      <c r="DG96" s="408">
        <v>-5.8811792769120075E-8</v>
      </c>
      <c r="DH96" s="408">
        <v>0</v>
      </c>
      <c r="DI96" s="408">
        <v>-42.559934543332247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-6.5332568364896133</v>
      </c>
      <c r="DP96" s="408">
        <v>-2.1250622145877429</v>
      </c>
      <c r="DQ96" s="408">
        <v>0</v>
      </c>
      <c r="DR96" s="408">
        <v>0</v>
      </c>
      <c r="DS96" s="408"/>
      <c r="DT96" s="408"/>
      <c r="DU96" s="408"/>
      <c r="DV96" s="408">
        <v>0</v>
      </c>
      <c r="DW96" s="408">
        <v>0</v>
      </c>
      <c r="DX96" s="408">
        <v>0</v>
      </c>
      <c r="DY96" s="408">
        <v>-51.135999999999967</v>
      </c>
      <c r="DZ96" s="408">
        <v>0</v>
      </c>
      <c r="EA96" s="408">
        <v>0</v>
      </c>
      <c r="EB96" s="408">
        <v>0</v>
      </c>
      <c r="EC96" s="408">
        <v>0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265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1" customFormat="1">
      <c r="A97" s="408">
        <v>103</v>
      </c>
      <c r="B97" s="408" t="s">
        <v>1031</v>
      </c>
      <c r="C97" s="408" t="s">
        <v>2227</v>
      </c>
      <c r="D97" s="408" t="s">
        <v>1949</v>
      </c>
      <c r="E97" s="408" t="s">
        <v>964</v>
      </c>
      <c r="F97" s="408" t="s">
        <v>964</v>
      </c>
      <c r="G97" s="408" t="s">
        <v>1317</v>
      </c>
      <c r="H97" s="408" t="s">
        <v>1317</v>
      </c>
      <c r="I97" s="408" t="s">
        <v>1317</v>
      </c>
      <c r="J97" s="408" t="s">
        <v>2228</v>
      </c>
      <c r="K97" s="828">
        <v>44440</v>
      </c>
      <c r="L97" s="408">
        <v>0</v>
      </c>
      <c r="M97" s="408">
        <v>0</v>
      </c>
      <c r="N97" s="408">
        <v>1029.579</v>
      </c>
      <c r="O97" s="408">
        <v>1029.579</v>
      </c>
      <c r="P97" s="408">
        <v>1029.579</v>
      </c>
      <c r="Q97" s="408">
        <v>1029.579</v>
      </c>
      <c r="R97" s="408"/>
      <c r="S97" s="408">
        <v>739.04</v>
      </c>
      <c r="T97" s="408">
        <v>252.22</v>
      </c>
      <c r="U97" s="408"/>
      <c r="V97" s="408">
        <v>1020580.47954</v>
      </c>
      <c r="W97" s="408">
        <v>1020580.47954</v>
      </c>
      <c r="X97" s="408">
        <v>698023.67463000002</v>
      </c>
      <c r="Y97" s="408">
        <v>0</v>
      </c>
      <c r="Z97" s="408">
        <v>63682.711143169829</v>
      </c>
      <c r="AA97" s="408">
        <v>0</v>
      </c>
      <c r="AB97" s="408">
        <v>0</v>
      </c>
      <c r="AC97" s="408">
        <v>0</v>
      </c>
      <c r="AD97" s="408">
        <v>127150.51584156472</v>
      </c>
      <c r="AE97" s="408">
        <v>521983.96130394231</v>
      </c>
      <c r="AF97" s="408">
        <v>259683.26471615996</v>
      </c>
      <c r="AG97" s="408">
        <v>0</v>
      </c>
      <c r="AH97" s="408">
        <v>0</v>
      </c>
      <c r="AI97" s="408">
        <v>0</v>
      </c>
      <c r="AJ97" s="408">
        <v>0</v>
      </c>
      <c r="AK97" s="408">
        <v>0</v>
      </c>
      <c r="AL97" s="408">
        <v>9843.8348662327844</v>
      </c>
      <c r="AM97" s="408"/>
      <c r="AN97" s="408">
        <v>2412.6109666736379</v>
      </c>
      <c r="AO97" s="408">
        <v>0</v>
      </c>
      <c r="AP97" s="408">
        <v>0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35823.427022023425</v>
      </c>
      <c r="BH97" s="408">
        <v>0</v>
      </c>
      <c r="BI97" s="408">
        <v>0</v>
      </c>
      <c r="BJ97" s="408">
        <v>0</v>
      </c>
      <c r="BK97" s="408">
        <v>333529.31</v>
      </c>
      <c r="BL97" s="408">
        <v>8270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295506.69173818338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698024.35259999998</v>
      </c>
      <c r="CJ97" s="408">
        <v>-322556.15694000002</v>
      </c>
      <c r="CK97" s="408"/>
      <c r="CL97" s="408"/>
      <c r="CM97" s="408"/>
      <c r="CN97" s="408"/>
      <c r="CO97" s="408">
        <v>-322556.80490999995</v>
      </c>
      <c r="CP97" s="408">
        <v>0</v>
      </c>
      <c r="CQ97" s="408">
        <v>30</v>
      </c>
      <c r="CR97" s="408">
        <v>-2504.1388830023352</v>
      </c>
      <c r="CS97" s="408">
        <v>0</v>
      </c>
      <c r="CT97" s="408">
        <v>0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-326.7880228330032</v>
      </c>
      <c r="DA97" s="408">
        <v>0</v>
      </c>
      <c r="DB97" s="408">
        <v>0</v>
      </c>
      <c r="DC97" s="408">
        <v>-3.6405923310667276E-5</v>
      </c>
      <c r="DD97" s="408">
        <v>0</v>
      </c>
      <c r="DE97" s="408">
        <v>0</v>
      </c>
      <c r="DF97" s="408">
        <v>0</v>
      </c>
      <c r="DG97" s="408">
        <v>-5.0221860874444246E-6</v>
      </c>
      <c r="DH97" s="408">
        <v>0</v>
      </c>
      <c r="DI97" s="408">
        <v>-1851.7078620347238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-247.29794266382851</v>
      </c>
      <c r="DP97" s="408">
        <v>-78.345014042759885</v>
      </c>
      <c r="DQ97" s="408">
        <v>0</v>
      </c>
      <c r="DR97" s="408">
        <v>0</v>
      </c>
      <c r="DS97" s="408"/>
      <c r="DT97" s="408"/>
      <c r="DU97" s="408"/>
      <c r="DV97" s="408">
        <v>521983.96130394231</v>
      </c>
      <c r="DW97" s="408">
        <v>0</v>
      </c>
      <c r="DX97" s="408">
        <v>0</v>
      </c>
      <c r="DY97" s="408">
        <v>-322556.80490999995</v>
      </c>
      <c r="DZ97" s="408">
        <v>0</v>
      </c>
      <c r="EA97" s="408">
        <v>0</v>
      </c>
      <c r="EB97" s="408">
        <v>0</v>
      </c>
      <c r="EC97" s="408">
        <v>-320051.91953908384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265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1" customFormat="1">
      <c r="A98" s="408">
        <v>104</v>
      </c>
      <c r="B98" s="408" t="s">
        <v>2229</v>
      </c>
      <c r="C98" s="408" t="s">
        <v>2227</v>
      </c>
      <c r="D98" s="408" t="s">
        <v>1949</v>
      </c>
      <c r="E98" s="408" t="s">
        <v>964</v>
      </c>
      <c r="F98" s="408" t="s">
        <v>964</v>
      </c>
      <c r="G98" s="408" t="s">
        <v>1317</v>
      </c>
      <c r="H98" s="408" t="s">
        <v>1317</v>
      </c>
      <c r="I98" s="408" t="s">
        <v>1317</v>
      </c>
      <c r="J98" s="408" t="s">
        <v>2228</v>
      </c>
      <c r="K98" s="828">
        <v>44440</v>
      </c>
      <c r="L98" s="408">
        <v>0</v>
      </c>
      <c r="M98" s="408">
        <v>0</v>
      </c>
      <c r="N98" s="408">
        <v>0.14699999999999999</v>
      </c>
      <c r="O98" s="408">
        <v>0.14699999999999999</v>
      </c>
      <c r="P98" s="408">
        <v>0.14699999999999999</v>
      </c>
      <c r="Q98" s="408">
        <v>0.14699999999999999</v>
      </c>
      <c r="R98" s="408"/>
      <c r="S98" s="408">
        <v>739.04</v>
      </c>
      <c r="T98" s="408">
        <v>252.22</v>
      </c>
      <c r="U98" s="408"/>
      <c r="V98" s="408">
        <v>145.71521999999999</v>
      </c>
      <c r="W98" s="408">
        <v>145.71521999999999</v>
      </c>
      <c r="X98" s="408">
        <v>99.66158999999999</v>
      </c>
      <c r="Y98" s="408">
        <v>0</v>
      </c>
      <c r="Z98" s="408">
        <v>9.0924140236406963</v>
      </c>
      <c r="AA98" s="408">
        <v>0</v>
      </c>
      <c r="AB98" s="408">
        <v>0</v>
      </c>
      <c r="AC98" s="408">
        <v>0</v>
      </c>
      <c r="AD98" s="408">
        <v>18.154144391746541</v>
      </c>
      <c r="AE98" s="408">
        <v>74.52720219786876</v>
      </c>
      <c r="AF98" s="408">
        <v>37.076746819112969</v>
      </c>
      <c r="AG98" s="408">
        <v>0</v>
      </c>
      <c r="AH98" s="408">
        <v>0</v>
      </c>
      <c r="AI98" s="408">
        <v>0</v>
      </c>
      <c r="AJ98" s="408">
        <v>0</v>
      </c>
      <c r="AK98" s="408">
        <v>0</v>
      </c>
      <c r="AL98" s="408">
        <v>1.4054712900478927</v>
      </c>
      <c r="AM98" s="408"/>
      <c r="AN98" s="408">
        <v>0.34446488525992153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5.1147544503505253</v>
      </c>
      <c r="BH98" s="408">
        <v>0</v>
      </c>
      <c r="BI98" s="408">
        <v>0</v>
      </c>
      <c r="BJ98" s="408">
        <v>0</v>
      </c>
      <c r="BK98" s="408">
        <v>43.19</v>
      </c>
      <c r="BL98" s="408">
        <v>0</v>
      </c>
      <c r="BM98" s="408"/>
      <c r="BN98" s="408"/>
      <c r="BO98" s="408"/>
      <c r="BP98" s="408"/>
      <c r="BQ98" s="408"/>
      <c r="BR98" s="408"/>
      <c r="BS98" s="408"/>
      <c r="BT98" s="408"/>
      <c r="BU98" s="408"/>
      <c r="BV98" s="408">
        <v>42.191501269463494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101.6955</v>
      </c>
      <c r="CJ98" s="408">
        <v>-44.049719999999994</v>
      </c>
      <c r="CK98" s="408"/>
      <c r="CL98" s="408"/>
      <c r="CM98" s="408"/>
      <c r="CN98" s="408"/>
      <c r="CO98" s="408">
        <v>-46.053629999999991</v>
      </c>
      <c r="CP98" s="408">
        <v>0</v>
      </c>
      <c r="CQ98" s="408">
        <v>30</v>
      </c>
      <c r="CR98" s="408">
        <v>-0.35753294871143737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-4.6657749775832258E-2</v>
      </c>
      <c r="DA98" s="408">
        <v>0</v>
      </c>
      <c r="DB98" s="408">
        <v>0</v>
      </c>
      <c r="DC98" s="408">
        <v>-5.1979185400341521E-9</v>
      </c>
      <c r="DD98" s="408">
        <v>0</v>
      </c>
      <c r="DE98" s="408">
        <v>0</v>
      </c>
      <c r="DF98" s="408">
        <v>0</v>
      </c>
      <c r="DG98" s="408">
        <v>-7.170513072196627E-10</v>
      </c>
      <c r="DH98" s="408">
        <v>0</v>
      </c>
      <c r="DI98" s="408">
        <v>-0.26438093212769864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-3.5308410108969568E-2</v>
      </c>
      <c r="DP98" s="408">
        <v>-1.1185850783947349E-2</v>
      </c>
      <c r="DQ98" s="408">
        <v>0</v>
      </c>
      <c r="DR98" s="408">
        <v>0</v>
      </c>
      <c r="DS98" s="408"/>
      <c r="DT98" s="408"/>
      <c r="DU98" s="408"/>
      <c r="DV98" s="408">
        <v>74.52720219786876</v>
      </c>
      <c r="DW98" s="408">
        <v>0</v>
      </c>
      <c r="DX98" s="408">
        <v>0</v>
      </c>
      <c r="DY98" s="408">
        <v>-46.053629999999991</v>
      </c>
      <c r="DZ98" s="408">
        <v>0</v>
      </c>
      <c r="EA98" s="408">
        <v>0</v>
      </c>
      <c r="EB98" s="408">
        <v>0</v>
      </c>
      <c r="EC98" s="408">
        <v>-45.695990470129374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265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1" customFormat="1">
      <c r="A99" s="408">
        <v>105</v>
      </c>
      <c r="B99" s="408" t="s">
        <v>2230</v>
      </c>
      <c r="C99" s="408" t="s">
        <v>2227</v>
      </c>
      <c r="D99" s="408" t="s">
        <v>1949</v>
      </c>
      <c r="E99" s="408" t="s">
        <v>964</v>
      </c>
      <c r="F99" s="408" t="s">
        <v>964</v>
      </c>
      <c r="G99" s="408" t="s">
        <v>1317</v>
      </c>
      <c r="H99" s="408" t="s">
        <v>1317</v>
      </c>
      <c r="I99" s="408" t="s">
        <v>1317</v>
      </c>
      <c r="J99" s="408" t="s">
        <v>2228</v>
      </c>
      <c r="K99" s="828">
        <v>44440</v>
      </c>
      <c r="L99" s="408">
        <v>0</v>
      </c>
      <c r="M99" s="408">
        <v>0</v>
      </c>
      <c r="N99" s="408">
        <v>32.054000000000002</v>
      </c>
      <c r="O99" s="408">
        <v>32.054000000000002</v>
      </c>
      <c r="P99" s="408">
        <v>32.054000000000002</v>
      </c>
      <c r="Q99" s="408">
        <v>32.054000000000002</v>
      </c>
      <c r="R99" s="408"/>
      <c r="S99" s="408">
        <v>739.04</v>
      </c>
      <c r="T99" s="408">
        <v>252.22</v>
      </c>
      <c r="U99" s="408"/>
      <c r="V99" s="408">
        <v>31773.848040000001</v>
      </c>
      <c r="W99" s="408">
        <v>31773.848040000001</v>
      </c>
      <c r="X99" s="408">
        <v>21731.650380000003</v>
      </c>
      <c r="Y99" s="408">
        <v>0</v>
      </c>
      <c r="Z99" s="408">
        <v>1982.6410824066593</v>
      </c>
      <c r="AA99" s="408">
        <v>0</v>
      </c>
      <c r="AB99" s="408">
        <v>0</v>
      </c>
      <c r="AC99" s="408">
        <v>0</v>
      </c>
      <c r="AD99" s="408">
        <v>3958.5914580479166</v>
      </c>
      <c r="AE99" s="408">
        <v>16250.98598129582</v>
      </c>
      <c r="AF99" s="408">
        <v>8084.7485887064449</v>
      </c>
      <c r="AG99" s="408">
        <v>0</v>
      </c>
      <c r="AH99" s="408">
        <v>0</v>
      </c>
      <c r="AI99" s="408">
        <v>0</v>
      </c>
      <c r="AJ99" s="408">
        <v>0</v>
      </c>
      <c r="AK99" s="408">
        <v>0</v>
      </c>
      <c r="AL99" s="408">
        <v>306.46922946391265</v>
      </c>
      <c r="AM99" s="408"/>
      <c r="AN99" s="408">
        <v>75.112091374976373</v>
      </c>
      <c r="AO99" s="408">
        <v>0</v>
      </c>
      <c r="AP99" s="408">
        <v>0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1115.2948241601073</v>
      </c>
      <c r="BH99" s="408">
        <v>0</v>
      </c>
      <c r="BI99" s="408">
        <v>0</v>
      </c>
      <c r="BJ99" s="408">
        <v>0</v>
      </c>
      <c r="BK99" s="408">
        <v>28870.87</v>
      </c>
      <c r="BL99" s="408">
        <v>472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9200.0434128665529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21728.938499999997</v>
      </c>
      <c r="CJ99" s="408">
        <v>-10044.939539999999</v>
      </c>
      <c r="CK99" s="408"/>
      <c r="CL99" s="408"/>
      <c r="CM99" s="408"/>
      <c r="CN99" s="408"/>
      <c r="CO99" s="408">
        <v>-10042.19766</v>
      </c>
      <c r="CP99" s="408">
        <v>0</v>
      </c>
      <c r="CQ99" s="408">
        <v>30</v>
      </c>
      <c r="CR99" s="408">
        <v>-77.961640394532878</v>
      </c>
      <c r="CS99" s="408">
        <v>0</v>
      </c>
      <c r="CT99" s="408">
        <v>0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-10.173928648398032</v>
      </c>
      <c r="DA99" s="408">
        <v>0</v>
      </c>
      <c r="DB99" s="408">
        <v>0</v>
      </c>
      <c r="DC99" s="408">
        <v>-1.1334304872434586E-6</v>
      </c>
      <c r="DD99" s="408">
        <v>0</v>
      </c>
      <c r="DE99" s="408">
        <v>0</v>
      </c>
      <c r="DF99" s="408">
        <v>0</v>
      </c>
      <c r="DG99" s="408">
        <v>-1.5635646377631929E-7</v>
      </c>
      <c r="DH99" s="408">
        <v>0</v>
      </c>
      <c r="DI99" s="408">
        <v>-57.649431281777197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-7.6991549498837344</v>
      </c>
      <c r="DP99" s="408">
        <v>-2.43912422468469</v>
      </c>
      <c r="DQ99" s="408">
        <v>0</v>
      </c>
      <c r="DR99" s="408">
        <v>0</v>
      </c>
      <c r="DS99" s="408"/>
      <c r="DT99" s="408"/>
      <c r="DU99" s="408"/>
      <c r="DV99" s="408">
        <v>16250.98598129582</v>
      </c>
      <c r="DW99" s="408">
        <v>0</v>
      </c>
      <c r="DX99" s="408">
        <v>0</v>
      </c>
      <c r="DY99" s="408">
        <v>-10042.19766</v>
      </c>
      <c r="DZ99" s="408">
        <v>0</v>
      </c>
      <c r="EA99" s="408">
        <v>0</v>
      </c>
      <c r="EB99" s="408">
        <v>0</v>
      </c>
      <c r="EC99" s="408">
        <v>-9964.2127791124294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265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1" customFormat="1">
      <c r="A100" s="408">
        <v>106</v>
      </c>
      <c r="B100" s="408" t="s">
        <v>2230</v>
      </c>
      <c r="C100" s="408" t="s">
        <v>2227</v>
      </c>
      <c r="D100" s="408" t="s">
        <v>1949</v>
      </c>
      <c r="E100" s="408" t="s">
        <v>964</v>
      </c>
      <c r="F100" s="408" t="s">
        <v>964</v>
      </c>
      <c r="G100" s="408" t="s">
        <v>1317</v>
      </c>
      <c r="H100" s="408" t="s">
        <v>1317</v>
      </c>
      <c r="I100" s="408" t="s">
        <v>1317</v>
      </c>
      <c r="J100" s="408" t="s">
        <v>2228</v>
      </c>
      <c r="K100" s="828">
        <v>44440</v>
      </c>
      <c r="L100" s="408">
        <v>0</v>
      </c>
      <c r="M100" s="408">
        <v>0</v>
      </c>
      <c r="N100" s="408">
        <v>0.31900000000000001</v>
      </c>
      <c r="O100" s="408">
        <v>0.31900000000000001</v>
      </c>
      <c r="P100" s="408">
        <v>0.31900000000000001</v>
      </c>
      <c r="Q100" s="408">
        <v>0.31900000000000001</v>
      </c>
      <c r="R100" s="408"/>
      <c r="S100" s="408">
        <v>739.04</v>
      </c>
      <c r="T100" s="408">
        <v>252.22</v>
      </c>
      <c r="U100" s="408"/>
      <c r="V100" s="408">
        <v>316.21194000000003</v>
      </c>
      <c r="W100" s="408">
        <v>316.21194000000003</v>
      </c>
      <c r="X100" s="408">
        <v>216.27243000000001</v>
      </c>
      <c r="Y100" s="408">
        <v>0</v>
      </c>
      <c r="Z100" s="408">
        <v>19.731156962866546</v>
      </c>
      <c r="AA100" s="408">
        <v>0</v>
      </c>
      <c r="AB100" s="408">
        <v>0</v>
      </c>
      <c r="AC100" s="408">
        <v>0</v>
      </c>
      <c r="AD100" s="408">
        <v>39.395728305898963</v>
      </c>
      <c r="AE100" s="408">
        <v>161.72909864707574</v>
      </c>
      <c r="AF100" s="408">
        <v>80.459062825149928</v>
      </c>
      <c r="AG100" s="408">
        <v>0</v>
      </c>
      <c r="AH100" s="408">
        <v>0</v>
      </c>
      <c r="AI100" s="408">
        <v>0</v>
      </c>
      <c r="AJ100" s="408">
        <v>0</v>
      </c>
      <c r="AK100" s="408">
        <v>0</v>
      </c>
      <c r="AL100" s="408">
        <v>3.0499683096957675</v>
      </c>
      <c r="AM100" s="408"/>
      <c r="AN100" s="408">
        <v>0.74751223399942157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11.099365099740258</v>
      </c>
      <c r="BH100" s="408">
        <v>0</v>
      </c>
      <c r="BI100" s="408">
        <v>0</v>
      </c>
      <c r="BJ100" s="408">
        <v>0</v>
      </c>
      <c r="BK100" s="408">
        <v>129.44999999999999</v>
      </c>
      <c r="BL100" s="408">
        <v>1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91.558427924890182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216.9504</v>
      </c>
      <c r="CJ100" s="408">
        <v>-99.291539999999998</v>
      </c>
      <c r="CK100" s="408"/>
      <c r="CL100" s="408"/>
      <c r="CM100" s="408"/>
      <c r="CN100" s="408"/>
      <c r="CO100" s="408">
        <v>-99.939509999999984</v>
      </c>
      <c r="CP100" s="408">
        <v>0</v>
      </c>
      <c r="CQ100" s="408">
        <v>30</v>
      </c>
      <c r="CR100" s="408">
        <v>-0.77587082067310575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-0.10125049101014127</v>
      </c>
      <c r="DA100" s="408">
        <v>0</v>
      </c>
      <c r="DB100" s="408">
        <v>0</v>
      </c>
      <c r="DC100" s="408">
        <v>-1.1279851719336875E-8</v>
      </c>
      <c r="DD100" s="408">
        <v>0</v>
      </c>
      <c r="DE100" s="408">
        <v>0</v>
      </c>
      <c r="DF100" s="408">
        <v>0</v>
      </c>
      <c r="DG100" s="408">
        <v>-1.556051287820992E-9</v>
      </c>
      <c r="DH100" s="408">
        <v>0</v>
      </c>
      <c r="DI100" s="408">
        <v>-0.57372460781452972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-7.6621651869124285E-2</v>
      </c>
      <c r="DP100" s="408">
        <v>-2.4274057143395922E-2</v>
      </c>
      <c r="DQ100" s="408">
        <v>0</v>
      </c>
      <c r="DR100" s="408">
        <v>0</v>
      </c>
      <c r="DS100" s="408"/>
      <c r="DT100" s="408"/>
      <c r="DU100" s="408"/>
      <c r="DV100" s="408">
        <v>161.72909864707574</v>
      </c>
      <c r="DW100" s="408">
        <v>0</v>
      </c>
      <c r="DX100" s="408">
        <v>0</v>
      </c>
      <c r="DY100" s="408">
        <v>-99.939509999999984</v>
      </c>
      <c r="DZ100" s="408">
        <v>0</v>
      </c>
      <c r="EA100" s="408">
        <v>0</v>
      </c>
      <c r="EB100" s="408">
        <v>0</v>
      </c>
      <c r="EC100" s="408">
        <v>-99.163407890961025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265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1" customFormat="1">
      <c r="A101" s="408">
        <v>107</v>
      </c>
      <c r="B101" s="408" t="s">
        <v>1031</v>
      </c>
      <c r="C101" s="408" t="s">
        <v>2227</v>
      </c>
      <c r="D101" s="408" t="s">
        <v>1949</v>
      </c>
      <c r="E101" s="408" t="s">
        <v>964</v>
      </c>
      <c r="F101" s="408" t="s">
        <v>2231</v>
      </c>
      <c r="G101" s="408" t="s">
        <v>1317</v>
      </c>
      <c r="H101" s="408" t="s">
        <v>1317</v>
      </c>
      <c r="I101" s="408" t="s">
        <v>1317</v>
      </c>
      <c r="J101" s="408" t="s">
        <v>2228</v>
      </c>
      <c r="K101" s="828">
        <v>44440</v>
      </c>
      <c r="L101" s="408">
        <v>0</v>
      </c>
      <c r="M101" s="408">
        <v>0</v>
      </c>
      <c r="N101" s="408">
        <v>8.5039999999999996</v>
      </c>
      <c r="O101" s="408">
        <v>8.5039999999999996</v>
      </c>
      <c r="P101" s="408">
        <v>8.5039999999999996</v>
      </c>
      <c r="Q101" s="408">
        <v>8.5039999999999996</v>
      </c>
      <c r="R101" s="408"/>
      <c r="S101" s="408">
        <v>667.62</v>
      </c>
      <c r="T101" s="408">
        <v>252.22</v>
      </c>
      <c r="U101" s="408"/>
      <c r="V101" s="408">
        <v>7822.3193599999995</v>
      </c>
      <c r="W101" s="408">
        <v>7822.3193599999995</v>
      </c>
      <c r="X101" s="408">
        <v>5175.4493599999996</v>
      </c>
      <c r="Y101" s="408">
        <v>0</v>
      </c>
      <c r="Z101" s="408">
        <v>0</v>
      </c>
      <c r="AA101" s="408">
        <v>0</v>
      </c>
      <c r="AB101" s="408">
        <v>0</v>
      </c>
      <c r="AC101" s="408">
        <v>0</v>
      </c>
      <c r="AD101" s="408">
        <v>1050.2234279415823</v>
      </c>
      <c r="AE101" s="408">
        <v>4311.4239965352108</v>
      </c>
      <c r="AF101" s="408">
        <v>2144.9024146240595</v>
      </c>
      <c r="AG101" s="408">
        <v>0</v>
      </c>
      <c r="AH101" s="408">
        <v>0</v>
      </c>
      <c r="AI101" s="408">
        <v>0</v>
      </c>
      <c r="AJ101" s="408">
        <v>0</v>
      </c>
      <c r="AK101" s="408">
        <v>0</v>
      </c>
      <c r="AL101" s="408">
        <v>0</v>
      </c>
      <c r="AM101" s="408"/>
      <c r="AN101" s="408">
        <v>19.927410777213421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295.89028466517601</v>
      </c>
      <c r="BH101" s="408">
        <v>0</v>
      </c>
      <c r="BI101" s="408">
        <v>0</v>
      </c>
      <c r="BJ101" s="408">
        <v>0</v>
      </c>
      <c r="BK101" s="408">
        <v>684.03</v>
      </c>
      <c r="BL101" s="408">
        <v>24</v>
      </c>
      <c r="BM101" s="408"/>
      <c r="BN101" s="408"/>
      <c r="BO101" s="408"/>
      <c r="BP101" s="408"/>
      <c r="BQ101" s="408"/>
      <c r="BR101" s="408"/>
      <c r="BS101" s="408"/>
      <c r="BT101" s="408">
        <v>3364.0123199999998</v>
      </c>
      <c r="BU101" s="408"/>
      <c r="BV101" s="408">
        <v>2440.7926992892353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1810.585</v>
      </c>
      <c r="CJ101" s="408">
        <v>-927.30780000000004</v>
      </c>
      <c r="CK101" s="408"/>
      <c r="CL101" s="408"/>
      <c r="CM101" s="408"/>
      <c r="CN101" s="408"/>
      <c r="CO101" s="408">
        <v>-2646.87</v>
      </c>
      <c r="CP101" s="408">
        <v>0</v>
      </c>
      <c r="CQ101" s="408">
        <v>30</v>
      </c>
      <c r="CR101" s="408">
        <v>-3.3462723092607121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-2.6991666945148154</v>
      </c>
      <c r="DA101" s="408">
        <v>0</v>
      </c>
      <c r="DB101" s="408">
        <v>0</v>
      </c>
      <c r="DC101" s="408">
        <v>-3.007016857736744E-7</v>
      </c>
      <c r="DD101" s="408">
        <v>0</v>
      </c>
      <c r="DE101" s="408">
        <v>0</v>
      </c>
      <c r="DF101" s="408">
        <v>0</v>
      </c>
      <c r="DG101" s="408">
        <v>-4.1481712287350092E-8</v>
      </c>
      <c r="DH101" s="408">
        <v>0</v>
      </c>
      <c r="DI101" s="408">
        <v>0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0</v>
      </c>
      <c r="DP101" s="408">
        <v>-0.64710527256250572</v>
      </c>
      <c r="DQ101" s="408">
        <v>0</v>
      </c>
      <c r="DR101" s="408">
        <v>0</v>
      </c>
      <c r="DS101" s="408"/>
      <c r="DT101" s="408"/>
      <c r="DU101" s="408"/>
      <c r="DV101" s="408">
        <v>4311.4239965352108</v>
      </c>
      <c r="DW101" s="408">
        <v>0</v>
      </c>
      <c r="DX101" s="408">
        <v>0</v>
      </c>
      <c r="DY101" s="408">
        <v>-2646.8699999999994</v>
      </c>
      <c r="DZ101" s="408">
        <v>0</v>
      </c>
      <c r="EA101" s="408">
        <v>0</v>
      </c>
      <c r="EB101" s="408">
        <v>0</v>
      </c>
      <c r="EC101" s="408">
        <v>-2643.5285915508857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265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1" customFormat="1">
      <c r="A102" s="408">
        <v>108</v>
      </c>
      <c r="B102" s="408" t="s">
        <v>2230</v>
      </c>
      <c r="C102" s="408" t="s">
        <v>2227</v>
      </c>
      <c r="D102" s="408" t="s">
        <v>1949</v>
      </c>
      <c r="E102" s="408" t="s">
        <v>964</v>
      </c>
      <c r="F102" s="408" t="s">
        <v>2231</v>
      </c>
      <c r="G102" s="408" t="s">
        <v>1317</v>
      </c>
      <c r="H102" s="408" t="s">
        <v>1317</v>
      </c>
      <c r="I102" s="408" t="s">
        <v>1317</v>
      </c>
      <c r="J102" s="408" t="s">
        <v>2228</v>
      </c>
      <c r="K102" s="828">
        <v>44440</v>
      </c>
      <c r="L102" s="408">
        <v>0</v>
      </c>
      <c r="M102" s="408">
        <v>0</v>
      </c>
      <c r="N102" s="408">
        <v>6.2E-2</v>
      </c>
      <c r="O102" s="408">
        <v>-9.9199999999999997E-2</v>
      </c>
      <c r="P102" s="408">
        <v>6.2E-2</v>
      </c>
      <c r="Q102" s="408">
        <v>-9.9199999999999997E-2</v>
      </c>
      <c r="R102" s="408"/>
      <c r="S102" s="408">
        <v>667.62</v>
      </c>
      <c r="T102" s="408">
        <v>252.22</v>
      </c>
      <c r="U102" s="408"/>
      <c r="V102" s="408">
        <v>57.030079999999998</v>
      </c>
      <c r="W102" s="408">
        <v>57.030079999999998</v>
      </c>
      <c r="X102" s="408">
        <v>37.732579999999999</v>
      </c>
      <c r="Y102" s="408">
        <v>0</v>
      </c>
      <c r="Z102" s="408">
        <v>0</v>
      </c>
      <c r="AA102" s="408">
        <v>0</v>
      </c>
      <c r="AB102" s="408">
        <v>0</v>
      </c>
      <c r="AC102" s="408">
        <v>0</v>
      </c>
      <c r="AD102" s="408">
        <v>7.6568500155665697</v>
      </c>
      <c r="AE102" s="408">
        <v>31.433241743318799</v>
      </c>
      <c r="AF102" s="408">
        <v>15.637811583571459</v>
      </c>
      <c r="AG102" s="408">
        <v>0</v>
      </c>
      <c r="AH102" s="408">
        <v>0</v>
      </c>
      <c r="AI102" s="408">
        <v>0</v>
      </c>
      <c r="AJ102" s="408">
        <v>0</v>
      </c>
      <c r="AK102" s="408">
        <v>0</v>
      </c>
      <c r="AL102" s="408">
        <v>0</v>
      </c>
      <c r="AM102" s="408"/>
      <c r="AN102" s="408">
        <v>0.14528450942935467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2.1572433736172285</v>
      </c>
      <c r="BH102" s="408">
        <v>0</v>
      </c>
      <c r="BI102" s="408">
        <v>0</v>
      </c>
      <c r="BJ102" s="408">
        <v>0</v>
      </c>
      <c r="BK102" s="408">
        <v>8.73</v>
      </c>
      <c r="BL102" s="408">
        <v>0</v>
      </c>
      <c r="BM102" s="408"/>
      <c r="BN102" s="408"/>
      <c r="BO102" s="408"/>
      <c r="BP102" s="408"/>
      <c r="BQ102" s="408"/>
      <c r="BR102" s="408"/>
      <c r="BS102" s="408"/>
      <c r="BT102" s="408">
        <v>58.863171999999999</v>
      </c>
      <c r="BU102" s="408"/>
      <c r="BV102" s="408">
        <v>17.795054957188686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-21.301000000000002</v>
      </c>
      <c r="CJ102" s="408">
        <v>10.606439999999989</v>
      </c>
      <c r="CK102" s="408"/>
      <c r="CL102" s="408"/>
      <c r="CM102" s="408"/>
      <c r="CN102" s="408"/>
      <c r="CO102" s="408">
        <v>-19.297499999999999</v>
      </c>
      <c r="CP102" s="408">
        <v>0</v>
      </c>
      <c r="CQ102" s="408">
        <v>30</v>
      </c>
      <c r="CR102" s="408">
        <v>-2.4396623139011808E-2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-1.967877881701785E-2</v>
      </c>
      <c r="DA102" s="408">
        <v>0</v>
      </c>
      <c r="DB102" s="408">
        <v>0</v>
      </c>
      <c r="DC102" s="408">
        <v>-2.1923209914120889E-9</v>
      </c>
      <c r="DD102" s="408">
        <v>0</v>
      </c>
      <c r="DE102" s="408">
        <v>0</v>
      </c>
      <c r="DF102" s="408">
        <v>0</v>
      </c>
      <c r="DG102" s="408">
        <v>-3.0243008097841084E-10</v>
      </c>
      <c r="DH102" s="408">
        <v>0</v>
      </c>
      <c r="DI102" s="408">
        <v>0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0</v>
      </c>
      <c r="DP102" s="408">
        <v>-4.7178418272431077E-3</v>
      </c>
      <c r="DQ102" s="408">
        <v>0</v>
      </c>
      <c r="DR102" s="408">
        <v>0</v>
      </c>
      <c r="DS102" s="408"/>
      <c r="DT102" s="408"/>
      <c r="DU102" s="408"/>
      <c r="DV102" s="408">
        <v>31.433241743318799</v>
      </c>
      <c r="DW102" s="408">
        <v>0</v>
      </c>
      <c r="DX102" s="408">
        <v>0</v>
      </c>
      <c r="DY102" s="408">
        <v>-19.297499999999999</v>
      </c>
      <c r="DZ102" s="408">
        <v>0</v>
      </c>
      <c r="EA102" s="408">
        <v>0</v>
      </c>
      <c r="EB102" s="408">
        <v>0</v>
      </c>
      <c r="EC102" s="408">
        <v>-19.273138837741641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265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1" customFormat="1">
      <c r="A103" s="408">
        <v>109</v>
      </c>
      <c r="B103" s="408" t="s">
        <v>1031</v>
      </c>
      <c r="C103" s="408" t="s">
        <v>2227</v>
      </c>
      <c r="D103" s="408" t="s">
        <v>1949</v>
      </c>
      <c r="E103" s="408" t="s">
        <v>964</v>
      </c>
      <c r="F103" s="408" t="s">
        <v>2232</v>
      </c>
      <c r="G103" s="408" t="s">
        <v>1317</v>
      </c>
      <c r="H103" s="408" t="s">
        <v>1317</v>
      </c>
      <c r="I103" s="408" t="s">
        <v>1317</v>
      </c>
      <c r="J103" s="408" t="s">
        <v>2228</v>
      </c>
      <c r="K103" s="828">
        <v>44440</v>
      </c>
      <c r="L103" s="408">
        <v>0</v>
      </c>
      <c r="M103" s="408">
        <v>0</v>
      </c>
      <c r="N103" s="408">
        <v>15.045</v>
      </c>
      <c r="O103" s="408">
        <v>15.045</v>
      </c>
      <c r="P103" s="408">
        <v>15.045</v>
      </c>
      <c r="Q103" s="408">
        <v>15.045</v>
      </c>
      <c r="R103" s="408"/>
      <c r="S103" s="408">
        <v>667.62</v>
      </c>
      <c r="T103" s="408">
        <v>252.22</v>
      </c>
      <c r="U103" s="408"/>
      <c r="V103" s="408">
        <v>13838.9928</v>
      </c>
      <c r="W103" s="408">
        <v>13838.9928</v>
      </c>
      <c r="X103" s="408">
        <v>9156.2365499999996</v>
      </c>
      <c r="Y103" s="408">
        <v>0</v>
      </c>
      <c r="Z103" s="408">
        <v>0</v>
      </c>
      <c r="AA103" s="408">
        <v>0</v>
      </c>
      <c r="AB103" s="408">
        <v>0</v>
      </c>
      <c r="AC103" s="408">
        <v>0</v>
      </c>
      <c r="AD103" s="408">
        <v>1858.0211045838555</v>
      </c>
      <c r="AE103" s="408">
        <v>7627.6310004553443</v>
      </c>
      <c r="AF103" s="408">
        <v>3794.6915366908484</v>
      </c>
      <c r="AG103" s="408">
        <v>0</v>
      </c>
      <c r="AH103" s="408">
        <v>0</v>
      </c>
      <c r="AI103" s="408">
        <v>0</v>
      </c>
      <c r="AJ103" s="408">
        <v>0</v>
      </c>
      <c r="AK103" s="408">
        <v>0</v>
      </c>
      <c r="AL103" s="408">
        <v>0</v>
      </c>
      <c r="AM103" s="408"/>
      <c r="AN103" s="408">
        <v>35.254926522010336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523.47946058179366</v>
      </c>
      <c r="BH103" s="408">
        <v>0</v>
      </c>
      <c r="BI103" s="408">
        <v>0</v>
      </c>
      <c r="BJ103" s="408">
        <v>0</v>
      </c>
      <c r="BK103" s="408">
        <v>2440.16</v>
      </c>
      <c r="BL103" s="408">
        <v>102</v>
      </c>
      <c r="BM103" s="408"/>
      <c r="BN103" s="408"/>
      <c r="BO103" s="408"/>
      <c r="BP103" s="408"/>
      <c r="BQ103" s="408"/>
      <c r="BR103" s="408"/>
      <c r="BS103" s="408"/>
      <c r="BT103" s="408">
        <v>3662.5547999999999</v>
      </c>
      <c r="BU103" s="408"/>
      <c r="BV103" s="408">
        <v>4318.1709972726421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5495.5074999999997</v>
      </c>
      <c r="CJ103" s="408">
        <v>-2807.858000000002</v>
      </c>
      <c r="CK103" s="408"/>
      <c r="CL103" s="408"/>
      <c r="CM103" s="408"/>
      <c r="CN103" s="408"/>
      <c r="CO103" s="408">
        <v>-4682.7562500000004</v>
      </c>
      <c r="CP103" s="408">
        <v>0</v>
      </c>
      <c r="CQ103" s="408">
        <v>30</v>
      </c>
      <c r="CR103" s="408">
        <v>-5.9201160504262589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-4.7752778597102861</v>
      </c>
      <c r="DA103" s="408">
        <v>0</v>
      </c>
      <c r="DB103" s="408">
        <v>0</v>
      </c>
      <c r="DC103" s="408">
        <v>-5.3199164540274069E-7</v>
      </c>
      <c r="DD103" s="408">
        <v>0</v>
      </c>
      <c r="DE103" s="408">
        <v>0</v>
      </c>
      <c r="DF103" s="408">
        <v>0</v>
      </c>
      <c r="DG103" s="408">
        <v>-7.3388150667597074E-8</v>
      </c>
      <c r="DH103" s="408">
        <v>0</v>
      </c>
      <c r="DI103" s="408">
        <v>0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0</v>
      </c>
      <c r="DP103" s="408">
        <v>-1.1448375853366457</v>
      </c>
      <c r="DQ103" s="408">
        <v>0</v>
      </c>
      <c r="DR103" s="408">
        <v>0</v>
      </c>
      <c r="DS103" s="408"/>
      <c r="DT103" s="408"/>
      <c r="DU103" s="408"/>
      <c r="DV103" s="408">
        <v>7627.6310004553443</v>
      </c>
      <c r="DW103" s="408">
        <v>0</v>
      </c>
      <c r="DX103" s="408">
        <v>0</v>
      </c>
      <c r="DY103" s="408">
        <v>-4682.7562499999995</v>
      </c>
      <c r="DZ103" s="408">
        <v>0</v>
      </c>
      <c r="EA103" s="408">
        <v>0</v>
      </c>
      <c r="EB103" s="408">
        <v>0</v>
      </c>
      <c r="EC103" s="408">
        <v>-4676.8447389326293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265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1" customFormat="1">
      <c r="A104" s="408">
        <v>110</v>
      </c>
      <c r="B104" s="408" t="s">
        <v>2230</v>
      </c>
      <c r="C104" s="408" t="s">
        <v>2227</v>
      </c>
      <c r="D104" s="408" t="s">
        <v>1949</v>
      </c>
      <c r="E104" s="408" t="s">
        <v>964</v>
      </c>
      <c r="F104" s="408" t="s">
        <v>2232</v>
      </c>
      <c r="G104" s="408" t="s">
        <v>1317</v>
      </c>
      <c r="H104" s="408" t="s">
        <v>1317</v>
      </c>
      <c r="I104" s="408" t="s">
        <v>1317</v>
      </c>
      <c r="J104" s="408" t="s">
        <v>2228</v>
      </c>
      <c r="K104" s="828">
        <v>44440</v>
      </c>
      <c r="L104" s="408">
        <v>0</v>
      </c>
      <c r="M104" s="408">
        <v>0</v>
      </c>
      <c r="N104" s="408">
        <v>1.0999999999999999E-2</v>
      </c>
      <c r="O104" s="408">
        <v>-6.6E-3</v>
      </c>
      <c r="P104" s="408">
        <v>1.0999999999999999E-2</v>
      </c>
      <c r="Q104" s="408">
        <v>-6.6E-3</v>
      </c>
      <c r="R104" s="408"/>
      <c r="S104" s="408">
        <v>667.62</v>
      </c>
      <c r="T104" s="408">
        <v>252.22</v>
      </c>
      <c r="U104" s="408"/>
      <c r="V104" s="408">
        <v>10.11824</v>
      </c>
      <c r="W104" s="408">
        <v>10.11824</v>
      </c>
      <c r="X104" s="408">
        <v>6.6944900000000001</v>
      </c>
      <c r="Y104" s="408">
        <v>0</v>
      </c>
      <c r="Z104" s="408">
        <v>0</v>
      </c>
      <c r="AA104" s="408">
        <v>0</v>
      </c>
      <c r="AB104" s="408">
        <v>0</v>
      </c>
      <c r="AC104" s="408">
        <v>0</v>
      </c>
      <c r="AD104" s="408">
        <v>1.3584733898585848</v>
      </c>
      <c r="AE104" s="408">
        <v>5.5768654705888183</v>
      </c>
      <c r="AF104" s="408">
        <v>2.774450442246549</v>
      </c>
      <c r="AG104" s="408">
        <v>0</v>
      </c>
      <c r="AH104" s="408">
        <v>0</v>
      </c>
      <c r="AI104" s="408">
        <v>0</v>
      </c>
      <c r="AJ104" s="408">
        <v>0</v>
      </c>
      <c r="AK104" s="408">
        <v>0</v>
      </c>
      <c r="AL104" s="408">
        <v>0</v>
      </c>
      <c r="AM104" s="408"/>
      <c r="AN104" s="408">
        <v>2.5776283931014537E-2</v>
      </c>
      <c r="AO104" s="408">
        <v>0</v>
      </c>
      <c r="AP104" s="408">
        <v>0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>
        <v>0</v>
      </c>
      <c r="BG104" s="408">
        <v>0.38273672757725019</v>
      </c>
      <c r="BH104" s="408">
        <v>0</v>
      </c>
      <c r="BI104" s="408">
        <v>0</v>
      </c>
      <c r="BJ104" s="408">
        <v>0</v>
      </c>
      <c r="BK104" s="408">
        <v>26.35</v>
      </c>
      <c r="BL104" s="408">
        <v>0</v>
      </c>
      <c r="BM104" s="408"/>
      <c r="BN104" s="408"/>
      <c r="BO104" s="408"/>
      <c r="BP104" s="408"/>
      <c r="BQ104" s="408"/>
      <c r="BR104" s="408"/>
      <c r="BS104" s="408"/>
      <c r="BT104" s="408">
        <v>9.1044799999999988</v>
      </c>
      <c r="BU104" s="408"/>
      <c r="BV104" s="408">
        <v>3.157187169823799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-3.6515</v>
      </c>
      <c r="CJ104" s="408">
        <v>-3.895999999999944E-2</v>
      </c>
      <c r="CK104" s="408"/>
      <c r="CL104" s="408"/>
      <c r="CM104" s="408"/>
      <c r="CN104" s="408"/>
      <c r="CO104" s="408">
        <v>-3.4237499999999996</v>
      </c>
      <c r="CP104" s="408">
        <v>0</v>
      </c>
      <c r="CQ104" s="408">
        <v>30</v>
      </c>
      <c r="CR104" s="408">
        <v>-4.3284331375659235E-3</v>
      </c>
      <c r="CS104" s="408">
        <v>0</v>
      </c>
      <c r="CT104" s="408">
        <v>0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-3.4913962417288946E-3</v>
      </c>
      <c r="DA104" s="408">
        <v>0</v>
      </c>
      <c r="DB104" s="408">
        <v>0</v>
      </c>
      <c r="DC104" s="408">
        <v>-3.8896041942848569E-10</v>
      </c>
      <c r="DD104" s="408">
        <v>0</v>
      </c>
      <c r="DE104" s="408">
        <v>0</v>
      </c>
      <c r="DF104" s="408">
        <v>0</v>
      </c>
      <c r="DG104" s="408">
        <v>-5.3656912246680122E-11</v>
      </c>
      <c r="DH104" s="408">
        <v>0</v>
      </c>
      <c r="DI104" s="408">
        <v>0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0</v>
      </c>
      <c r="DP104" s="408">
        <v>-8.370364532205507E-4</v>
      </c>
      <c r="DQ104" s="408">
        <v>0</v>
      </c>
      <c r="DR104" s="408">
        <v>0</v>
      </c>
      <c r="DS104" s="408"/>
      <c r="DT104" s="408"/>
      <c r="DU104" s="408"/>
      <c r="DV104" s="408">
        <v>5.5768654705888183</v>
      </c>
      <c r="DW104" s="408">
        <v>0</v>
      </c>
      <c r="DX104" s="408">
        <v>0</v>
      </c>
      <c r="DY104" s="408">
        <v>-3.4237500000000001</v>
      </c>
      <c r="DZ104" s="408">
        <v>0</v>
      </c>
      <c r="EA104" s="408">
        <v>0</v>
      </c>
      <c r="EB104" s="408">
        <v>0</v>
      </c>
      <c r="EC104" s="408">
        <v>-3.4194278583090005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265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1" customFormat="1">
      <c r="A105" s="408">
        <v>111</v>
      </c>
      <c r="B105" s="408" t="s">
        <v>1031</v>
      </c>
      <c r="C105" s="408" t="s">
        <v>2227</v>
      </c>
      <c r="D105" s="408" t="s">
        <v>1949</v>
      </c>
      <c r="E105" s="408" t="s">
        <v>964</v>
      </c>
      <c r="F105" s="408" t="s">
        <v>2233</v>
      </c>
      <c r="G105" s="408" t="s">
        <v>1317</v>
      </c>
      <c r="H105" s="408" t="s">
        <v>1317</v>
      </c>
      <c r="I105" s="408" t="s">
        <v>1317</v>
      </c>
      <c r="J105" s="408" t="s">
        <v>2228</v>
      </c>
      <c r="K105" s="828">
        <v>44440</v>
      </c>
      <c r="L105" s="408">
        <v>0</v>
      </c>
      <c r="M105" s="408">
        <v>0</v>
      </c>
      <c r="N105" s="408">
        <v>10.483000000000001</v>
      </c>
      <c r="O105" s="408">
        <v>10.483000000000001</v>
      </c>
      <c r="P105" s="408">
        <v>10.483000000000001</v>
      </c>
      <c r="Q105" s="408">
        <v>10.483000000000001</v>
      </c>
      <c r="R105" s="408"/>
      <c r="S105" s="408">
        <v>667.62</v>
      </c>
      <c r="T105" s="408">
        <v>252.22</v>
      </c>
      <c r="U105" s="408"/>
      <c r="V105" s="408">
        <v>9642.6827200000007</v>
      </c>
      <c r="W105" s="408">
        <v>9642.6827200000007</v>
      </c>
      <c r="X105" s="408">
        <v>6379.8489700000009</v>
      </c>
      <c r="Y105" s="408">
        <v>0</v>
      </c>
      <c r="Z105" s="408">
        <v>0</v>
      </c>
      <c r="AA105" s="408">
        <v>0</v>
      </c>
      <c r="AB105" s="408">
        <v>0</v>
      </c>
      <c r="AC105" s="408">
        <v>0</v>
      </c>
      <c r="AD105" s="408">
        <v>1294.6251405352316</v>
      </c>
      <c r="AE105" s="408">
        <v>5314.7527934711452</v>
      </c>
      <c r="AF105" s="408">
        <v>2644.0512714609613</v>
      </c>
      <c r="AG105" s="408">
        <v>0</v>
      </c>
      <c r="AH105" s="408">
        <v>0</v>
      </c>
      <c r="AI105" s="408">
        <v>0</v>
      </c>
      <c r="AJ105" s="408">
        <v>0</v>
      </c>
      <c r="AK105" s="408">
        <v>0</v>
      </c>
      <c r="AL105" s="408">
        <v>0</v>
      </c>
      <c r="AM105" s="408"/>
      <c r="AN105" s="408">
        <v>24.564798586256856</v>
      </c>
      <c r="AO105" s="408">
        <v>0</v>
      </c>
      <c r="AP105" s="408">
        <v>0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364.74810138111951</v>
      </c>
      <c r="BH105" s="408">
        <v>0</v>
      </c>
      <c r="BI105" s="408">
        <v>0</v>
      </c>
      <c r="BJ105" s="408">
        <v>0</v>
      </c>
      <c r="BK105" s="408">
        <v>3003.62</v>
      </c>
      <c r="BL105" s="408">
        <v>131</v>
      </c>
      <c r="BM105" s="408"/>
      <c r="BN105" s="408"/>
      <c r="BO105" s="408"/>
      <c r="BP105" s="408"/>
      <c r="BQ105" s="408"/>
      <c r="BR105" s="408"/>
      <c r="BS105" s="408"/>
      <c r="BT105" s="408">
        <v>637.89054999999996</v>
      </c>
      <c r="BU105" s="408"/>
      <c r="BV105" s="408">
        <v>3008.7993728420806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5740.3152000000009</v>
      </c>
      <c r="CJ105" s="408">
        <v>-2938.1711800000012</v>
      </c>
      <c r="CK105" s="408"/>
      <c r="CL105" s="408"/>
      <c r="CM105" s="408"/>
      <c r="CN105" s="408"/>
      <c r="CO105" s="408">
        <v>-3262.8337500000002</v>
      </c>
      <c r="CP105" s="408">
        <v>0</v>
      </c>
      <c r="CQ105" s="408">
        <v>30</v>
      </c>
      <c r="CR105" s="408">
        <v>-4.1249967801013554</v>
      </c>
      <c r="CS105" s="408">
        <v>0</v>
      </c>
      <c r="CT105" s="408">
        <v>0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-3.3273006183678717</v>
      </c>
      <c r="DA105" s="408">
        <v>0</v>
      </c>
      <c r="DB105" s="408">
        <v>0</v>
      </c>
      <c r="DC105" s="408">
        <v>-3.7067911762278527E-7</v>
      </c>
      <c r="DD105" s="408">
        <v>0</v>
      </c>
      <c r="DE105" s="408">
        <v>0</v>
      </c>
      <c r="DF105" s="408">
        <v>0</v>
      </c>
      <c r="DG105" s="408">
        <v>-5.1135089051967952E-8</v>
      </c>
      <c r="DH105" s="408">
        <v>0</v>
      </c>
      <c r="DI105" s="408">
        <v>0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0</v>
      </c>
      <c r="DP105" s="408">
        <v>-0.79769573991918463</v>
      </c>
      <c r="DQ105" s="408">
        <v>0</v>
      </c>
      <c r="DR105" s="408">
        <v>0</v>
      </c>
      <c r="DS105" s="408"/>
      <c r="DT105" s="408"/>
      <c r="DU105" s="408"/>
      <c r="DV105" s="408">
        <v>5314.7527934711452</v>
      </c>
      <c r="DW105" s="408">
        <v>0</v>
      </c>
      <c r="DX105" s="408">
        <v>0</v>
      </c>
      <c r="DY105" s="408">
        <v>-3262.8337499999998</v>
      </c>
      <c r="DZ105" s="408">
        <v>0</v>
      </c>
      <c r="EA105" s="408">
        <v>0</v>
      </c>
      <c r="EB105" s="408">
        <v>0</v>
      </c>
      <c r="EC105" s="408">
        <v>-3258.7147489684785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265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1" customFormat="1">
      <c r="A106" s="408">
        <v>112</v>
      </c>
      <c r="B106" s="408" t="s">
        <v>2230</v>
      </c>
      <c r="C106" s="408" t="s">
        <v>2227</v>
      </c>
      <c r="D106" s="408" t="s">
        <v>1949</v>
      </c>
      <c r="E106" s="408" t="s">
        <v>964</v>
      </c>
      <c r="F106" s="408" t="s">
        <v>2233</v>
      </c>
      <c r="G106" s="408" t="s">
        <v>1317</v>
      </c>
      <c r="H106" s="408" t="s">
        <v>1317</v>
      </c>
      <c r="I106" s="408" t="s">
        <v>1317</v>
      </c>
      <c r="J106" s="408" t="s">
        <v>2228</v>
      </c>
      <c r="K106" s="828">
        <v>44440</v>
      </c>
      <c r="L106" s="408">
        <v>0</v>
      </c>
      <c r="M106" s="408">
        <v>0</v>
      </c>
      <c r="N106" s="408">
        <v>0</v>
      </c>
      <c r="O106" s="408">
        <v>0</v>
      </c>
      <c r="P106" s="408">
        <v>0</v>
      </c>
      <c r="Q106" s="408">
        <v>0</v>
      </c>
      <c r="R106" s="408"/>
      <c r="S106" s="408"/>
      <c r="T106" s="408"/>
      <c r="U106" s="408"/>
      <c r="V106" s="408"/>
      <c r="W106" s="408"/>
      <c r="X106" s="408"/>
      <c r="Y106" s="408"/>
      <c r="Z106" s="408"/>
      <c r="AA106" s="408">
        <v>0</v>
      </c>
      <c r="AB106" s="408"/>
      <c r="AC106" s="408"/>
      <c r="AD106" s="408"/>
      <c r="AE106" s="408"/>
      <c r="AF106" s="408"/>
      <c r="AG106" s="408"/>
      <c r="AH106" s="408"/>
      <c r="AI106" s="408"/>
      <c r="AJ106" s="408"/>
      <c r="AK106" s="408"/>
      <c r="AL106" s="408"/>
      <c r="AM106" s="408"/>
      <c r="AN106" s="408"/>
      <c r="AO106" s="408"/>
      <c r="AP106" s="408"/>
      <c r="AQ106" s="408"/>
      <c r="AR106" s="408"/>
      <c r="AS106" s="408"/>
      <c r="AT106" s="408"/>
      <c r="AU106" s="408"/>
      <c r="AV106" s="408"/>
      <c r="AW106" s="408"/>
      <c r="AX106" s="408"/>
      <c r="AY106" s="408"/>
      <c r="AZ106" s="408">
        <v>0</v>
      </c>
      <c r="BA106" s="408"/>
      <c r="BB106" s="408"/>
      <c r="BC106" s="408"/>
      <c r="BD106" s="408"/>
      <c r="BE106" s="408"/>
      <c r="BF106" s="408"/>
      <c r="BG106" s="408"/>
      <c r="BH106" s="408"/>
      <c r="BI106" s="408">
        <v>0</v>
      </c>
      <c r="BJ106" s="408">
        <v>0</v>
      </c>
      <c r="BK106" s="408">
        <v>60.63</v>
      </c>
      <c r="BL106" s="408">
        <v>2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/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/>
      <c r="CJ106" s="408">
        <v>-0.03</v>
      </c>
      <c r="CK106" s="408"/>
      <c r="CL106" s="408"/>
      <c r="CM106" s="408"/>
      <c r="CN106" s="408"/>
      <c r="CO106" s="408">
        <v>0</v>
      </c>
      <c r="CP106" s="408">
        <v>0</v>
      </c>
      <c r="CQ106" s="408">
        <v>30</v>
      </c>
      <c r="CR106" s="408"/>
      <c r="CS106" s="408"/>
      <c r="CT106" s="408"/>
      <c r="CU106" s="408"/>
      <c r="CV106" s="408"/>
      <c r="CW106" s="408"/>
      <c r="CX106" s="408"/>
      <c r="CY106" s="408"/>
      <c r="CZ106" s="408"/>
      <c r="DA106" s="408"/>
      <c r="DB106" s="408"/>
      <c r="DC106" s="408"/>
      <c r="DD106" s="408"/>
      <c r="DE106" s="408"/>
      <c r="DF106" s="408"/>
      <c r="DG106" s="408"/>
      <c r="DH106" s="408"/>
      <c r="DI106" s="408"/>
      <c r="DJ106" s="408"/>
      <c r="DK106" s="408">
        <v>0</v>
      </c>
      <c r="DL106" s="408"/>
      <c r="DM106" s="408"/>
      <c r="DN106" s="408"/>
      <c r="DO106" s="408"/>
      <c r="DP106" s="408"/>
      <c r="DQ106" s="408"/>
      <c r="DR106" s="408"/>
      <c r="DS106" s="408"/>
      <c r="DT106" s="408"/>
      <c r="DU106" s="408"/>
      <c r="DV106" s="408"/>
      <c r="DW106" s="408"/>
      <c r="DX106" s="408"/>
      <c r="DY106" s="408"/>
      <c r="DZ106" s="408"/>
      <c r="EA106" s="408"/>
      <c r="EB106" s="408"/>
      <c r="EC106" s="408"/>
      <c r="ED106" s="408"/>
      <c r="EE106" s="408"/>
      <c r="EF106" s="408"/>
      <c r="EG106" s="408"/>
      <c r="EH106" s="408"/>
      <c r="EI106" s="408"/>
      <c r="EJ106" s="408"/>
      <c r="EK106" s="408"/>
      <c r="EL106" s="408"/>
      <c r="EM106" s="408"/>
      <c r="EN106" s="408"/>
      <c r="EO106" s="408"/>
      <c r="EP106" s="408"/>
      <c r="EQ106" s="408"/>
      <c r="ER106" s="408"/>
      <c r="ES106" s="408"/>
      <c r="ET106" s="408"/>
      <c r="EU106" s="408"/>
      <c r="EV106" s="408">
        <v>265</v>
      </c>
      <c r="EW106" s="408"/>
      <c r="EX106" s="408"/>
      <c r="EY106" s="408"/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1" customFormat="1">
      <c r="A107" s="408">
        <v>113</v>
      </c>
      <c r="B107" s="408" t="s">
        <v>1031</v>
      </c>
      <c r="C107" s="408" t="s">
        <v>2227</v>
      </c>
      <c r="D107" s="408" t="s">
        <v>1949</v>
      </c>
      <c r="E107" s="408" t="s">
        <v>964</v>
      </c>
      <c r="F107" s="408" t="s">
        <v>2234</v>
      </c>
      <c r="G107" s="408" t="s">
        <v>1317</v>
      </c>
      <c r="H107" s="408" t="s">
        <v>1317</v>
      </c>
      <c r="I107" s="408" t="s">
        <v>1317</v>
      </c>
      <c r="J107" s="408" t="s">
        <v>2228</v>
      </c>
      <c r="K107" s="828">
        <v>44440</v>
      </c>
      <c r="L107" s="408">
        <v>0</v>
      </c>
      <c r="M107" s="408">
        <v>0</v>
      </c>
      <c r="N107" s="408">
        <v>2.2559999999999998</v>
      </c>
      <c r="O107" s="408">
        <v>2.2559999999999998</v>
      </c>
      <c r="P107" s="408">
        <v>2.2559999999999998</v>
      </c>
      <c r="Q107" s="408">
        <v>2.2559999999999998</v>
      </c>
      <c r="R107" s="408"/>
      <c r="S107" s="408">
        <v>667.62</v>
      </c>
      <c r="T107" s="408">
        <v>252.22</v>
      </c>
      <c r="U107" s="408"/>
      <c r="V107" s="408">
        <v>2075.1590399999995</v>
      </c>
      <c r="W107" s="408">
        <v>2075.1590399999995</v>
      </c>
      <c r="X107" s="408">
        <v>1372.9790399999997</v>
      </c>
      <c r="Y107" s="408">
        <v>0</v>
      </c>
      <c r="Z107" s="408">
        <v>0</v>
      </c>
      <c r="AA107" s="408">
        <v>0</v>
      </c>
      <c r="AB107" s="408">
        <v>0</v>
      </c>
      <c r="AC107" s="408">
        <v>0</v>
      </c>
      <c r="AD107" s="408">
        <v>278.61054250190614</v>
      </c>
      <c r="AE107" s="408">
        <v>1143.7644092407613</v>
      </c>
      <c r="AF107" s="408">
        <v>569.01456342801941</v>
      </c>
      <c r="AG107" s="408">
        <v>0</v>
      </c>
      <c r="AH107" s="408">
        <v>0</v>
      </c>
      <c r="AI107" s="408">
        <v>0</v>
      </c>
      <c r="AJ107" s="408">
        <v>0</v>
      </c>
      <c r="AK107" s="408">
        <v>0</v>
      </c>
      <c r="AL107" s="408">
        <v>0</v>
      </c>
      <c r="AM107" s="408"/>
      <c r="AN107" s="408">
        <v>5.2864815043971625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78.495823401297855</v>
      </c>
      <c r="BH107" s="408">
        <v>0</v>
      </c>
      <c r="BI107" s="408">
        <v>0</v>
      </c>
      <c r="BJ107" s="408">
        <v>0</v>
      </c>
      <c r="BK107" s="408">
        <v>854.83</v>
      </c>
      <c r="BL107" s="408">
        <v>27</v>
      </c>
      <c r="BM107" s="408"/>
      <c r="BN107" s="408"/>
      <c r="BO107" s="408"/>
      <c r="BP107" s="408"/>
      <c r="BQ107" s="408"/>
      <c r="BR107" s="408"/>
      <c r="BS107" s="408"/>
      <c r="BT107" s="408"/>
      <c r="BU107" s="408"/>
      <c r="BV107" s="408">
        <v>647.51038682931721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1375.4133999999999</v>
      </c>
      <c r="CJ107" s="408">
        <v>-699.77564000000029</v>
      </c>
      <c r="CK107" s="408"/>
      <c r="CL107" s="408"/>
      <c r="CM107" s="408"/>
      <c r="CN107" s="408"/>
      <c r="CO107" s="408">
        <v>-702.18</v>
      </c>
      <c r="CP107" s="408">
        <v>0</v>
      </c>
      <c r="CQ107" s="408">
        <v>30</v>
      </c>
      <c r="CR107" s="408">
        <v>-0.8877222871228696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-0.71605362921280857</v>
      </c>
      <c r="DA107" s="408">
        <v>0</v>
      </c>
      <c r="DB107" s="408">
        <v>0</v>
      </c>
      <c r="DC107" s="408">
        <v>-7.9772121353016701E-8</v>
      </c>
      <c r="DD107" s="408">
        <v>0</v>
      </c>
      <c r="DE107" s="408">
        <v>0</v>
      </c>
      <c r="DF107" s="408">
        <v>0</v>
      </c>
      <c r="DG107" s="408">
        <v>-1.1004544830939267E-8</v>
      </c>
      <c r="DH107" s="408">
        <v>0</v>
      </c>
      <c r="DI107" s="408">
        <v>0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0</v>
      </c>
      <c r="DP107" s="408">
        <v>-0.17166856713323231</v>
      </c>
      <c r="DQ107" s="408">
        <v>0</v>
      </c>
      <c r="DR107" s="408">
        <v>0</v>
      </c>
      <c r="DS107" s="408"/>
      <c r="DT107" s="408"/>
      <c r="DU107" s="408"/>
      <c r="DV107" s="408">
        <v>1143.7644092407613</v>
      </c>
      <c r="DW107" s="408">
        <v>0</v>
      </c>
      <c r="DX107" s="408">
        <v>0</v>
      </c>
      <c r="DY107" s="408">
        <v>-702.18</v>
      </c>
      <c r="DZ107" s="408">
        <v>0</v>
      </c>
      <c r="EA107" s="408">
        <v>0</v>
      </c>
      <c r="EB107" s="408">
        <v>0</v>
      </c>
      <c r="EC107" s="408">
        <v>-701.2935680313733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265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1" customFormat="1">
      <c r="A108" s="408">
        <v>114</v>
      </c>
      <c r="B108" s="408" t="s">
        <v>2230</v>
      </c>
      <c r="C108" s="408" t="s">
        <v>2227</v>
      </c>
      <c r="D108" s="408" t="s">
        <v>1949</v>
      </c>
      <c r="E108" s="408" t="s">
        <v>964</v>
      </c>
      <c r="F108" s="408" t="s">
        <v>2234</v>
      </c>
      <c r="G108" s="408" t="s">
        <v>1317</v>
      </c>
      <c r="H108" s="408" t="s">
        <v>1317</v>
      </c>
      <c r="I108" s="408" t="s">
        <v>1317</v>
      </c>
      <c r="J108" s="408" t="s">
        <v>2228</v>
      </c>
      <c r="K108" s="828">
        <v>44440</v>
      </c>
      <c r="L108" s="408">
        <v>0</v>
      </c>
      <c r="M108" s="408">
        <v>0</v>
      </c>
      <c r="N108" s="408">
        <v>0</v>
      </c>
      <c r="O108" s="408">
        <v>0</v>
      </c>
      <c r="P108" s="408">
        <v>0</v>
      </c>
      <c r="Q108" s="408">
        <v>0</v>
      </c>
      <c r="R108" s="408"/>
      <c r="S108" s="408"/>
      <c r="T108" s="408"/>
      <c r="U108" s="408"/>
      <c r="V108" s="408"/>
      <c r="W108" s="408"/>
      <c r="X108" s="408"/>
      <c r="Y108" s="408"/>
      <c r="Z108" s="408"/>
      <c r="AA108" s="408">
        <v>0</v>
      </c>
      <c r="AB108" s="408"/>
      <c r="AC108" s="408"/>
      <c r="AD108" s="408"/>
      <c r="AE108" s="408"/>
      <c r="AF108" s="408"/>
      <c r="AG108" s="408"/>
      <c r="AH108" s="408"/>
      <c r="AI108" s="408"/>
      <c r="AJ108" s="408"/>
      <c r="AK108" s="408"/>
      <c r="AL108" s="408"/>
      <c r="AM108" s="408"/>
      <c r="AN108" s="408"/>
      <c r="AO108" s="408"/>
      <c r="AP108" s="408"/>
      <c r="AQ108" s="408"/>
      <c r="AR108" s="408"/>
      <c r="AS108" s="408"/>
      <c r="AT108" s="408"/>
      <c r="AU108" s="408"/>
      <c r="AV108" s="408"/>
      <c r="AW108" s="408"/>
      <c r="AX108" s="408"/>
      <c r="AY108" s="408"/>
      <c r="AZ108" s="408">
        <v>0</v>
      </c>
      <c r="BA108" s="408"/>
      <c r="BB108" s="408"/>
      <c r="BC108" s="408"/>
      <c r="BD108" s="408"/>
      <c r="BE108" s="408"/>
      <c r="BF108" s="408"/>
      <c r="BG108" s="408"/>
      <c r="BH108" s="408"/>
      <c r="BI108" s="408">
        <v>0</v>
      </c>
      <c r="BJ108" s="408">
        <v>0</v>
      </c>
      <c r="BK108" s="408">
        <v>35.81</v>
      </c>
      <c r="BL108" s="408">
        <v>2</v>
      </c>
      <c r="BM108" s="408"/>
      <c r="BN108" s="408"/>
      <c r="BO108" s="408"/>
      <c r="BP108" s="408"/>
      <c r="BQ108" s="408"/>
      <c r="BR108" s="408"/>
      <c r="BS108" s="408"/>
      <c r="BT108" s="408"/>
      <c r="BU108" s="408"/>
      <c r="BV108" s="408"/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/>
      <c r="CJ108" s="408">
        <v>-0.03</v>
      </c>
      <c r="CK108" s="408"/>
      <c r="CL108" s="408"/>
      <c r="CM108" s="408"/>
      <c r="CN108" s="408"/>
      <c r="CO108" s="408">
        <v>0</v>
      </c>
      <c r="CP108" s="408">
        <v>0</v>
      </c>
      <c r="CQ108" s="408">
        <v>30</v>
      </c>
      <c r="CR108" s="408"/>
      <c r="CS108" s="408"/>
      <c r="CT108" s="408"/>
      <c r="CU108" s="408"/>
      <c r="CV108" s="408"/>
      <c r="CW108" s="408"/>
      <c r="CX108" s="408"/>
      <c r="CY108" s="408"/>
      <c r="CZ108" s="408"/>
      <c r="DA108" s="408"/>
      <c r="DB108" s="408"/>
      <c r="DC108" s="408"/>
      <c r="DD108" s="408"/>
      <c r="DE108" s="408"/>
      <c r="DF108" s="408"/>
      <c r="DG108" s="408"/>
      <c r="DH108" s="408"/>
      <c r="DI108" s="408"/>
      <c r="DJ108" s="408"/>
      <c r="DK108" s="408">
        <v>0</v>
      </c>
      <c r="DL108" s="408"/>
      <c r="DM108" s="408"/>
      <c r="DN108" s="408"/>
      <c r="DO108" s="408"/>
      <c r="DP108" s="408"/>
      <c r="DQ108" s="408"/>
      <c r="DR108" s="408"/>
      <c r="DS108" s="408"/>
      <c r="DT108" s="408"/>
      <c r="DU108" s="408"/>
      <c r="DV108" s="408"/>
      <c r="DW108" s="408"/>
      <c r="DX108" s="408"/>
      <c r="DY108" s="408"/>
      <c r="DZ108" s="408"/>
      <c r="EA108" s="408"/>
      <c r="EB108" s="408"/>
      <c r="EC108" s="408"/>
      <c r="ED108" s="408"/>
      <c r="EE108" s="408"/>
      <c r="EF108" s="408"/>
      <c r="EG108" s="408"/>
      <c r="EH108" s="408"/>
      <c r="EI108" s="408"/>
      <c r="EJ108" s="408"/>
      <c r="EK108" s="408"/>
      <c r="EL108" s="408"/>
      <c r="EM108" s="408"/>
      <c r="EN108" s="408"/>
      <c r="EO108" s="408"/>
      <c r="EP108" s="408"/>
      <c r="EQ108" s="408"/>
      <c r="ER108" s="408"/>
      <c r="ES108" s="408"/>
      <c r="ET108" s="408"/>
      <c r="EU108" s="408"/>
      <c r="EV108" s="408">
        <v>265</v>
      </c>
      <c r="EW108" s="408"/>
      <c r="EX108" s="408"/>
      <c r="EY108" s="408"/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1" customFormat="1">
      <c r="A109" s="408">
        <v>115</v>
      </c>
      <c r="B109" s="408" t="s">
        <v>1031</v>
      </c>
      <c r="C109" s="408" t="s">
        <v>2227</v>
      </c>
      <c r="D109" s="408" t="s">
        <v>1952</v>
      </c>
      <c r="E109" s="408" t="s">
        <v>965</v>
      </c>
      <c r="F109" s="408" t="s">
        <v>1317</v>
      </c>
      <c r="G109" s="408" t="s">
        <v>1317</v>
      </c>
      <c r="H109" s="408" t="s">
        <v>1317</v>
      </c>
      <c r="I109" s="408" t="s">
        <v>1317</v>
      </c>
      <c r="J109" s="408" t="s">
        <v>2228</v>
      </c>
      <c r="K109" s="828">
        <v>44440</v>
      </c>
      <c r="L109" s="408">
        <v>0</v>
      </c>
      <c r="M109" s="408">
        <v>0</v>
      </c>
      <c r="N109" s="408">
        <v>53.484000000000002</v>
      </c>
      <c r="O109" s="408">
        <v>53.484000000000002</v>
      </c>
      <c r="P109" s="408">
        <v>53.484000000000002</v>
      </c>
      <c r="Q109" s="408">
        <v>53.484000000000002</v>
      </c>
      <c r="R109" s="408"/>
      <c r="S109" s="408">
        <v>739.04</v>
      </c>
      <c r="T109" s="408">
        <v>252.22</v>
      </c>
      <c r="U109" s="408"/>
      <c r="V109" s="408">
        <v>53016.54984</v>
      </c>
      <c r="W109" s="408">
        <v>53016.54984</v>
      </c>
      <c r="X109" s="408">
        <v>36260.547480000001</v>
      </c>
      <c r="Y109" s="408">
        <v>0</v>
      </c>
      <c r="Z109" s="408">
        <v>3308.154228846252</v>
      </c>
      <c r="AA109" s="408">
        <v>0</v>
      </c>
      <c r="AB109" s="408">
        <v>0</v>
      </c>
      <c r="AC109" s="408">
        <v>0</v>
      </c>
      <c r="AD109" s="408">
        <v>6605.1446166542328</v>
      </c>
      <c r="AE109" s="408">
        <v>27115.733893542947</v>
      </c>
      <c r="AF109" s="408">
        <v>13489.882495737676</v>
      </c>
      <c r="AG109" s="408">
        <v>0</v>
      </c>
      <c r="AH109" s="408">
        <v>0</v>
      </c>
      <c r="AI109" s="408">
        <v>0</v>
      </c>
      <c r="AJ109" s="408">
        <v>0</v>
      </c>
      <c r="AK109" s="408">
        <v>0</v>
      </c>
      <c r="AL109" s="408">
        <v>511.36208487701703</v>
      </c>
      <c r="AM109" s="408"/>
      <c r="AN109" s="408">
        <v>125.32897906967105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1860.9355579765138</v>
      </c>
      <c r="BH109" s="408">
        <v>0</v>
      </c>
      <c r="BI109" s="408">
        <v>0</v>
      </c>
      <c r="BJ109" s="408">
        <v>0</v>
      </c>
      <c r="BK109" s="408">
        <v>9041.7999999999993</v>
      </c>
      <c r="BL109" s="408">
        <v>17</v>
      </c>
      <c r="BM109" s="408"/>
      <c r="BN109" s="408"/>
      <c r="BO109" s="408"/>
      <c r="BP109" s="408"/>
      <c r="BQ109" s="408"/>
      <c r="BR109" s="408"/>
      <c r="BS109" s="408"/>
      <c r="BT109" s="408"/>
      <c r="BU109" s="408"/>
      <c r="BV109" s="408">
        <v>15350.818053714191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36257.835599999999</v>
      </c>
      <c r="CJ109" s="408">
        <v>-16758.744240000007</v>
      </c>
      <c r="CK109" s="408"/>
      <c r="CL109" s="408"/>
      <c r="CM109" s="408"/>
      <c r="CN109" s="408"/>
      <c r="CO109" s="408">
        <v>-16756.002359999999</v>
      </c>
      <c r="CP109" s="408">
        <v>0</v>
      </c>
      <c r="CQ109" s="408">
        <v>30</v>
      </c>
      <c r="CR109" s="408">
        <v>-130.08362060464424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-16.975803326603454</v>
      </c>
      <c r="DA109" s="408">
        <v>0</v>
      </c>
      <c r="DB109" s="408">
        <v>0</v>
      </c>
      <c r="DC109" s="408">
        <v>-1.8911960069090128E-6</v>
      </c>
      <c r="DD109" s="408">
        <v>0</v>
      </c>
      <c r="DE109" s="408">
        <v>0</v>
      </c>
      <c r="DF109" s="408">
        <v>0</v>
      </c>
      <c r="DG109" s="408">
        <v>-2.6088969207194168E-7</v>
      </c>
      <c r="DH109" s="408">
        <v>0</v>
      </c>
      <c r="DI109" s="408">
        <v>-96.191495060665602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-12.846496641279771</v>
      </c>
      <c r="DP109" s="408">
        <v>-4.0698234240043405</v>
      </c>
      <c r="DQ109" s="408">
        <v>0</v>
      </c>
      <c r="DR109" s="408">
        <v>0</v>
      </c>
      <c r="DS109" s="408"/>
      <c r="DT109" s="408"/>
      <c r="DU109" s="408"/>
      <c r="DV109" s="408">
        <v>27115.733893542947</v>
      </c>
      <c r="DW109" s="408">
        <v>0</v>
      </c>
      <c r="DX109" s="408">
        <v>0</v>
      </c>
      <c r="DY109" s="408">
        <v>-16756.002359999999</v>
      </c>
      <c r="DZ109" s="408">
        <v>0</v>
      </c>
      <c r="EA109" s="408">
        <v>0</v>
      </c>
      <c r="EB109" s="408">
        <v>0</v>
      </c>
      <c r="EC109" s="408">
        <v>-16625.879961254421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265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1" customFormat="1">
      <c r="A110" s="408">
        <v>116</v>
      </c>
      <c r="B110" s="408" t="s">
        <v>2230</v>
      </c>
      <c r="C110" s="408" t="s">
        <v>2227</v>
      </c>
      <c r="D110" s="408" t="s">
        <v>1952</v>
      </c>
      <c r="E110" s="408" t="s">
        <v>965</v>
      </c>
      <c r="F110" s="408" t="s">
        <v>1317</v>
      </c>
      <c r="G110" s="408" t="s">
        <v>1317</v>
      </c>
      <c r="H110" s="408" t="s">
        <v>1317</v>
      </c>
      <c r="I110" s="408" t="s">
        <v>1317</v>
      </c>
      <c r="J110" s="408" t="s">
        <v>2228</v>
      </c>
      <c r="K110" s="828">
        <v>44440</v>
      </c>
      <c r="L110" s="408">
        <v>0</v>
      </c>
      <c r="M110" s="408">
        <v>0</v>
      </c>
      <c r="N110" s="408">
        <v>15.333</v>
      </c>
      <c r="O110" s="408">
        <v>15.333</v>
      </c>
      <c r="P110" s="408">
        <v>15.333</v>
      </c>
      <c r="Q110" s="408">
        <v>15.333</v>
      </c>
      <c r="R110" s="408"/>
      <c r="S110" s="408">
        <v>739.04</v>
      </c>
      <c r="T110" s="408">
        <v>252.22</v>
      </c>
      <c r="U110" s="408"/>
      <c r="V110" s="408">
        <v>15198.989579999999</v>
      </c>
      <c r="W110" s="408">
        <v>15198.989579999999</v>
      </c>
      <c r="X110" s="408">
        <v>10395.31401</v>
      </c>
      <c r="Y110" s="408">
        <v>0</v>
      </c>
      <c r="Z110" s="408">
        <v>948.39445050668576</v>
      </c>
      <c r="AA110" s="408">
        <v>0</v>
      </c>
      <c r="AB110" s="408">
        <v>0</v>
      </c>
      <c r="AC110" s="408">
        <v>0</v>
      </c>
      <c r="AD110" s="408">
        <v>1893.5884078819711</v>
      </c>
      <c r="AE110" s="408">
        <v>7773.6434782307606</v>
      </c>
      <c r="AF110" s="408">
        <v>3867.3316937242125</v>
      </c>
      <c r="AG110" s="408">
        <v>0</v>
      </c>
      <c r="AH110" s="408">
        <v>0</v>
      </c>
      <c r="AI110" s="408">
        <v>0</v>
      </c>
      <c r="AJ110" s="408">
        <v>0</v>
      </c>
      <c r="AK110" s="408">
        <v>0</v>
      </c>
      <c r="AL110" s="408">
        <v>146.59926047826082</v>
      </c>
      <c r="AM110" s="408"/>
      <c r="AN110" s="408">
        <v>35.92979650129508</v>
      </c>
      <c r="AO110" s="408">
        <v>0</v>
      </c>
      <c r="AP110" s="408">
        <v>0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>
        <v>0</v>
      </c>
      <c r="BG110" s="408">
        <v>533.50020399472521</v>
      </c>
      <c r="BH110" s="408">
        <v>0</v>
      </c>
      <c r="BI110" s="408">
        <v>0</v>
      </c>
      <c r="BJ110" s="408">
        <v>0</v>
      </c>
      <c r="BK110" s="408">
        <v>3632.69</v>
      </c>
      <c r="BL110" s="408">
        <v>11</v>
      </c>
      <c r="BM110" s="408"/>
      <c r="BN110" s="408"/>
      <c r="BO110" s="408"/>
      <c r="BP110" s="408"/>
      <c r="BQ110" s="408"/>
      <c r="BR110" s="408"/>
      <c r="BS110" s="408"/>
      <c r="BT110" s="408"/>
      <c r="BU110" s="408"/>
      <c r="BV110" s="408">
        <v>4400.8318977189374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10393.2801</v>
      </c>
      <c r="CJ110" s="408">
        <v>-4805.7394800000002</v>
      </c>
      <c r="CK110" s="408"/>
      <c r="CL110" s="408"/>
      <c r="CM110" s="408"/>
      <c r="CN110" s="408"/>
      <c r="CO110" s="408">
        <v>-4803.6755699999994</v>
      </c>
      <c r="CP110" s="408">
        <v>0</v>
      </c>
      <c r="CQ110" s="408">
        <v>30</v>
      </c>
      <c r="CR110" s="408">
        <v>-37.292875527837168</v>
      </c>
      <c r="CS110" s="408">
        <v>0</v>
      </c>
      <c r="CT110" s="408">
        <v>0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-4.8666889613118656</v>
      </c>
      <c r="DA110" s="408">
        <v>0</v>
      </c>
      <c r="DB110" s="408">
        <v>0</v>
      </c>
      <c r="DC110" s="408">
        <v>-5.4217525757849216E-7</v>
      </c>
      <c r="DD110" s="408">
        <v>0</v>
      </c>
      <c r="DE110" s="408">
        <v>0</v>
      </c>
      <c r="DF110" s="408">
        <v>0</v>
      </c>
      <c r="DG110" s="408">
        <v>-7.4792865234485362E-8</v>
      </c>
      <c r="DH110" s="408">
        <v>0</v>
      </c>
      <c r="DI110" s="408">
        <v>-27.57654987968715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-3.682883348304955</v>
      </c>
      <c r="DP110" s="408">
        <v>-1.166752721566418</v>
      </c>
      <c r="DQ110" s="408">
        <v>0</v>
      </c>
      <c r="DR110" s="408">
        <v>0</v>
      </c>
      <c r="DS110" s="408"/>
      <c r="DT110" s="408"/>
      <c r="DU110" s="408"/>
      <c r="DV110" s="408">
        <v>7773.6434782307606</v>
      </c>
      <c r="DW110" s="408">
        <v>0</v>
      </c>
      <c r="DX110" s="408">
        <v>0</v>
      </c>
      <c r="DY110" s="408">
        <v>-4803.6755699999994</v>
      </c>
      <c r="DZ110" s="408">
        <v>0</v>
      </c>
      <c r="EA110" s="408">
        <v>0</v>
      </c>
      <c r="EB110" s="408">
        <v>0</v>
      </c>
      <c r="EC110" s="408">
        <v>-4766.3715774047196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265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1" customFormat="1">
      <c r="A111" s="408">
        <v>117</v>
      </c>
      <c r="B111" s="408" t="s">
        <v>1031</v>
      </c>
      <c r="C111" s="408" t="s">
        <v>2235</v>
      </c>
      <c r="D111" s="408" t="s">
        <v>596</v>
      </c>
      <c r="E111" s="408" t="s">
        <v>965</v>
      </c>
      <c r="F111" s="408" t="s">
        <v>1317</v>
      </c>
      <c r="G111" s="408" t="s">
        <v>1317</v>
      </c>
      <c r="H111" s="408" t="s">
        <v>1317</v>
      </c>
      <c r="I111" s="408" t="s">
        <v>968</v>
      </c>
      <c r="J111" s="408" t="s">
        <v>2228</v>
      </c>
      <c r="K111" s="828">
        <v>44440</v>
      </c>
      <c r="L111" s="408">
        <v>0</v>
      </c>
      <c r="M111" s="408">
        <v>0</v>
      </c>
      <c r="N111" s="408">
        <v>21.138000000000002</v>
      </c>
      <c r="O111" s="408">
        <v>21.138000000000002</v>
      </c>
      <c r="P111" s="408">
        <v>21.138000000000002</v>
      </c>
      <c r="Q111" s="408">
        <v>21.138000000000002</v>
      </c>
      <c r="R111" s="408"/>
      <c r="S111" s="408">
        <v>2641.06</v>
      </c>
      <c r="T111" s="408">
        <v>252.22</v>
      </c>
      <c r="U111" s="408"/>
      <c r="V111" s="408">
        <v>61158.15264</v>
      </c>
      <c r="W111" s="408">
        <v>61158.15264</v>
      </c>
      <c r="X111" s="408">
        <v>36301.132919999996</v>
      </c>
      <c r="Y111" s="408">
        <v>0</v>
      </c>
      <c r="Z111" s="408">
        <v>1137.4832614938355</v>
      </c>
      <c r="AA111" s="408">
        <v>0</v>
      </c>
      <c r="AB111" s="408">
        <v>0</v>
      </c>
      <c r="AC111" s="408">
        <v>0</v>
      </c>
      <c r="AD111" s="408">
        <v>13692.498646018392</v>
      </c>
      <c r="AE111" s="408">
        <v>40417.765621721672</v>
      </c>
      <c r="AF111" s="408">
        <v>5331.48485892796</v>
      </c>
      <c r="AG111" s="408">
        <v>0</v>
      </c>
      <c r="AH111" s="408">
        <v>0</v>
      </c>
      <c r="AI111" s="408">
        <v>0</v>
      </c>
      <c r="AJ111" s="408">
        <v>0</v>
      </c>
      <c r="AK111" s="408">
        <v>0</v>
      </c>
      <c r="AL111" s="408">
        <v>202.1010348913766</v>
      </c>
      <c r="AM111" s="408"/>
      <c r="AN111" s="408">
        <v>50.856043937412124</v>
      </c>
      <c r="AO111" s="408">
        <v>0</v>
      </c>
      <c r="AP111" s="408">
        <v>0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>
        <v>0</v>
      </c>
      <c r="BG111" s="408">
        <v>326.00801881677756</v>
      </c>
      <c r="BH111" s="408">
        <v>0</v>
      </c>
      <c r="BI111" s="408">
        <v>0</v>
      </c>
      <c r="BJ111" s="408">
        <v>0</v>
      </c>
      <c r="BK111" s="408">
        <v>0</v>
      </c>
      <c r="BL111" s="408">
        <v>0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>
        <v>5657.4928777447376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36304.567600000002</v>
      </c>
      <c r="CJ111" s="408">
        <v>-24853.615040000004</v>
      </c>
      <c r="CK111" s="408"/>
      <c r="CL111" s="408"/>
      <c r="CM111" s="408"/>
      <c r="CN111" s="408"/>
      <c r="CO111" s="408">
        <v>-24857.019720000004</v>
      </c>
      <c r="CP111" s="408">
        <v>0</v>
      </c>
      <c r="CQ111" s="408">
        <v>30</v>
      </c>
      <c r="CR111" s="408">
        <v>-74.994290030710545</v>
      </c>
      <c r="CS111" s="408">
        <v>0</v>
      </c>
      <c r="CT111" s="408">
        <v>0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-35.190927308203754</v>
      </c>
      <c r="DA111" s="408">
        <v>0</v>
      </c>
      <c r="DB111" s="408">
        <v>0</v>
      </c>
      <c r="DC111" s="408">
        <v>-7.4744002631632611E-7</v>
      </c>
      <c r="DD111" s="408">
        <v>0</v>
      </c>
      <c r="DE111" s="408">
        <v>0</v>
      </c>
      <c r="DF111" s="408">
        <v>0</v>
      </c>
      <c r="DG111" s="408">
        <v>-4.5704553031100659E-8</v>
      </c>
      <c r="DH111" s="408">
        <v>0</v>
      </c>
      <c r="DI111" s="408">
        <v>-33.074702072682157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-5.0772052577101761</v>
      </c>
      <c r="DP111" s="408">
        <v>-1.6514545989689537</v>
      </c>
      <c r="DQ111" s="408">
        <v>0</v>
      </c>
      <c r="DR111" s="408">
        <v>0</v>
      </c>
      <c r="DS111" s="408"/>
      <c r="DT111" s="408"/>
      <c r="DU111" s="408"/>
      <c r="DV111" s="408">
        <v>40417.765621721672</v>
      </c>
      <c r="DW111" s="408">
        <v>0</v>
      </c>
      <c r="DX111" s="408">
        <v>0</v>
      </c>
      <c r="DY111" s="408">
        <v>-24857.019720000004</v>
      </c>
      <c r="DZ111" s="408">
        <v>0</v>
      </c>
      <c r="EA111" s="408">
        <v>0</v>
      </c>
      <c r="EB111" s="408">
        <v>0</v>
      </c>
      <c r="EC111" s="408">
        <v>-24781.955825613051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265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1" customFormat="1">
      <c r="A112" s="408">
        <v>118</v>
      </c>
      <c r="B112" s="408" t="s">
        <v>1031</v>
      </c>
      <c r="C112" s="408" t="s">
        <v>2235</v>
      </c>
      <c r="D112" s="408" t="s">
        <v>596</v>
      </c>
      <c r="E112" s="408" t="s">
        <v>965</v>
      </c>
      <c r="F112" s="408" t="s">
        <v>1317</v>
      </c>
      <c r="G112" s="408" t="s">
        <v>1317</v>
      </c>
      <c r="H112" s="408" t="s">
        <v>1317</v>
      </c>
      <c r="I112" s="408" t="s">
        <v>2236</v>
      </c>
      <c r="J112" s="408" t="s">
        <v>2228</v>
      </c>
      <c r="K112" s="828">
        <v>44440</v>
      </c>
      <c r="L112" s="408">
        <v>0</v>
      </c>
      <c r="M112" s="408">
        <v>0</v>
      </c>
      <c r="N112" s="408">
        <v>379.90899999999999</v>
      </c>
      <c r="O112" s="408">
        <v>379.90899999999999</v>
      </c>
      <c r="P112" s="408">
        <v>379.90899999999999</v>
      </c>
      <c r="Q112" s="408">
        <v>379.90899999999999</v>
      </c>
      <c r="R112" s="408"/>
      <c r="S112" s="408">
        <v>81.2</v>
      </c>
      <c r="T112" s="408">
        <v>252.22</v>
      </c>
      <c r="U112" s="408"/>
      <c r="V112" s="408">
        <v>126669.25878</v>
      </c>
      <c r="W112" s="408">
        <v>126669.25878</v>
      </c>
      <c r="X112" s="408">
        <v>125955.02986</v>
      </c>
      <c r="Y112" s="408">
        <v>0</v>
      </c>
      <c r="Z112" s="408">
        <v>20443.75666528818</v>
      </c>
      <c r="AA112" s="408">
        <v>0</v>
      </c>
      <c r="AB112" s="408">
        <v>0</v>
      </c>
      <c r="AC112" s="408">
        <v>0</v>
      </c>
      <c r="AD112" s="408">
        <v>0</v>
      </c>
      <c r="AE112" s="408">
        <v>0</v>
      </c>
      <c r="AF112" s="408">
        <v>95821.699369404014</v>
      </c>
      <c r="AG112" s="408">
        <v>0</v>
      </c>
      <c r="AH112" s="408">
        <v>0</v>
      </c>
      <c r="AI112" s="408">
        <v>0</v>
      </c>
      <c r="AJ112" s="408">
        <v>0</v>
      </c>
      <c r="AK112" s="408">
        <v>0</v>
      </c>
      <c r="AL112" s="408">
        <v>3632.3210362639788</v>
      </c>
      <c r="AM112" s="408"/>
      <c r="AN112" s="408">
        <v>914.02539484427575</v>
      </c>
      <c r="AO112" s="408">
        <v>0</v>
      </c>
      <c r="AP112" s="408">
        <v>0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>
        <v>0</v>
      </c>
      <c r="BG112" s="408">
        <v>5859.2762049703442</v>
      </c>
      <c r="BH112" s="408">
        <v>0</v>
      </c>
      <c r="BI112" s="408">
        <v>0</v>
      </c>
      <c r="BJ112" s="408">
        <v>0</v>
      </c>
      <c r="BK112" s="408">
        <v>0</v>
      </c>
      <c r="BL112" s="408">
        <v>0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>
        <v>101680.97557437436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125955.36139999999</v>
      </c>
      <c r="CJ112" s="408">
        <v>-713.92737999999372</v>
      </c>
      <c r="CK112" s="408"/>
      <c r="CL112" s="408"/>
      <c r="CM112" s="408"/>
      <c r="CN112" s="408"/>
      <c r="CO112" s="408">
        <v>-714.22892000000365</v>
      </c>
      <c r="CP112" s="408">
        <v>0</v>
      </c>
      <c r="CQ112" s="408">
        <v>30</v>
      </c>
      <c r="CR112" s="408">
        <v>-715.37779016673448</v>
      </c>
      <c r="CS112" s="408">
        <v>0</v>
      </c>
      <c r="CT112" s="408">
        <v>0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0</v>
      </c>
      <c r="DA112" s="408">
        <v>0</v>
      </c>
      <c r="DB112" s="408">
        <v>0</v>
      </c>
      <c r="DC112" s="408">
        <v>-1.3433585991151631E-5</v>
      </c>
      <c r="DD112" s="408">
        <v>0</v>
      </c>
      <c r="DE112" s="408">
        <v>0</v>
      </c>
      <c r="DF112" s="408">
        <v>0</v>
      </c>
      <c r="DG112" s="408">
        <v>-8.2143924373667687E-7</v>
      </c>
      <c r="DH112" s="408">
        <v>0</v>
      </c>
      <c r="DI112" s="408">
        <v>-594.44493280966344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-91.251583510806086</v>
      </c>
      <c r="DP112" s="408">
        <v>-29.68125959124302</v>
      </c>
      <c r="DQ112" s="408">
        <v>0</v>
      </c>
      <c r="DR112" s="408">
        <v>0</v>
      </c>
      <c r="DS112" s="408"/>
      <c r="DT112" s="408"/>
      <c r="DU112" s="408"/>
      <c r="DV112" s="408">
        <v>0</v>
      </c>
      <c r="DW112" s="408">
        <v>0</v>
      </c>
      <c r="DX112" s="408">
        <v>0</v>
      </c>
      <c r="DY112" s="408">
        <v>-714.22892000000502</v>
      </c>
      <c r="DZ112" s="408">
        <v>0</v>
      </c>
      <c r="EA112" s="408">
        <v>0</v>
      </c>
      <c r="EB112" s="408">
        <v>0</v>
      </c>
      <c r="EC112" s="408">
        <v>0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0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265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1" customFormat="1">
      <c r="A113" s="408">
        <v>119</v>
      </c>
      <c r="B113" s="408" t="s">
        <v>1031</v>
      </c>
      <c r="C113" s="408" t="s">
        <v>2235</v>
      </c>
      <c r="D113" s="408" t="s">
        <v>596</v>
      </c>
      <c r="E113" s="408" t="s">
        <v>965</v>
      </c>
      <c r="F113" s="408" t="s">
        <v>1317</v>
      </c>
      <c r="G113" s="408" t="s">
        <v>1317</v>
      </c>
      <c r="H113" s="408" t="s">
        <v>1317</v>
      </c>
      <c r="I113" s="408" t="s">
        <v>1317</v>
      </c>
      <c r="J113" s="408" t="s">
        <v>2228</v>
      </c>
      <c r="K113" s="828">
        <v>44440</v>
      </c>
      <c r="L113" s="408">
        <v>1713</v>
      </c>
      <c r="M113" s="408">
        <v>1713</v>
      </c>
      <c r="N113" s="408">
        <v>0</v>
      </c>
      <c r="O113" s="408">
        <v>0</v>
      </c>
      <c r="P113" s="408">
        <v>0</v>
      </c>
      <c r="Q113" s="408">
        <v>0</v>
      </c>
      <c r="R113" s="408">
        <v>74.44</v>
      </c>
      <c r="S113" s="408"/>
      <c r="T113" s="408"/>
      <c r="U113" s="408">
        <v>127515.72</v>
      </c>
      <c r="V113" s="408"/>
      <c r="W113" s="408">
        <v>127515.72</v>
      </c>
      <c r="X113" s="408">
        <v>77804.460000000006</v>
      </c>
      <c r="Y113" s="408">
        <v>0</v>
      </c>
      <c r="Z113" s="408">
        <v>0</v>
      </c>
      <c r="AA113" s="408">
        <v>0</v>
      </c>
      <c r="AB113" s="408">
        <v>0</v>
      </c>
      <c r="AC113" s="408">
        <v>0</v>
      </c>
      <c r="AD113" s="408">
        <v>46622.879504663935</v>
      </c>
      <c r="AE113" s="408">
        <v>80890.494481247253</v>
      </c>
      <c r="AF113" s="408"/>
      <c r="AG113" s="408"/>
      <c r="AH113" s="408"/>
      <c r="AI113" s="408">
        <v>0</v>
      </c>
      <c r="AJ113" s="408">
        <v>0</v>
      </c>
      <c r="AK113" s="408">
        <v>0</v>
      </c>
      <c r="AL113" s="408">
        <v>0</v>
      </c>
      <c r="AM113" s="408"/>
      <c r="AN113" s="408">
        <v>0</v>
      </c>
      <c r="AO113" s="408">
        <v>0</v>
      </c>
      <c r="AP113" s="408">
        <v>0</v>
      </c>
      <c r="AQ113" s="408">
        <v>0</v>
      </c>
      <c r="AR113" s="408">
        <v>0</v>
      </c>
      <c r="AS113" s="408"/>
      <c r="AT113" s="408"/>
      <c r="AU113" s="408">
        <v>0</v>
      </c>
      <c r="AV113" s="408">
        <v>0</v>
      </c>
      <c r="AW113" s="408">
        <v>0</v>
      </c>
      <c r="AX113" s="408"/>
      <c r="AY113" s="408"/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/>
      <c r="BG113" s="408">
        <v>0</v>
      </c>
      <c r="BH113" s="408">
        <v>0</v>
      </c>
      <c r="BI113" s="408">
        <v>0</v>
      </c>
      <c r="BJ113" s="408">
        <v>0</v>
      </c>
      <c r="BK113" s="408">
        <v>61668.21</v>
      </c>
      <c r="BL113" s="408">
        <v>9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0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77804.460000000006</v>
      </c>
      <c r="CJ113" s="408">
        <v>-49711.289999999979</v>
      </c>
      <c r="CK113" s="408"/>
      <c r="CL113" s="408"/>
      <c r="CM113" s="408"/>
      <c r="CN113" s="408"/>
      <c r="CO113" s="408">
        <v>-49711.259999999995</v>
      </c>
      <c r="CP113" s="408">
        <v>0</v>
      </c>
      <c r="CQ113" s="408">
        <v>30</v>
      </c>
      <c r="CR113" s="408">
        <v>-119.82490602798498</v>
      </c>
      <c r="CS113" s="408">
        <v>0</v>
      </c>
      <c r="CT113" s="408">
        <v>0</v>
      </c>
      <c r="CU113" s="408">
        <v>0</v>
      </c>
      <c r="CV113" s="408">
        <v>0</v>
      </c>
      <c r="CW113" s="408"/>
      <c r="CX113" s="408"/>
      <c r="CY113" s="408"/>
      <c r="CZ113" s="408">
        <v>-119.82490602798498</v>
      </c>
      <c r="DA113" s="408">
        <v>0</v>
      </c>
      <c r="DB113" s="408">
        <v>0</v>
      </c>
      <c r="DC113" s="408"/>
      <c r="DD113" s="408"/>
      <c r="DE113" s="408">
        <v>0</v>
      </c>
      <c r="DF113" s="408">
        <v>0</v>
      </c>
      <c r="DG113" s="408">
        <v>0</v>
      </c>
      <c r="DH113" s="408">
        <v>0</v>
      </c>
      <c r="DI113" s="408">
        <v>0</v>
      </c>
      <c r="DJ113" s="408"/>
      <c r="DK113" s="408">
        <v>0</v>
      </c>
      <c r="DL113" s="408">
        <v>0</v>
      </c>
      <c r="DM113" s="408"/>
      <c r="DN113" s="408">
        <v>0</v>
      </c>
      <c r="DO113" s="408">
        <v>0</v>
      </c>
      <c r="DP113" s="408">
        <v>0</v>
      </c>
      <c r="DQ113" s="408">
        <v>0</v>
      </c>
      <c r="DR113" s="408">
        <v>0</v>
      </c>
      <c r="DS113" s="408"/>
      <c r="DT113" s="408"/>
      <c r="DU113" s="408">
        <v>80890.494481247253</v>
      </c>
      <c r="DV113" s="408"/>
      <c r="DW113" s="408">
        <v>0</v>
      </c>
      <c r="DX113" s="408">
        <v>0</v>
      </c>
      <c r="DY113" s="408">
        <v>-49711.259999999995</v>
      </c>
      <c r="DZ113" s="408"/>
      <c r="EA113" s="408">
        <v>0</v>
      </c>
      <c r="EB113" s="408"/>
      <c r="EC113" s="408">
        <v>-49597.612092364798</v>
      </c>
      <c r="ED113" s="408"/>
      <c r="EE113" s="408">
        <v>0</v>
      </c>
      <c r="EF113" s="408">
        <v>0</v>
      </c>
      <c r="EG113" s="408"/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/>
      <c r="EN113" s="408"/>
      <c r="EO113" s="408">
        <v>0</v>
      </c>
      <c r="EP113" s="408">
        <v>0</v>
      </c>
      <c r="EQ113" s="408"/>
      <c r="ER113" s="408">
        <v>0</v>
      </c>
      <c r="ES113" s="408"/>
      <c r="ET113" s="408">
        <v>0</v>
      </c>
      <c r="EU113" s="408"/>
      <c r="EV113" s="408">
        <v>265</v>
      </c>
      <c r="EW113" s="408"/>
      <c r="EX113" s="408"/>
      <c r="EY113" s="408"/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1" customFormat="1">
      <c r="A114" s="408">
        <v>120</v>
      </c>
      <c r="B114" s="408" t="s">
        <v>1031</v>
      </c>
      <c r="C114" s="408" t="s">
        <v>2227</v>
      </c>
      <c r="D114" s="408" t="s">
        <v>1952</v>
      </c>
      <c r="E114" s="408" t="s">
        <v>993</v>
      </c>
      <c r="F114" s="408" t="s">
        <v>1317</v>
      </c>
      <c r="G114" s="408" t="s">
        <v>1317</v>
      </c>
      <c r="H114" s="408" t="s">
        <v>1317</v>
      </c>
      <c r="I114" s="408" t="s">
        <v>1317</v>
      </c>
      <c r="J114" s="408" t="s">
        <v>2228</v>
      </c>
      <c r="K114" s="828">
        <v>44440</v>
      </c>
      <c r="L114" s="408">
        <v>0</v>
      </c>
      <c r="M114" s="408">
        <v>0</v>
      </c>
      <c r="N114" s="408">
        <v>360.21</v>
      </c>
      <c r="O114" s="408">
        <v>360.21</v>
      </c>
      <c r="P114" s="408">
        <v>360.21</v>
      </c>
      <c r="Q114" s="408">
        <v>360.21</v>
      </c>
      <c r="R114" s="408"/>
      <c r="S114" s="408">
        <v>739.04</v>
      </c>
      <c r="T114" s="408">
        <v>252.22</v>
      </c>
      <c r="U114" s="408"/>
      <c r="V114" s="408">
        <v>357061.76459999994</v>
      </c>
      <c r="W114" s="408">
        <v>357061.76459999994</v>
      </c>
      <c r="X114" s="408">
        <v>244211.57370000001</v>
      </c>
      <c r="Y114" s="408">
        <v>0</v>
      </c>
      <c r="Z114" s="408">
        <v>22280.125547317111</v>
      </c>
      <c r="AA114" s="408">
        <v>0</v>
      </c>
      <c r="AB114" s="408">
        <v>0</v>
      </c>
      <c r="AC114" s="408">
        <v>0</v>
      </c>
      <c r="AD114" s="408">
        <v>44485.063614632803</v>
      </c>
      <c r="AE114" s="408">
        <v>182622.06465098166</v>
      </c>
      <c r="AF114" s="408">
        <v>90853.163072875395</v>
      </c>
      <c r="AG114" s="408">
        <v>0</v>
      </c>
      <c r="AH114" s="408">
        <v>0</v>
      </c>
      <c r="AI114" s="408">
        <v>0</v>
      </c>
      <c r="AJ114" s="408">
        <v>0</v>
      </c>
      <c r="AK114" s="408">
        <v>0</v>
      </c>
      <c r="AL114" s="408">
        <v>3443.9783223683771</v>
      </c>
      <c r="AM114" s="408"/>
      <c r="AN114" s="408">
        <v>844.07956679915878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12533.236058236482</v>
      </c>
      <c r="BH114" s="408">
        <v>0</v>
      </c>
      <c r="BI114" s="408">
        <v>0</v>
      </c>
      <c r="BJ114" s="408">
        <v>0</v>
      </c>
      <c r="BK114" s="408">
        <v>122553.26</v>
      </c>
      <c r="BL114" s="408">
        <v>841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103386.39913111187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244211.57370000001</v>
      </c>
      <c r="CJ114" s="408">
        <v>-112850.22089999996</v>
      </c>
      <c r="CK114" s="408"/>
      <c r="CL114" s="408"/>
      <c r="CM114" s="408"/>
      <c r="CN114" s="408"/>
      <c r="CO114" s="408">
        <v>-112850.19089999999</v>
      </c>
      <c r="CP114" s="408">
        <v>0</v>
      </c>
      <c r="CQ114" s="408">
        <v>30</v>
      </c>
      <c r="CR114" s="408">
        <v>-876.10165615877486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-114.33053093028866</v>
      </c>
      <c r="DA114" s="408">
        <v>0</v>
      </c>
      <c r="DB114" s="408">
        <v>0</v>
      </c>
      <c r="DC114" s="408">
        <v>-1.2737029464915395E-5</v>
      </c>
      <c r="DD114" s="408">
        <v>0</v>
      </c>
      <c r="DE114" s="408">
        <v>0</v>
      </c>
      <c r="DF114" s="408">
        <v>0</v>
      </c>
      <c r="DG114" s="408">
        <v>-1.757069185259752E-6</v>
      </c>
      <c r="DH114" s="408">
        <v>0</v>
      </c>
      <c r="DI114" s="408">
        <v>-647.84119429740531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-86.520016362937895</v>
      </c>
      <c r="DP114" s="408">
        <v>-27.409900074052189</v>
      </c>
      <c r="DQ114" s="408">
        <v>0</v>
      </c>
      <c r="DR114" s="408">
        <v>0</v>
      </c>
      <c r="DS114" s="408"/>
      <c r="DT114" s="408"/>
      <c r="DU114" s="408"/>
      <c r="DV114" s="408">
        <v>182622.06465098166</v>
      </c>
      <c r="DW114" s="408">
        <v>0</v>
      </c>
      <c r="DX114" s="408">
        <v>0</v>
      </c>
      <c r="DY114" s="408">
        <v>-112850.19089999996</v>
      </c>
      <c r="DZ114" s="408">
        <v>0</v>
      </c>
      <c r="EA114" s="408">
        <v>0</v>
      </c>
      <c r="EB114" s="408">
        <v>0</v>
      </c>
      <c r="EC114" s="408">
        <v>-111973.82807649864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265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1" customFormat="1">
      <c r="A115" s="408">
        <v>121</v>
      </c>
      <c r="B115" s="408" t="s">
        <v>2230</v>
      </c>
      <c r="C115" s="408" t="s">
        <v>2227</v>
      </c>
      <c r="D115" s="408" t="s">
        <v>1952</v>
      </c>
      <c r="E115" s="408" t="s">
        <v>993</v>
      </c>
      <c r="F115" s="408" t="s">
        <v>1317</v>
      </c>
      <c r="G115" s="408" t="s">
        <v>1317</v>
      </c>
      <c r="H115" s="408" t="s">
        <v>1317</v>
      </c>
      <c r="I115" s="408" t="s">
        <v>1317</v>
      </c>
      <c r="J115" s="408" t="s">
        <v>2228</v>
      </c>
      <c r="K115" s="828">
        <v>44440</v>
      </c>
      <c r="L115" s="408">
        <v>0</v>
      </c>
      <c r="M115" s="408">
        <v>0</v>
      </c>
      <c r="N115" s="408">
        <v>59.561</v>
      </c>
      <c r="O115" s="408">
        <v>59.561</v>
      </c>
      <c r="P115" s="408">
        <v>59.561</v>
      </c>
      <c r="Q115" s="408">
        <v>59.561</v>
      </c>
      <c r="R115" s="408"/>
      <c r="S115" s="408">
        <v>739.04</v>
      </c>
      <c r="T115" s="408">
        <v>252.22</v>
      </c>
      <c r="U115" s="408"/>
      <c r="V115" s="408">
        <v>59040.436860000002</v>
      </c>
      <c r="W115" s="408">
        <v>59040.436860000002</v>
      </c>
      <c r="X115" s="408">
        <v>40380.571170000003</v>
      </c>
      <c r="Y115" s="408">
        <v>0</v>
      </c>
      <c r="Z115" s="408">
        <v>3684.0358616466906</v>
      </c>
      <c r="AA115" s="408">
        <v>0</v>
      </c>
      <c r="AB115" s="408">
        <v>0</v>
      </c>
      <c r="AC115" s="408">
        <v>0</v>
      </c>
      <c r="AD115" s="408">
        <v>7355.6394157606528</v>
      </c>
      <c r="AE115" s="408">
        <v>30196.698572158242</v>
      </c>
      <c r="AF115" s="408">
        <v>15022.640253695155</v>
      </c>
      <c r="AG115" s="408">
        <v>0</v>
      </c>
      <c r="AH115" s="408">
        <v>0</v>
      </c>
      <c r="AI115" s="408">
        <v>0</v>
      </c>
      <c r="AJ115" s="408">
        <v>0</v>
      </c>
      <c r="AK115" s="408">
        <v>0</v>
      </c>
      <c r="AL115" s="408">
        <v>569.46445922818054</v>
      </c>
      <c r="AM115" s="408"/>
      <c r="AN115" s="408">
        <v>139.569204292287</v>
      </c>
      <c r="AO115" s="408">
        <v>0</v>
      </c>
      <c r="AP115" s="408">
        <v>0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>
        <v>0</v>
      </c>
      <c r="BG115" s="408">
        <v>2072.3802028389637</v>
      </c>
      <c r="BH115" s="408">
        <v>0</v>
      </c>
      <c r="BI115" s="408">
        <v>0</v>
      </c>
      <c r="BJ115" s="408">
        <v>0</v>
      </c>
      <c r="BK115" s="408">
        <v>32832.22</v>
      </c>
      <c r="BL115" s="408">
        <v>112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17095.020456534119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40379.893200000006</v>
      </c>
      <c r="CJ115" s="408">
        <v>-18660.573660000002</v>
      </c>
      <c r="CK115" s="408"/>
      <c r="CL115" s="408"/>
      <c r="CM115" s="408"/>
      <c r="CN115" s="408"/>
      <c r="CO115" s="408">
        <v>-18659.865689999999</v>
      </c>
      <c r="CP115" s="408">
        <v>0</v>
      </c>
      <c r="CQ115" s="408">
        <v>30</v>
      </c>
      <c r="CR115" s="408">
        <v>-144.86408134830708</v>
      </c>
      <c r="CS115" s="408">
        <v>0</v>
      </c>
      <c r="CT115" s="408">
        <v>0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-18.904641050329701</v>
      </c>
      <c r="DA115" s="408">
        <v>0</v>
      </c>
      <c r="DB115" s="408">
        <v>0</v>
      </c>
      <c r="DC115" s="408">
        <v>-2.1060786821180955E-6</v>
      </c>
      <c r="DD115" s="408">
        <v>0</v>
      </c>
      <c r="DE115" s="408">
        <v>0</v>
      </c>
      <c r="DF115" s="408">
        <v>0</v>
      </c>
      <c r="DG115" s="408">
        <v>-2.9053262551315129E-7</v>
      </c>
      <c r="DH115" s="408">
        <v>0</v>
      </c>
      <c r="DI115" s="408">
        <v>-107.12103876501942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-14.3061511190499</v>
      </c>
      <c r="DP115" s="408">
        <v>-4.5322480172972064</v>
      </c>
      <c r="DQ115" s="408">
        <v>0</v>
      </c>
      <c r="DR115" s="408">
        <v>0</v>
      </c>
      <c r="DS115" s="408"/>
      <c r="DT115" s="408"/>
      <c r="DU115" s="408"/>
      <c r="DV115" s="408">
        <v>30196.698572158242</v>
      </c>
      <c r="DW115" s="408">
        <v>0</v>
      </c>
      <c r="DX115" s="408">
        <v>0</v>
      </c>
      <c r="DY115" s="408">
        <v>-18659.865689999999</v>
      </c>
      <c r="DZ115" s="408">
        <v>0</v>
      </c>
      <c r="EA115" s="408">
        <v>0</v>
      </c>
      <c r="EB115" s="408">
        <v>0</v>
      </c>
      <c r="EC115" s="408">
        <v>-18514.95842443113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265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1" customFormat="1">
      <c r="A116" s="408">
        <v>122</v>
      </c>
      <c r="B116" s="408" t="s">
        <v>1031</v>
      </c>
      <c r="C116" s="408" t="s">
        <v>2235</v>
      </c>
      <c r="D116" s="408" t="s">
        <v>596</v>
      </c>
      <c r="E116" s="408" t="s">
        <v>993</v>
      </c>
      <c r="F116" s="408" t="s">
        <v>1317</v>
      </c>
      <c r="G116" s="408" t="s">
        <v>1317</v>
      </c>
      <c r="H116" s="408" t="s">
        <v>1317</v>
      </c>
      <c r="I116" s="408" t="s">
        <v>968</v>
      </c>
      <c r="J116" s="408" t="s">
        <v>2228</v>
      </c>
      <c r="K116" s="828">
        <v>44440</v>
      </c>
      <c r="L116" s="408">
        <v>0</v>
      </c>
      <c r="M116" s="408">
        <v>0</v>
      </c>
      <c r="N116" s="408">
        <v>7.7350000000000003</v>
      </c>
      <c r="O116" s="408">
        <v>7.7350000000000003</v>
      </c>
      <c r="P116" s="408">
        <v>7.7350000000000003</v>
      </c>
      <c r="Q116" s="408">
        <v>7.7350000000000003</v>
      </c>
      <c r="R116" s="408"/>
      <c r="S116" s="408">
        <v>2641.06</v>
      </c>
      <c r="T116" s="408">
        <v>252.22</v>
      </c>
      <c r="U116" s="408"/>
      <c r="V116" s="408">
        <v>22379.520799999998</v>
      </c>
      <c r="W116" s="408">
        <v>22379.520799999998</v>
      </c>
      <c r="X116" s="408">
        <v>13283.624900000001</v>
      </c>
      <c r="Y116" s="408">
        <v>0</v>
      </c>
      <c r="Z116" s="408">
        <v>416.23772483938018</v>
      </c>
      <c r="AA116" s="408">
        <v>0</v>
      </c>
      <c r="AB116" s="408">
        <v>0</v>
      </c>
      <c r="AC116" s="408">
        <v>0</v>
      </c>
      <c r="AD116" s="408">
        <v>5010.4776718209987</v>
      </c>
      <c r="AE116" s="408">
        <v>14790.018785316357</v>
      </c>
      <c r="AF116" s="408">
        <v>1950.943106434278</v>
      </c>
      <c r="AG116" s="408">
        <v>0</v>
      </c>
      <c r="AH116" s="408">
        <v>0</v>
      </c>
      <c r="AI116" s="408">
        <v>0</v>
      </c>
      <c r="AJ116" s="408">
        <v>0</v>
      </c>
      <c r="AK116" s="408">
        <v>0</v>
      </c>
      <c r="AL116" s="408">
        <v>73.954560738234363</v>
      </c>
      <c r="AM116" s="408"/>
      <c r="AN116" s="408">
        <v>18.609683974637278</v>
      </c>
      <c r="AO116" s="408">
        <v>0</v>
      </c>
      <c r="AP116" s="408">
        <v>0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>
        <v>0</v>
      </c>
      <c r="BG116" s="408">
        <v>119.29567724230175</v>
      </c>
      <c r="BH116" s="408">
        <v>0</v>
      </c>
      <c r="BI116" s="408">
        <v>0</v>
      </c>
      <c r="BJ116" s="408">
        <v>0</v>
      </c>
      <c r="BK116" s="408">
        <v>0</v>
      </c>
      <c r="BL116" s="408">
        <v>0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2070.2387836765797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13292.211600000001</v>
      </c>
      <c r="CJ116" s="408">
        <v>-9087.3391999999931</v>
      </c>
      <c r="CK116" s="408"/>
      <c r="CL116" s="408"/>
      <c r="CM116" s="408"/>
      <c r="CN116" s="408"/>
      <c r="CO116" s="408">
        <v>-9095.8959000000013</v>
      </c>
      <c r="CP116" s="408">
        <v>0</v>
      </c>
      <c r="CQ116" s="408">
        <v>30</v>
      </c>
      <c r="CR116" s="408">
        <v>-27.442560005087216</v>
      </c>
      <c r="CS116" s="408">
        <v>0</v>
      </c>
      <c r="CT116" s="408">
        <v>0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-12.877368848943661</v>
      </c>
      <c r="DA116" s="408">
        <v>0</v>
      </c>
      <c r="DB116" s="408">
        <v>0</v>
      </c>
      <c r="DC116" s="408">
        <v>-2.7350961318006739E-7</v>
      </c>
      <c r="DD116" s="408">
        <v>0</v>
      </c>
      <c r="DE116" s="408">
        <v>0</v>
      </c>
      <c r="DF116" s="408">
        <v>0</v>
      </c>
      <c r="DG116" s="408">
        <v>-1.6724612805774086E-8</v>
      </c>
      <c r="DH116" s="408">
        <v>0</v>
      </c>
      <c r="DI116" s="408">
        <v>-12.102981385760131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-1.8578949128767306</v>
      </c>
      <c r="DP116" s="408">
        <v>-0.60431456727338784</v>
      </c>
      <c r="DQ116" s="408">
        <v>0</v>
      </c>
      <c r="DR116" s="408">
        <v>0</v>
      </c>
      <c r="DS116" s="408"/>
      <c r="DT116" s="408"/>
      <c r="DU116" s="408"/>
      <c r="DV116" s="408">
        <v>14790.018785316357</v>
      </c>
      <c r="DW116" s="408">
        <v>0</v>
      </c>
      <c r="DX116" s="408">
        <v>0</v>
      </c>
      <c r="DY116" s="408">
        <v>-9095.8958999999995</v>
      </c>
      <c r="DZ116" s="408">
        <v>0</v>
      </c>
      <c r="EA116" s="408">
        <v>0</v>
      </c>
      <c r="EB116" s="408">
        <v>0</v>
      </c>
      <c r="EC116" s="408">
        <v>-9068.4278697661539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265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>
      <c r="A117" s="408">
        <v>123</v>
      </c>
      <c r="B117" s="408" t="s">
        <v>1031</v>
      </c>
      <c r="C117" s="408" t="s">
        <v>2235</v>
      </c>
      <c r="D117" s="408" t="s">
        <v>596</v>
      </c>
      <c r="E117" s="408" t="s">
        <v>993</v>
      </c>
      <c r="F117" s="408" t="s">
        <v>1317</v>
      </c>
      <c r="G117" s="408" t="s">
        <v>1317</v>
      </c>
      <c r="H117" s="408" t="s">
        <v>1317</v>
      </c>
      <c r="I117" s="408" t="s">
        <v>2236</v>
      </c>
      <c r="J117" s="408" t="s">
        <v>2228</v>
      </c>
      <c r="K117" s="828">
        <v>44440</v>
      </c>
      <c r="L117" s="408">
        <v>0</v>
      </c>
      <c r="M117" s="408">
        <v>0</v>
      </c>
      <c r="N117" s="408">
        <v>227.029</v>
      </c>
      <c r="O117" s="408">
        <v>227.029</v>
      </c>
      <c r="P117" s="408">
        <v>227.029</v>
      </c>
      <c r="Q117" s="408">
        <v>227.029</v>
      </c>
      <c r="R117" s="408"/>
      <c r="S117" s="408">
        <v>81.2</v>
      </c>
      <c r="T117" s="408">
        <v>252.22</v>
      </c>
      <c r="U117" s="408"/>
      <c r="V117" s="408">
        <v>75696.009179999994</v>
      </c>
      <c r="W117" s="408">
        <v>75696.009179999994</v>
      </c>
      <c r="X117" s="408">
        <v>75269.194659999994</v>
      </c>
      <c r="Y117" s="408">
        <v>0</v>
      </c>
      <c r="Z117" s="408">
        <v>12216.940456698077</v>
      </c>
      <c r="AA117" s="408">
        <v>0</v>
      </c>
      <c r="AB117" s="408">
        <v>0</v>
      </c>
      <c r="AC117" s="408">
        <v>0</v>
      </c>
      <c r="AD117" s="408">
        <v>0</v>
      </c>
      <c r="AE117" s="408">
        <v>0</v>
      </c>
      <c r="AF117" s="408">
        <v>57261.882677526526</v>
      </c>
      <c r="AG117" s="408">
        <v>0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2170.6308946141703</v>
      </c>
      <c r="AM117" s="408"/>
      <c r="AN117" s="408">
        <v>546.21046452203313</v>
      </c>
      <c r="AO117" s="408">
        <v>0</v>
      </c>
      <c r="AP117" s="408">
        <v>0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3501.432231240145</v>
      </c>
      <c r="BH117" s="408">
        <v>0</v>
      </c>
      <c r="BI117" s="408">
        <v>0</v>
      </c>
      <c r="BJ117" s="408">
        <v>0</v>
      </c>
      <c r="BK117" s="408">
        <v>0</v>
      </c>
      <c r="BL117" s="408">
        <v>0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60763.314908766668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75269.526199999993</v>
      </c>
      <c r="CJ117" s="408">
        <v>-426.51297999999952</v>
      </c>
      <c r="CK117" s="408"/>
      <c r="CL117" s="408"/>
      <c r="CM117" s="408"/>
      <c r="CN117" s="408"/>
      <c r="CO117" s="408">
        <v>-426.81452000000218</v>
      </c>
      <c r="CP117" s="408">
        <v>0</v>
      </c>
      <c r="CQ117" s="408">
        <v>30</v>
      </c>
      <c r="CR117" s="408">
        <v>-427.50107084527554</v>
      </c>
      <c r="CS117" s="408">
        <v>0</v>
      </c>
      <c r="CT117" s="408">
        <v>0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0</v>
      </c>
      <c r="DA117" s="408">
        <v>0</v>
      </c>
      <c r="DB117" s="408">
        <v>0</v>
      </c>
      <c r="DC117" s="408">
        <v>-8.0277532106265426E-6</v>
      </c>
      <c r="DD117" s="408">
        <v>0</v>
      </c>
      <c r="DE117" s="408">
        <v>0</v>
      </c>
      <c r="DF117" s="408">
        <v>0</v>
      </c>
      <c r="DG117" s="408">
        <v>-4.9088203013525344E-7</v>
      </c>
      <c r="DH117" s="408">
        <v>0</v>
      </c>
      <c r="DI117" s="408">
        <v>-355.2330654205216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-54.530836997477763</v>
      </c>
      <c r="DP117" s="408">
        <v>-17.737159908663216</v>
      </c>
      <c r="DQ117" s="408">
        <v>0</v>
      </c>
      <c r="DR117" s="408">
        <v>0</v>
      </c>
      <c r="DS117" s="408"/>
      <c r="DT117" s="408"/>
      <c r="DU117" s="408"/>
      <c r="DV117" s="408">
        <v>0</v>
      </c>
      <c r="DW117" s="408">
        <v>0</v>
      </c>
      <c r="DX117" s="408">
        <v>0</v>
      </c>
      <c r="DY117" s="408">
        <v>-426.8145199999999</v>
      </c>
      <c r="DZ117" s="408">
        <v>0</v>
      </c>
      <c r="EA117" s="408">
        <v>0</v>
      </c>
      <c r="EB117" s="408">
        <v>0</v>
      </c>
      <c r="EC117" s="408">
        <v>0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265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>
      <c r="A118" s="408">
        <v>124</v>
      </c>
      <c r="B118" s="408" t="s">
        <v>1031</v>
      </c>
      <c r="C118" s="408" t="s">
        <v>2235</v>
      </c>
      <c r="D118" s="408" t="s">
        <v>596</v>
      </c>
      <c r="E118" s="408" t="s">
        <v>993</v>
      </c>
      <c r="F118" s="408" t="s">
        <v>1317</v>
      </c>
      <c r="G118" s="408" t="s">
        <v>1317</v>
      </c>
      <c r="H118" s="408" t="s">
        <v>1317</v>
      </c>
      <c r="I118" s="408" t="s">
        <v>1317</v>
      </c>
      <c r="J118" s="408" t="s">
        <v>2228</v>
      </c>
      <c r="K118" s="828">
        <v>44440</v>
      </c>
      <c r="L118" s="408">
        <v>2025</v>
      </c>
      <c r="M118" s="408">
        <v>2025</v>
      </c>
      <c r="N118" s="408">
        <v>0</v>
      </c>
      <c r="O118" s="408">
        <v>0</v>
      </c>
      <c r="P118" s="408">
        <v>0</v>
      </c>
      <c r="Q118" s="408">
        <v>0</v>
      </c>
      <c r="R118" s="408">
        <v>74.44</v>
      </c>
      <c r="S118" s="408"/>
      <c r="T118" s="408"/>
      <c r="U118" s="408">
        <v>150741</v>
      </c>
      <c r="V118" s="408"/>
      <c r="W118" s="408">
        <v>150741</v>
      </c>
      <c r="X118" s="408">
        <v>91975.5</v>
      </c>
      <c r="Y118" s="408">
        <v>0</v>
      </c>
      <c r="Z118" s="408">
        <v>0</v>
      </c>
      <c r="AA118" s="408">
        <v>0</v>
      </c>
      <c r="AB118" s="408">
        <v>0</v>
      </c>
      <c r="AC118" s="408">
        <v>0</v>
      </c>
      <c r="AD118" s="408">
        <v>55114.612374164899</v>
      </c>
      <c r="AE118" s="408">
        <v>95623.614316710853</v>
      </c>
      <c r="AF118" s="408"/>
      <c r="AG118" s="408"/>
      <c r="AH118" s="408"/>
      <c r="AI118" s="408">
        <v>0</v>
      </c>
      <c r="AJ118" s="408">
        <v>0</v>
      </c>
      <c r="AK118" s="408">
        <v>0</v>
      </c>
      <c r="AL118" s="408">
        <v>0</v>
      </c>
      <c r="AM118" s="408"/>
      <c r="AN118" s="408">
        <v>0</v>
      </c>
      <c r="AO118" s="408">
        <v>0</v>
      </c>
      <c r="AP118" s="408">
        <v>0</v>
      </c>
      <c r="AQ118" s="408">
        <v>0</v>
      </c>
      <c r="AR118" s="408">
        <v>0</v>
      </c>
      <c r="AS118" s="408"/>
      <c r="AT118" s="408"/>
      <c r="AU118" s="408">
        <v>0</v>
      </c>
      <c r="AV118" s="408">
        <v>0</v>
      </c>
      <c r="AW118" s="408">
        <v>0</v>
      </c>
      <c r="AX118" s="408"/>
      <c r="AY118" s="408"/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/>
      <c r="BG118" s="408">
        <v>0</v>
      </c>
      <c r="BH118" s="408">
        <v>0</v>
      </c>
      <c r="BI118" s="408">
        <v>0</v>
      </c>
      <c r="BJ118" s="408">
        <v>0</v>
      </c>
      <c r="BK118" s="408">
        <v>90020.11</v>
      </c>
      <c r="BL118" s="408">
        <v>15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0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91975.5</v>
      </c>
      <c r="CJ118" s="408">
        <v>-58765.530000000028</v>
      </c>
      <c r="CK118" s="408"/>
      <c r="CL118" s="408"/>
      <c r="CM118" s="408"/>
      <c r="CN118" s="408"/>
      <c r="CO118" s="408">
        <v>-58765.499999999993</v>
      </c>
      <c r="CP118" s="408">
        <v>0</v>
      </c>
      <c r="CQ118" s="408">
        <v>30</v>
      </c>
      <c r="CR118" s="408">
        <v>-141.64940730103262</v>
      </c>
      <c r="CS118" s="408">
        <v>0</v>
      </c>
      <c r="CT118" s="408">
        <v>0</v>
      </c>
      <c r="CU118" s="408">
        <v>0</v>
      </c>
      <c r="CV118" s="408">
        <v>0</v>
      </c>
      <c r="CW118" s="408"/>
      <c r="CX118" s="408"/>
      <c r="CY118" s="408"/>
      <c r="CZ118" s="408">
        <v>-141.64940730103262</v>
      </c>
      <c r="DA118" s="408">
        <v>0</v>
      </c>
      <c r="DB118" s="408">
        <v>0</v>
      </c>
      <c r="DC118" s="408"/>
      <c r="DD118" s="408"/>
      <c r="DE118" s="408">
        <v>0</v>
      </c>
      <c r="DF118" s="408">
        <v>0</v>
      </c>
      <c r="DG118" s="408">
        <v>0</v>
      </c>
      <c r="DH118" s="408">
        <v>0</v>
      </c>
      <c r="DI118" s="408">
        <v>0</v>
      </c>
      <c r="DJ118" s="408"/>
      <c r="DK118" s="408">
        <v>0</v>
      </c>
      <c r="DL118" s="408">
        <v>0</v>
      </c>
      <c r="DM118" s="408"/>
      <c r="DN118" s="408">
        <v>0</v>
      </c>
      <c r="DO118" s="408">
        <v>0</v>
      </c>
      <c r="DP118" s="408">
        <v>0</v>
      </c>
      <c r="DQ118" s="408">
        <v>0</v>
      </c>
      <c r="DR118" s="408">
        <v>0</v>
      </c>
      <c r="DS118" s="408"/>
      <c r="DT118" s="408"/>
      <c r="DU118" s="408">
        <v>95623.614316710853</v>
      </c>
      <c r="DV118" s="408"/>
      <c r="DW118" s="408">
        <v>0</v>
      </c>
      <c r="DX118" s="408">
        <v>0</v>
      </c>
      <c r="DY118" s="408">
        <v>-58765.5</v>
      </c>
      <c r="DZ118" s="408"/>
      <c r="EA118" s="408">
        <v>0</v>
      </c>
      <c r="EB118" s="408"/>
      <c r="EC118" s="408">
        <v>-58631.15264859236</v>
      </c>
      <c r="ED118" s="408"/>
      <c r="EE118" s="408">
        <v>0</v>
      </c>
      <c r="EF118" s="408">
        <v>0</v>
      </c>
      <c r="EG118" s="408"/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/>
      <c r="EN118" s="408"/>
      <c r="EO118" s="408">
        <v>0</v>
      </c>
      <c r="EP118" s="408">
        <v>0</v>
      </c>
      <c r="EQ118" s="408"/>
      <c r="ER118" s="408">
        <v>0</v>
      </c>
      <c r="ES118" s="408"/>
      <c r="ET118" s="408">
        <v>0</v>
      </c>
      <c r="EU118" s="408"/>
      <c r="EV118" s="408">
        <v>265</v>
      </c>
      <c r="EW118" s="408"/>
      <c r="EX118" s="408"/>
      <c r="EY118" s="408"/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>
      <c r="A119" s="408">
        <v>125</v>
      </c>
      <c r="B119" s="408" t="s">
        <v>2230</v>
      </c>
      <c r="C119" s="408" t="s">
        <v>2235</v>
      </c>
      <c r="D119" s="408" t="s">
        <v>596</v>
      </c>
      <c r="E119" s="408" t="s">
        <v>993</v>
      </c>
      <c r="F119" s="408" t="s">
        <v>1317</v>
      </c>
      <c r="G119" s="408" t="s">
        <v>1317</v>
      </c>
      <c r="H119" s="408" t="s">
        <v>1317</v>
      </c>
      <c r="I119" s="408" t="s">
        <v>1317</v>
      </c>
      <c r="J119" s="408" t="s">
        <v>2228</v>
      </c>
      <c r="K119" s="828">
        <v>44440</v>
      </c>
      <c r="L119" s="408">
        <v>80</v>
      </c>
      <c r="M119" s="408">
        <v>80</v>
      </c>
      <c r="N119" s="408">
        <v>0</v>
      </c>
      <c r="O119" s="408">
        <v>0</v>
      </c>
      <c r="P119" s="408">
        <v>0</v>
      </c>
      <c r="Q119" s="408">
        <v>0</v>
      </c>
      <c r="R119" s="408">
        <v>74.44</v>
      </c>
      <c r="S119" s="408"/>
      <c r="T119" s="408"/>
      <c r="U119" s="408">
        <v>5955.2</v>
      </c>
      <c r="V119" s="408"/>
      <c r="W119" s="408">
        <v>5955.2</v>
      </c>
      <c r="X119" s="408">
        <v>3633.6000000000004</v>
      </c>
      <c r="Y119" s="408">
        <v>0</v>
      </c>
      <c r="Z119" s="408">
        <v>0</v>
      </c>
      <c r="AA119" s="408">
        <v>0</v>
      </c>
      <c r="AB119" s="408">
        <v>0</v>
      </c>
      <c r="AC119" s="408">
        <v>0</v>
      </c>
      <c r="AD119" s="408">
        <v>2177.3674024361439</v>
      </c>
      <c r="AE119" s="408">
        <v>3777.7230347342561</v>
      </c>
      <c r="AF119" s="408"/>
      <c r="AG119" s="408"/>
      <c r="AH119" s="408"/>
      <c r="AI119" s="408">
        <v>0</v>
      </c>
      <c r="AJ119" s="408">
        <v>0</v>
      </c>
      <c r="AK119" s="408">
        <v>0</v>
      </c>
      <c r="AL119" s="408">
        <v>0</v>
      </c>
      <c r="AM119" s="408"/>
      <c r="AN119" s="408">
        <v>0</v>
      </c>
      <c r="AO119" s="408">
        <v>0</v>
      </c>
      <c r="AP119" s="408">
        <v>0</v>
      </c>
      <c r="AQ119" s="408">
        <v>0</v>
      </c>
      <c r="AR119" s="408">
        <v>0</v>
      </c>
      <c r="AS119" s="408"/>
      <c r="AT119" s="408"/>
      <c r="AU119" s="408">
        <v>0</v>
      </c>
      <c r="AV119" s="408">
        <v>0</v>
      </c>
      <c r="AW119" s="408">
        <v>0</v>
      </c>
      <c r="AX119" s="408"/>
      <c r="AY119" s="408"/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/>
      <c r="BG119" s="408">
        <v>0</v>
      </c>
      <c r="BH119" s="408">
        <v>0</v>
      </c>
      <c r="BI119" s="408">
        <v>0</v>
      </c>
      <c r="BJ119" s="408">
        <v>0</v>
      </c>
      <c r="BK119" s="408">
        <v>2232.2600000000002</v>
      </c>
      <c r="BL119" s="408">
        <v>1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0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3633.6000000000004</v>
      </c>
      <c r="CJ119" s="408">
        <v>-2321.63</v>
      </c>
      <c r="CK119" s="408"/>
      <c r="CL119" s="408"/>
      <c r="CM119" s="408"/>
      <c r="CN119" s="408"/>
      <c r="CO119" s="408">
        <v>-2321.5999999999995</v>
      </c>
      <c r="CP119" s="408">
        <v>0</v>
      </c>
      <c r="CQ119" s="408">
        <v>30</v>
      </c>
      <c r="CR119" s="408">
        <v>-5.5960259674479857</v>
      </c>
      <c r="CS119" s="408">
        <v>0</v>
      </c>
      <c r="CT119" s="408">
        <v>0</v>
      </c>
      <c r="CU119" s="408">
        <v>0</v>
      </c>
      <c r="CV119" s="408">
        <v>0</v>
      </c>
      <c r="CW119" s="408"/>
      <c r="CX119" s="408"/>
      <c r="CY119" s="408"/>
      <c r="CZ119" s="408">
        <v>-5.5960259674479857</v>
      </c>
      <c r="DA119" s="408">
        <v>0</v>
      </c>
      <c r="DB119" s="408">
        <v>0</v>
      </c>
      <c r="DC119" s="408"/>
      <c r="DD119" s="408"/>
      <c r="DE119" s="408">
        <v>0</v>
      </c>
      <c r="DF119" s="408">
        <v>0</v>
      </c>
      <c r="DG119" s="408">
        <v>0</v>
      </c>
      <c r="DH119" s="408">
        <v>0</v>
      </c>
      <c r="DI119" s="408">
        <v>0</v>
      </c>
      <c r="DJ119" s="408"/>
      <c r="DK119" s="408">
        <v>0</v>
      </c>
      <c r="DL119" s="408">
        <v>0</v>
      </c>
      <c r="DM119" s="408"/>
      <c r="DN119" s="408">
        <v>0</v>
      </c>
      <c r="DO119" s="408">
        <v>0</v>
      </c>
      <c r="DP119" s="408">
        <v>0</v>
      </c>
      <c r="DQ119" s="408">
        <v>0</v>
      </c>
      <c r="DR119" s="408">
        <v>0</v>
      </c>
      <c r="DS119" s="408"/>
      <c r="DT119" s="408"/>
      <c r="DU119" s="408">
        <v>3777.7230347342561</v>
      </c>
      <c r="DV119" s="408"/>
      <c r="DW119" s="408">
        <v>0</v>
      </c>
      <c r="DX119" s="408">
        <v>0</v>
      </c>
      <c r="DY119" s="408">
        <v>-2321.5999999999995</v>
      </c>
      <c r="DZ119" s="408"/>
      <c r="EA119" s="408">
        <v>0</v>
      </c>
      <c r="EB119" s="408"/>
      <c r="EC119" s="408">
        <v>-2316.2924503147601</v>
      </c>
      <c r="ED119" s="408"/>
      <c r="EE119" s="408">
        <v>0</v>
      </c>
      <c r="EF119" s="408">
        <v>0</v>
      </c>
      <c r="EG119" s="408"/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/>
      <c r="EN119" s="408"/>
      <c r="EO119" s="408">
        <v>0</v>
      </c>
      <c r="EP119" s="408">
        <v>0</v>
      </c>
      <c r="EQ119" s="408"/>
      <c r="ER119" s="408">
        <v>0</v>
      </c>
      <c r="ES119" s="408"/>
      <c r="ET119" s="408">
        <v>0</v>
      </c>
      <c r="EU119" s="408"/>
      <c r="EV119" s="408">
        <v>265</v>
      </c>
      <c r="EW119" s="408"/>
      <c r="EX119" s="408"/>
      <c r="EY119" s="408"/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>
      <c r="A120" s="408">
        <v>126</v>
      </c>
      <c r="B120" s="408" t="s">
        <v>1031</v>
      </c>
      <c r="C120" s="408" t="s">
        <v>2227</v>
      </c>
      <c r="D120" s="408" t="s">
        <v>2237</v>
      </c>
      <c r="E120" s="408" t="s">
        <v>969</v>
      </c>
      <c r="F120" s="408" t="s">
        <v>1317</v>
      </c>
      <c r="G120" s="408" t="s">
        <v>1317</v>
      </c>
      <c r="H120" s="408" t="s">
        <v>1317</v>
      </c>
      <c r="I120" s="408" t="s">
        <v>1317</v>
      </c>
      <c r="J120" s="408" t="s">
        <v>2228</v>
      </c>
      <c r="K120" s="828">
        <v>44440</v>
      </c>
      <c r="L120" s="408">
        <v>0</v>
      </c>
      <c r="M120" s="408">
        <v>0</v>
      </c>
      <c r="N120" s="408">
        <v>2550.3969999999999</v>
      </c>
      <c r="O120" s="408">
        <v>2550.3969999999999</v>
      </c>
      <c r="P120" s="408">
        <v>2550.3969999999999</v>
      </c>
      <c r="Q120" s="408">
        <v>2550.3969999999999</v>
      </c>
      <c r="R120" s="408"/>
      <c r="S120" s="408">
        <v>739.04</v>
      </c>
      <c r="T120" s="408">
        <v>252.22</v>
      </c>
      <c r="U120" s="408"/>
      <c r="V120" s="408">
        <v>2528106.5302199996</v>
      </c>
      <c r="W120" s="408">
        <v>2528106.5302199996</v>
      </c>
      <c r="X120" s="408">
        <v>1729092.6540899999</v>
      </c>
      <c r="Y120" s="408">
        <v>0</v>
      </c>
      <c r="Z120" s="408">
        <v>157750.10509286504</v>
      </c>
      <c r="AA120" s="408">
        <v>0</v>
      </c>
      <c r="AB120" s="408">
        <v>0</v>
      </c>
      <c r="AC120" s="408">
        <v>0</v>
      </c>
      <c r="AD120" s="408">
        <v>314967.85982501501</v>
      </c>
      <c r="AE120" s="408">
        <v>1293020.0877812102</v>
      </c>
      <c r="AF120" s="408">
        <v>643268.18950493378</v>
      </c>
      <c r="AG120" s="408">
        <v>0</v>
      </c>
      <c r="AH120" s="408">
        <v>0</v>
      </c>
      <c r="AI120" s="408">
        <v>0</v>
      </c>
      <c r="AJ120" s="408">
        <v>0</v>
      </c>
      <c r="AK120" s="408">
        <v>0</v>
      </c>
      <c r="AL120" s="408">
        <v>24384.420147784185</v>
      </c>
      <c r="AM120" s="408"/>
      <c r="AN120" s="408">
        <v>5976.3415644370616</v>
      </c>
      <c r="AO120" s="408">
        <v>0</v>
      </c>
      <c r="AP120" s="408">
        <v>0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88739.145618439652</v>
      </c>
      <c r="BH120" s="408">
        <v>0</v>
      </c>
      <c r="BI120" s="408">
        <v>0</v>
      </c>
      <c r="BJ120" s="408">
        <v>0</v>
      </c>
      <c r="BK120" s="408">
        <v>117619.17</v>
      </c>
      <c r="BL120" s="408">
        <v>12093</v>
      </c>
      <c r="BM120" s="408"/>
      <c r="BN120" s="408"/>
      <c r="BO120" s="408"/>
      <c r="BP120" s="408"/>
      <c r="BQ120" s="408"/>
      <c r="BR120" s="408">
        <v>207474.79594999991</v>
      </c>
      <c r="BS120" s="408"/>
      <c r="BT120" s="408"/>
      <c r="BU120" s="408"/>
      <c r="BV120" s="408">
        <v>732007.33512337343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1521619.648</v>
      </c>
      <c r="CJ120" s="408">
        <v>-703117.18906999985</v>
      </c>
      <c r="CK120" s="408"/>
      <c r="CL120" s="408"/>
      <c r="CM120" s="408"/>
      <c r="CN120" s="408"/>
      <c r="CO120" s="408">
        <v>-799013.87612999987</v>
      </c>
      <c r="CP120" s="408">
        <v>0</v>
      </c>
      <c r="CQ120" s="408">
        <v>30</v>
      </c>
      <c r="CR120" s="408">
        <v>-6203.0677537061274</v>
      </c>
      <c r="CS120" s="408">
        <v>0</v>
      </c>
      <c r="CT120" s="408">
        <v>0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-809.49513642879901</v>
      </c>
      <c r="DA120" s="408">
        <v>0</v>
      </c>
      <c r="DB120" s="408">
        <v>0</v>
      </c>
      <c r="DC120" s="408">
        <v>-9.0182060375809669E-5</v>
      </c>
      <c r="DD120" s="408">
        <v>0</v>
      </c>
      <c r="DE120" s="408">
        <v>0</v>
      </c>
      <c r="DF120" s="408">
        <v>0</v>
      </c>
      <c r="DG120" s="408">
        <v>-1.2440592399798334E-5</v>
      </c>
      <c r="DH120" s="408">
        <v>0</v>
      </c>
      <c r="DI120" s="408">
        <v>-4586.9138513992075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-612.58818514751692</v>
      </c>
      <c r="DP120" s="408">
        <v>-194.07047810766562</v>
      </c>
      <c r="DQ120" s="408">
        <v>0</v>
      </c>
      <c r="DR120" s="408">
        <v>0</v>
      </c>
      <c r="DS120" s="408"/>
      <c r="DT120" s="408"/>
      <c r="DU120" s="408"/>
      <c r="DV120" s="408">
        <v>1293020.0877812102</v>
      </c>
      <c r="DW120" s="408">
        <v>0</v>
      </c>
      <c r="DX120" s="408">
        <v>0</v>
      </c>
      <c r="DY120" s="408">
        <v>-799013.87612999976</v>
      </c>
      <c r="DZ120" s="408">
        <v>0</v>
      </c>
      <c r="EA120" s="408">
        <v>0</v>
      </c>
      <c r="EB120" s="408">
        <v>0</v>
      </c>
      <c r="EC120" s="408">
        <v>-792808.95923160925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265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>
      <c r="A121" s="408">
        <v>127</v>
      </c>
      <c r="B121" s="408" t="s">
        <v>2229</v>
      </c>
      <c r="C121" s="408" t="s">
        <v>2227</v>
      </c>
      <c r="D121" s="408" t="s">
        <v>2237</v>
      </c>
      <c r="E121" s="408" t="s">
        <v>969</v>
      </c>
      <c r="F121" s="408" t="s">
        <v>1317</v>
      </c>
      <c r="G121" s="408" t="s">
        <v>1317</v>
      </c>
      <c r="H121" s="408" t="s">
        <v>1317</v>
      </c>
      <c r="I121" s="408" t="s">
        <v>1317</v>
      </c>
      <c r="J121" s="408" t="s">
        <v>2228</v>
      </c>
      <c r="K121" s="828">
        <v>44440</v>
      </c>
      <c r="L121" s="408">
        <v>0</v>
      </c>
      <c r="M121" s="408">
        <v>0</v>
      </c>
      <c r="N121" s="408">
        <v>-0.878</v>
      </c>
      <c r="O121" s="408">
        <v>-0.878</v>
      </c>
      <c r="P121" s="408">
        <v>-0.878</v>
      </c>
      <c r="Q121" s="408">
        <v>-0.878</v>
      </c>
      <c r="R121" s="408"/>
      <c r="S121" s="408">
        <v>739.04</v>
      </c>
      <c r="T121" s="408">
        <v>252.22</v>
      </c>
      <c r="U121" s="408"/>
      <c r="V121" s="408">
        <v>-870.32628</v>
      </c>
      <c r="W121" s="408">
        <v>-870.32628</v>
      </c>
      <c r="X121" s="408">
        <v>-595.25765999999999</v>
      </c>
      <c r="Y121" s="408">
        <v>0</v>
      </c>
      <c r="Z121" s="408">
        <v>-54.307071515350557</v>
      </c>
      <c r="AA121" s="408">
        <v>0</v>
      </c>
      <c r="AB121" s="408">
        <v>0</v>
      </c>
      <c r="AC121" s="408">
        <v>0</v>
      </c>
      <c r="AD121" s="408">
        <v>-108.43087602689432</v>
      </c>
      <c r="AE121" s="408">
        <v>-445.13526210699848</v>
      </c>
      <c r="AF121" s="408">
        <v>-221.45158984477001</v>
      </c>
      <c r="AG121" s="408">
        <v>0</v>
      </c>
      <c r="AH121" s="408">
        <v>0</v>
      </c>
      <c r="AI121" s="408">
        <v>0</v>
      </c>
      <c r="AJ121" s="408">
        <v>0</v>
      </c>
      <c r="AK121" s="408">
        <v>0</v>
      </c>
      <c r="AL121" s="408">
        <v>-8.3945836235513589</v>
      </c>
      <c r="AM121" s="408"/>
      <c r="AN121" s="408">
        <v>-2.0574161174027967</v>
      </c>
      <c r="AO121" s="408">
        <v>0</v>
      </c>
      <c r="AP121" s="408">
        <v>0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-30.549349710256884</v>
      </c>
      <c r="BH121" s="408">
        <v>0</v>
      </c>
      <c r="BI121" s="408">
        <v>0</v>
      </c>
      <c r="BJ121" s="408">
        <v>0</v>
      </c>
      <c r="BK121" s="408">
        <v>0</v>
      </c>
      <c r="BL121" s="408">
        <v>0</v>
      </c>
      <c r="BM121" s="408"/>
      <c r="BN121" s="408"/>
      <c r="BO121" s="408"/>
      <c r="BP121" s="408"/>
      <c r="BQ121" s="408"/>
      <c r="BR121" s="408">
        <v>-71.425299999999964</v>
      </c>
      <c r="BS121" s="408"/>
      <c r="BT121" s="408"/>
      <c r="BU121" s="408"/>
      <c r="BV121" s="408">
        <v>-252.00093955502689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-525.02560000000005</v>
      </c>
      <c r="CJ121" s="408">
        <v>240.83258000000001</v>
      </c>
      <c r="CK121" s="408"/>
      <c r="CL121" s="408"/>
      <c r="CM121" s="408"/>
      <c r="CN121" s="408"/>
      <c r="CO121" s="408">
        <v>275.06861999999995</v>
      </c>
      <c r="CP121" s="408">
        <v>0</v>
      </c>
      <c r="CQ121" s="408">
        <v>30</v>
      </c>
      <c r="CR121" s="408">
        <v>2.1354689045485316</v>
      </c>
      <c r="CS121" s="408">
        <v>0</v>
      </c>
      <c r="CT121" s="408">
        <v>0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0.2786769000216367</v>
      </c>
      <c r="DA121" s="408">
        <v>0</v>
      </c>
      <c r="DB121" s="408">
        <v>0</v>
      </c>
      <c r="DC121" s="408">
        <v>3.1046084814079222E-8</v>
      </c>
      <c r="DD121" s="408">
        <v>0</v>
      </c>
      <c r="DE121" s="408">
        <v>0</v>
      </c>
      <c r="DF121" s="408">
        <v>0</v>
      </c>
      <c r="DG121" s="408">
        <v>4.2827998925076827E-9</v>
      </c>
      <c r="DH121" s="408">
        <v>0</v>
      </c>
      <c r="DI121" s="408">
        <v>1.5790915537967294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0.21088968758962601</v>
      </c>
      <c r="DP121" s="408">
        <v>6.6810727811603687E-2</v>
      </c>
      <c r="DQ121" s="408">
        <v>0</v>
      </c>
      <c r="DR121" s="408">
        <v>0</v>
      </c>
      <c r="DS121" s="408"/>
      <c r="DT121" s="408"/>
      <c r="DU121" s="408"/>
      <c r="DV121" s="408">
        <v>-445.13526210699848</v>
      </c>
      <c r="DW121" s="408">
        <v>0</v>
      </c>
      <c r="DX121" s="408">
        <v>0</v>
      </c>
      <c r="DY121" s="408">
        <v>275.06862000000001</v>
      </c>
      <c r="DZ121" s="408">
        <v>0</v>
      </c>
      <c r="EA121" s="408">
        <v>0</v>
      </c>
      <c r="EB121" s="408">
        <v>0</v>
      </c>
      <c r="EC121" s="408">
        <v>272.93251450866387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265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>
      <c r="A122" s="408">
        <v>128</v>
      </c>
      <c r="B122" s="408" t="s">
        <v>2230</v>
      </c>
      <c r="C122" s="408" t="s">
        <v>2227</v>
      </c>
      <c r="D122" s="408" t="s">
        <v>2237</v>
      </c>
      <c r="E122" s="408" t="s">
        <v>969</v>
      </c>
      <c r="F122" s="408" t="s">
        <v>1317</v>
      </c>
      <c r="G122" s="408" t="s">
        <v>1317</v>
      </c>
      <c r="H122" s="408" t="s">
        <v>1317</v>
      </c>
      <c r="I122" s="408" t="s">
        <v>1317</v>
      </c>
      <c r="J122" s="408" t="s">
        <v>2228</v>
      </c>
      <c r="K122" s="828">
        <v>44440</v>
      </c>
      <c r="L122" s="408">
        <v>0</v>
      </c>
      <c r="M122" s="408">
        <v>0</v>
      </c>
      <c r="N122" s="408">
        <v>96.396000000000001</v>
      </c>
      <c r="O122" s="408">
        <v>96.396000000000001</v>
      </c>
      <c r="P122" s="408">
        <v>96.396000000000001</v>
      </c>
      <c r="Q122" s="408">
        <v>96.396000000000001</v>
      </c>
      <c r="R122" s="408"/>
      <c r="S122" s="408">
        <v>739.04</v>
      </c>
      <c r="T122" s="408">
        <v>252.22</v>
      </c>
      <c r="U122" s="408"/>
      <c r="V122" s="408">
        <v>95553.498959999997</v>
      </c>
      <c r="W122" s="408">
        <v>95553.498959999997</v>
      </c>
      <c r="X122" s="408">
        <v>65353.596120000002</v>
      </c>
      <c r="Y122" s="408">
        <v>0</v>
      </c>
      <c r="Z122" s="408">
        <v>5962.3968858698545</v>
      </c>
      <c r="AA122" s="408">
        <v>0</v>
      </c>
      <c r="AB122" s="408">
        <v>0</v>
      </c>
      <c r="AC122" s="408">
        <v>0</v>
      </c>
      <c r="AD122" s="408">
        <v>11904.672808073468</v>
      </c>
      <c r="AE122" s="408">
        <v>48871.593082079984</v>
      </c>
      <c r="AF122" s="408">
        <v>24313.26589370894</v>
      </c>
      <c r="AG122" s="408">
        <v>0</v>
      </c>
      <c r="AH122" s="408">
        <v>0</v>
      </c>
      <c r="AI122" s="408">
        <v>0</v>
      </c>
      <c r="AJ122" s="408">
        <v>0</v>
      </c>
      <c r="AK122" s="408">
        <v>0</v>
      </c>
      <c r="AL122" s="408">
        <v>921.64496922079366</v>
      </c>
      <c r="AM122" s="408"/>
      <c r="AN122" s="408">
        <v>225.88460598309794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3354.0263265033286</v>
      </c>
      <c r="BH122" s="408">
        <v>0</v>
      </c>
      <c r="BI122" s="408">
        <v>0</v>
      </c>
      <c r="BJ122" s="408">
        <v>0</v>
      </c>
      <c r="BK122" s="408">
        <v>7867.25</v>
      </c>
      <c r="BL122" s="408">
        <v>816</v>
      </c>
      <c r="BM122" s="408"/>
      <c r="BN122" s="408"/>
      <c r="BO122" s="408"/>
      <c r="BP122" s="408"/>
      <c r="BQ122" s="408"/>
      <c r="BR122" s="408">
        <v>7841.8145999999961</v>
      </c>
      <c r="BS122" s="408"/>
      <c r="BT122" s="408"/>
      <c r="BU122" s="408"/>
      <c r="BV122" s="408">
        <v>27667.292220212268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57514.168000000005</v>
      </c>
      <c r="CJ122" s="408">
        <v>-26573.056759999992</v>
      </c>
      <c r="CK122" s="408"/>
      <c r="CL122" s="408"/>
      <c r="CM122" s="408"/>
      <c r="CN122" s="408"/>
      <c r="CO122" s="408">
        <v>-30199.902839999995</v>
      </c>
      <c r="CP122" s="408">
        <v>0</v>
      </c>
      <c r="CQ122" s="408">
        <v>30</v>
      </c>
      <c r="CR122" s="408">
        <v>-234.4540552652179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-30.596057465245394</v>
      </c>
      <c r="DA122" s="408">
        <v>0</v>
      </c>
      <c r="DB122" s="408">
        <v>0</v>
      </c>
      <c r="DC122" s="408">
        <v>-3.4085642255377024E-6</v>
      </c>
      <c r="DD122" s="408">
        <v>0</v>
      </c>
      <c r="DE122" s="408">
        <v>0</v>
      </c>
      <c r="DF122" s="408">
        <v>0</v>
      </c>
      <c r="DG122" s="408">
        <v>-4.7021057980600744E-7</v>
      </c>
      <c r="DH122" s="408">
        <v>0</v>
      </c>
      <c r="DI122" s="408">
        <v>-173.36914512504518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-23.153670073906255</v>
      </c>
      <c r="DP122" s="408">
        <v>-7.3351787222407268</v>
      </c>
      <c r="DQ122" s="408">
        <v>0</v>
      </c>
      <c r="DR122" s="408">
        <v>0</v>
      </c>
      <c r="DS122" s="408"/>
      <c r="DT122" s="408"/>
      <c r="DU122" s="408"/>
      <c r="DV122" s="408">
        <v>48871.593082079984</v>
      </c>
      <c r="DW122" s="408">
        <v>0</v>
      </c>
      <c r="DX122" s="408">
        <v>0</v>
      </c>
      <c r="DY122" s="408">
        <v>-30199.902840000002</v>
      </c>
      <c r="DZ122" s="408">
        <v>0</v>
      </c>
      <c r="EA122" s="408">
        <v>0</v>
      </c>
      <c r="EB122" s="408">
        <v>0</v>
      </c>
      <c r="EC122" s="408">
        <v>-29965.378893595862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265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>
      <c r="A123" s="408">
        <v>129</v>
      </c>
      <c r="B123" s="408" t="s">
        <v>2230</v>
      </c>
      <c r="C123" s="408" t="s">
        <v>2227</v>
      </c>
      <c r="D123" s="408" t="s">
        <v>2237</v>
      </c>
      <c r="E123" s="408" t="s">
        <v>969</v>
      </c>
      <c r="F123" s="408" t="s">
        <v>1317</v>
      </c>
      <c r="G123" s="408" t="s">
        <v>1317</v>
      </c>
      <c r="H123" s="408" t="s">
        <v>1317</v>
      </c>
      <c r="I123" s="408" t="s">
        <v>1317</v>
      </c>
      <c r="J123" s="408" t="s">
        <v>2228</v>
      </c>
      <c r="K123" s="828">
        <v>44440</v>
      </c>
      <c r="L123" s="408">
        <v>0</v>
      </c>
      <c r="M123" s="408">
        <v>0</v>
      </c>
      <c r="N123" s="408">
        <v>-0.71099999999999997</v>
      </c>
      <c r="O123" s="408">
        <v>-0.71099999999999997</v>
      </c>
      <c r="P123" s="408">
        <v>-0.71099999999999997</v>
      </c>
      <c r="Q123" s="408">
        <v>-0.71099999999999997</v>
      </c>
      <c r="R123" s="408"/>
      <c r="S123" s="408">
        <v>739.04</v>
      </c>
      <c r="T123" s="408">
        <v>252.22</v>
      </c>
      <c r="U123" s="408"/>
      <c r="V123" s="408">
        <v>-704.78585999999996</v>
      </c>
      <c r="W123" s="408">
        <v>-704.78585999999996</v>
      </c>
      <c r="X123" s="408">
        <v>-482.03666999999996</v>
      </c>
      <c r="Y123" s="408">
        <v>0</v>
      </c>
      <c r="Z123" s="408">
        <v>-43.977594359241735</v>
      </c>
      <c r="AA123" s="408">
        <v>0</v>
      </c>
      <c r="AB123" s="408">
        <v>0</v>
      </c>
      <c r="AC123" s="408">
        <v>0</v>
      </c>
      <c r="AD123" s="408">
        <v>-87.806780017223076</v>
      </c>
      <c r="AE123" s="408">
        <v>-360.46830450805908</v>
      </c>
      <c r="AF123" s="408">
        <v>-179.33038767611785</v>
      </c>
      <c r="AG123" s="408">
        <v>0</v>
      </c>
      <c r="AH123" s="408">
        <v>0</v>
      </c>
      <c r="AI123" s="408">
        <v>0</v>
      </c>
      <c r="AJ123" s="408">
        <v>0</v>
      </c>
      <c r="AK123" s="408">
        <v>0</v>
      </c>
      <c r="AL123" s="408">
        <v>-6.7978917498234805</v>
      </c>
      <c r="AM123" s="408"/>
      <c r="AN123" s="408">
        <v>-1.6660852613592123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-24.738710300674992</v>
      </c>
      <c r="BH123" s="408">
        <v>0</v>
      </c>
      <c r="BI123" s="408">
        <v>0</v>
      </c>
      <c r="BJ123" s="408">
        <v>0</v>
      </c>
      <c r="BK123" s="408">
        <v>-1.78</v>
      </c>
      <c r="BL123" s="408">
        <v>4</v>
      </c>
      <c r="BM123" s="408"/>
      <c r="BN123" s="408"/>
      <c r="BO123" s="408"/>
      <c r="BP123" s="408"/>
      <c r="BQ123" s="408"/>
      <c r="BR123" s="408">
        <v>-57.83984999999997</v>
      </c>
      <c r="BS123" s="408"/>
      <c r="BT123" s="408"/>
      <c r="BU123" s="408"/>
      <c r="BV123" s="408">
        <v>-204.06909797679285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-423.60019999999997</v>
      </c>
      <c r="CJ123" s="408">
        <v>196.58221000000003</v>
      </c>
      <c r="CK123" s="408"/>
      <c r="CL123" s="408"/>
      <c r="CM123" s="408"/>
      <c r="CN123" s="408"/>
      <c r="CO123" s="408">
        <v>222.74918999999997</v>
      </c>
      <c r="CP123" s="408">
        <v>0</v>
      </c>
      <c r="CQ123" s="408">
        <v>30</v>
      </c>
      <c r="CR123" s="408">
        <v>1.729292017236844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0.2256711570790344</v>
      </c>
      <c r="DA123" s="408">
        <v>0</v>
      </c>
      <c r="DB123" s="408">
        <v>0</v>
      </c>
      <c r="DC123" s="408">
        <v>2.5140991510852473E-8</v>
      </c>
      <c r="DD123" s="408">
        <v>0</v>
      </c>
      <c r="DE123" s="408">
        <v>0</v>
      </c>
      <c r="DF123" s="408">
        <v>0</v>
      </c>
      <c r="DG123" s="408">
        <v>3.4681910676681582E-9</v>
      </c>
      <c r="DH123" s="408">
        <v>0</v>
      </c>
      <c r="DI123" s="408">
        <v>1.2787404268217273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0.17077741215970921</v>
      </c>
      <c r="DP123" s="408">
        <v>5.410299256725537E-2</v>
      </c>
      <c r="DQ123" s="408">
        <v>0</v>
      </c>
      <c r="DR123" s="408">
        <v>0</v>
      </c>
      <c r="DS123" s="408"/>
      <c r="DT123" s="408"/>
      <c r="DU123" s="408"/>
      <c r="DV123" s="408">
        <v>-360.46830450805908</v>
      </c>
      <c r="DW123" s="408">
        <v>0</v>
      </c>
      <c r="DX123" s="408">
        <v>0</v>
      </c>
      <c r="DY123" s="408">
        <v>222.74918999999994</v>
      </c>
      <c r="DZ123" s="408">
        <v>0</v>
      </c>
      <c r="EA123" s="408">
        <v>0</v>
      </c>
      <c r="EB123" s="408">
        <v>0</v>
      </c>
      <c r="EC123" s="408">
        <v>221.01938247797267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265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>
      <c r="A124" s="408">
        <v>130</v>
      </c>
      <c r="B124" s="408" t="s">
        <v>1031</v>
      </c>
      <c r="C124" s="408" t="s">
        <v>2235</v>
      </c>
      <c r="D124" s="408" t="s">
        <v>596</v>
      </c>
      <c r="E124" s="408" t="s">
        <v>969</v>
      </c>
      <c r="F124" s="408" t="s">
        <v>1317</v>
      </c>
      <c r="G124" s="408" t="s">
        <v>1317</v>
      </c>
      <c r="H124" s="408" t="s">
        <v>1317</v>
      </c>
      <c r="I124" s="408" t="s">
        <v>968</v>
      </c>
      <c r="J124" s="408" t="s">
        <v>2228</v>
      </c>
      <c r="K124" s="828">
        <v>44440</v>
      </c>
      <c r="L124" s="408">
        <v>0</v>
      </c>
      <c r="M124" s="408">
        <v>0</v>
      </c>
      <c r="N124" s="408">
        <v>2.831</v>
      </c>
      <c r="O124" s="408">
        <v>2.7177600000000002</v>
      </c>
      <c r="P124" s="408">
        <v>2.831</v>
      </c>
      <c r="Q124" s="408">
        <v>2.7177600000000002</v>
      </c>
      <c r="R124" s="408"/>
      <c r="S124" s="408">
        <v>2641.06</v>
      </c>
      <c r="T124" s="408">
        <v>252.22</v>
      </c>
      <c r="U124" s="408"/>
      <c r="V124" s="408">
        <v>8190.8756799999992</v>
      </c>
      <c r="W124" s="408">
        <v>8190.8756799999992</v>
      </c>
      <c r="X124" s="408">
        <v>4861.7895399999998</v>
      </c>
      <c r="Y124" s="408">
        <v>0</v>
      </c>
      <c r="Z124" s="408">
        <v>152.34246916875051</v>
      </c>
      <c r="AA124" s="408">
        <v>0</v>
      </c>
      <c r="AB124" s="408">
        <v>0</v>
      </c>
      <c r="AC124" s="408">
        <v>0</v>
      </c>
      <c r="AD124" s="408">
        <v>1833.8283502165798</v>
      </c>
      <c r="AE124" s="408">
        <v>5413.1277545223793</v>
      </c>
      <c r="AF124" s="408">
        <v>714.04265472727093</v>
      </c>
      <c r="AG124" s="408">
        <v>0</v>
      </c>
      <c r="AH124" s="408">
        <v>0</v>
      </c>
      <c r="AI124" s="408">
        <v>0</v>
      </c>
      <c r="AJ124" s="408">
        <v>0</v>
      </c>
      <c r="AK124" s="408">
        <v>0</v>
      </c>
      <c r="AL124" s="408">
        <v>27.067273619901936</v>
      </c>
      <c r="AM124" s="408"/>
      <c r="AN124" s="408">
        <v>6.8111202756558669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43.662063642269715</v>
      </c>
      <c r="BH124" s="408">
        <v>0</v>
      </c>
      <c r="BI124" s="408">
        <v>0</v>
      </c>
      <c r="BJ124" s="408">
        <v>0</v>
      </c>
      <c r="BK124" s="408">
        <v>0</v>
      </c>
      <c r="BL124" s="408">
        <v>0</v>
      </c>
      <c r="BM124" s="408"/>
      <c r="BN124" s="408"/>
      <c r="BO124" s="408"/>
      <c r="BP124" s="408"/>
      <c r="BQ124" s="408"/>
      <c r="BR124" s="408">
        <v>194.47158159999961</v>
      </c>
      <c r="BS124" s="408"/>
      <c r="BT124" s="408"/>
      <c r="BU124" s="408"/>
      <c r="BV124" s="408">
        <v>757.70471836954061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4671.1648000000005</v>
      </c>
      <c r="CJ124" s="408">
        <v>-3192.1058528000012</v>
      </c>
      <c r="CK124" s="408"/>
      <c r="CL124" s="408"/>
      <c r="CM124" s="408"/>
      <c r="CN124" s="408"/>
      <c r="CO124" s="408">
        <v>-3329.0861399999999</v>
      </c>
      <c r="CP124" s="408">
        <v>0</v>
      </c>
      <c r="CQ124" s="408">
        <v>30</v>
      </c>
      <c r="CR124" s="408">
        <v>-10.043941483439085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-4.7131003505310218</v>
      </c>
      <c r="DA124" s="408">
        <v>0</v>
      </c>
      <c r="DB124" s="408">
        <v>0</v>
      </c>
      <c r="DC124" s="408">
        <v>-1.0010421647166368E-7</v>
      </c>
      <c r="DD124" s="408">
        <v>0</v>
      </c>
      <c r="DE124" s="408">
        <v>0</v>
      </c>
      <c r="DF124" s="408">
        <v>0</v>
      </c>
      <c r="DG124" s="408">
        <v>-6.1211906654534687E-9</v>
      </c>
      <c r="DH124" s="408">
        <v>0</v>
      </c>
      <c r="DI124" s="408">
        <v>-4.429675540153454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-0.67998713618022322</v>
      </c>
      <c r="DP124" s="408">
        <v>-0.2211783503491862</v>
      </c>
      <c r="DQ124" s="408">
        <v>0</v>
      </c>
      <c r="DR124" s="408">
        <v>0</v>
      </c>
      <c r="DS124" s="408"/>
      <c r="DT124" s="408"/>
      <c r="DU124" s="408"/>
      <c r="DV124" s="408">
        <v>5413.1277545223793</v>
      </c>
      <c r="DW124" s="408">
        <v>0</v>
      </c>
      <c r="DX124" s="408">
        <v>0</v>
      </c>
      <c r="DY124" s="408">
        <v>-3329.0861399999994</v>
      </c>
      <c r="DZ124" s="408">
        <v>0</v>
      </c>
      <c r="EA124" s="408">
        <v>0</v>
      </c>
      <c r="EB124" s="408">
        <v>0</v>
      </c>
      <c r="EC124" s="408">
        <v>-3319.0328764457636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265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>
      <c r="A125" s="408">
        <v>131</v>
      </c>
      <c r="B125" s="408" t="s">
        <v>1031</v>
      </c>
      <c r="C125" s="408" t="s">
        <v>2235</v>
      </c>
      <c r="D125" s="408" t="s">
        <v>596</v>
      </c>
      <c r="E125" s="408" t="s">
        <v>969</v>
      </c>
      <c r="F125" s="408" t="s">
        <v>1317</v>
      </c>
      <c r="G125" s="408" t="s">
        <v>1317</v>
      </c>
      <c r="H125" s="408" t="s">
        <v>1317</v>
      </c>
      <c r="I125" s="408" t="s">
        <v>2236</v>
      </c>
      <c r="J125" s="408" t="s">
        <v>2228</v>
      </c>
      <c r="K125" s="828">
        <v>44440</v>
      </c>
      <c r="L125" s="408">
        <v>0</v>
      </c>
      <c r="M125" s="408">
        <v>0</v>
      </c>
      <c r="N125" s="408">
        <v>25.841999999999999</v>
      </c>
      <c r="O125" s="408">
        <v>24.808319999999998</v>
      </c>
      <c r="P125" s="408">
        <v>25.841999999999999</v>
      </c>
      <c r="Q125" s="408">
        <v>24.808319999999998</v>
      </c>
      <c r="R125" s="408"/>
      <c r="S125" s="408">
        <v>81.2</v>
      </c>
      <c r="T125" s="408">
        <v>252.22</v>
      </c>
      <c r="U125" s="408"/>
      <c r="V125" s="408">
        <v>8616.2396399999998</v>
      </c>
      <c r="W125" s="408">
        <v>8616.2396399999998</v>
      </c>
      <c r="X125" s="408">
        <v>8567.6566800000001</v>
      </c>
      <c r="Y125" s="408">
        <v>0</v>
      </c>
      <c r="Z125" s="408">
        <v>1390.6160679119923</v>
      </c>
      <c r="AA125" s="408">
        <v>0</v>
      </c>
      <c r="AB125" s="408">
        <v>0</v>
      </c>
      <c r="AC125" s="408">
        <v>0</v>
      </c>
      <c r="AD125" s="408">
        <v>0</v>
      </c>
      <c r="AE125" s="408">
        <v>0</v>
      </c>
      <c r="AF125" s="408">
        <v>6517.9407571395741</v>
      </c>
      <c r="AG125" s="408">
        <v>0</v>
      </c>
      <c r="AH125" s="408">
        <v>0</v>
      </c>
      <c r="AI125" s="408">
        <v>0</v>
      </c>
      <c r="AJ125" s="408">
        <v>0</v>
      </c>
      <c r="AK125" s="408">
        <v>0</v>
      </c>
      <c r="AL125" s="408">
        <v>247.07611617290914</v>
      </c>
      <c r="AM125" s="408"/>
      <c r="AN125" s="408">
        <v>62.173426408865737</v>
      </c>
      <c r="AO125" s="408">
        <v>0</v>
      </c>
      <c r="AP125" s="408">
        <v>0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>
        <v>0</v>
      </c>
      <c r="BG125" s="408">
        <v>398.55706416232209</v>
      </c>
      <c r="BH125" s="408">
        <v>0</v>
      </c>
      <c r="BI125" s="408">
        <v>0</v>
      </c>
      <c r="BJ125" s="408">
        <v>0</v>
      </c>
      <c r="BK125" s="408">
        <v>0</v>
      </c>
      <c r="BL125" s="408">
        <v>0</v>
      </c>
      <c r="BM125" s="408"/>
      <c r="BN125" s="408"/>
      <c r="BO125" s="408"/>
      <c r="BP125" s="408"/>
      <c r="BQ125" s="408"/>
      <c r="BR125" s="408">
        <v>342.70626720000007</v>
      </c>
      <c r="BS125" s="408"/>
      <c r="BT125" s="408"/>
      <c r="BU125" s="408"/>
      <c r="BV125" s="408">
        <v>6916.4978213018958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8225.5074000000004</v>
      </c>
      <c r="CJ125" s="408">
        <v>-46.112654399999883</v>
      </c>
      <c r="CK125" s="408"/>
      <c r="CL125" s="408"/>
      <c r="CM125" s="408"/>
      <c r="CN125" s="408"/>
      <c r="CO125" s="408">
        <v>-48.582960000000249</v>
      </c>
      <c r="CP125" s="408">
        <v>0</v>
      </c>
      <c r="CQ125" s="408">
        <v>30</v>
      </c>
      <c r="CR125" s="408">
        <v>-48.661107932397499</v>
      </c>
      <c r="CS125" s="408">
        <v>0</v>
      </c>
      <c r="CT125" s="408">
        <v>0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0</v>
      </c>
      <c r="DA125" s="408">
        <v>0</v>
      </c>
      <c r="DB125" s="408">
        <v>0</v>
      </c>
      <c r="DC125" s="408">
        <v>-9.1377296485006809E-7</v>
      </c>
      <c r="DD125" s="408">
        <v>0</v>
      </c>
      <c r="DE125" s="408">
        <v>0</v>
      </c>
      <c r="DF125" s="408">
        <v>0</v>
      </c>
      <c r="DG125" s="408">
        <v>-5.5875545967865037E-8</v>
      </c>
      <c r="DH125" s="408">
        <v>0</v>
      </c>
      <c r="DI125" s="408">
        <v>-40.435067223117358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-6.2070743811972022</v>
      </c>
      <c r="DP125" s="408">
        <v>-2.0189653584329506</v>
      </c>
      <c r="DQ125" s="408">
        <v>0</v>
      </c>
      <c r="DR125" s="408">
        <v>0</v>
      </c>
      <c r="DS125" s="408"/>
      <c r="DT125" s="408"/>
      <c r="DU125" s="408"/>
      <c r="DV125" s="408">
        <v>0</v>
      </c>
      <c r="DW125" s="408">
        <v>0</v>
      </c>
      <c r="DX125" s="408">
        <v>0</v>
      </c>
      <c r="DY125" s="408">
        <v>-48.582960000000185</v>
      </c>
      <c r="DZ125" s="408">
        <v>0</v>
      </c>
      <c r="EA125" s="408">
        <v>0</v>
      </c>
      <c r="EB125" s="408">
        <v>0</v>
      </c>
      <c r="EC125" s="408">
        <v>0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265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>
      <c r="A126" s="408">
        <v>132</v>
      </c>
      <c r="B126" s="408" t="s">
        <v>1031</v>
      </c>
      <c r="C126" s="408" t="s">
        <v>2235</v>
      </c>
      <c r="D126" s="408" t="s">
        <v>596</v>
      </c>
      <c r="E126" s="408" t="s">
        <v>969</v>
      </c>
      <c r="F126" s="408" t="s">
        <v>1317</v>
      </c>
      <c r="G126" s="408" t="s">
        <v>1317</v>
      </c>
      <c r="H126" s="408" t="s">
        <v>1317</v>
      </c>
      <c r="I126" s="408" t="s">
        <v>1317</v>
      </c>
      <c r="J126" s="408" t="s">
        <v>2228</v>
      </c>
      <c r="K126" s="828">
        <v>44440</v>
      </c>
      <c r="L126" s="408">
        <v>139</v>
      </c>
      <c r="M126" s="408">
        <v>133.44</v>
      </c>
      <c r="N126" s="408">
        <v>0</v>
      </c>
      <c r="O126" s="408">
        <v>0</v>
      </c>
      <c r="P126" s="408">
        <v>0</v>
      </c>
      <c r="Q126" s="408">
        <v>0</v>
      </c>
      <c r="R126" s="408">
        <v>74.44</v>
      </c>
      <c r="S126" s="408"/>
      <c r="T126" s="408"/>
      <c r="U126" s="408">
        <v>10347.16</v>
      </c>
      <c r="V126" s="408"/>
      <c r="W126" s="408">
        <v>10347.16</v>
      </c>
      <c r="X126" s="408">
        <v>6313.38</v>
      </c>
      <c r="Y126" s="408">
        <v>0</v>
      </c>
      <c r="Z126" s="408">
        <v>0</v>
      </c>
      <c r="AA126" s="408">
        <v>0</v>
      </c>
      <c r="AB126" s="408">
        <v>0</v>
      </c>
      <c r="AC126" s="408">
        <v>0</v>
      </c>
      <c r="AD126" s="408">
        <v>3783.1758617328005</v>
      </c>
      <c r="AE126" s="408">
        <v>6563.7937728507695</v>
      </c>
      <c r="AF126" s="408"/>
      <c r="AG126" s="408"/>
      <c r="AH126" s="408"/>
      <c r="AI126" s="408">
        <v>0</v>
      </c>
      <c r="AJ126" s="408">
        <v>0</v>
      </c>
      <c r="AK126" s="408">
        <v>0</v>
      </c>
      <c r="AL126" s="408">
        <v>0</v>
      </c>
      <c r="AM126" s="408"/>
      <c r="AN126" s="408">
        <v>0</v>
      </c>
      <c r="AO126" s="408">
        <v>0</v>
      </c>
      <c r="AP126" s="408">
        <v>0</v>
      </c>
      <c r="AQ126" s="408">
        <v>0</v>
      </c>
      <c r="AR126" s="408">
        <v>0</v>
      </c>
      <c r="AS126" s="408"/>
      <c r="AT126" s="408"/>
      <c r="AU126" s="408">
        <v>0</v>
      </c>
      <c r="AV126" s="408">
        <v>0</v>
      </c>
      <c r="AW126" s="408">
        <v>0</v>
      </c>
      <c r="AX126" s="408"/>
      <c r="AY126" s="408"/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/>
      <c r="BG126" s="408">
        <v>0</v>
      </c>
      <c r="BH126" s="408">
        <v>0</v>
      </c>
      <c r="BI126" s="408">
        <v>0</v>
      </c>
      <c r="BJ126" s="408">
        <v>0</v>
      </c>
      <c r="BK126" s="408">
        <v>16.350000000000001</v>
      </c>
      <c r="BL126" s="408">
        <v>2</v>
      </c>
      <c r="BM126" s="408"/>
      <c r="BN126" s="408"/>
      <c r="BO126" s="408"/>
      <c r="BP126" s="408"/>
      <c r="BQ126" s="408"/>
      <c r="BR126" s="408">
        <v>252.53520000000012</v>
      </c>
      <c r="BS126" s="408"/>
      <c r="BT126" s="408"/>
      <c r="BU126" s="408"/>
      <c r="BV126" s="408">
        <v>0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6060.8447999999999</v>
      </c>
      <c r="CJ126" s="408">
        <v>-3872.4587999999994</v>
      </c>
      <c r="CK126" s="408"/>
      <c r="CL126" s="408"/>
      <c r="CM126" s="408"/>
      <c r="CN126" s="408"/>
      <c r="CO126" s="408">
        <v>-4033.7799999999993</v>
      </c>
      <c r="CP126" s="408">
        <v>0</v>
      </c>
      <c r="CQ126" s="408">
        <v>30</v>
      </c>
      <c r="CR126" s="408">
        <v>-9.7230951184410515</v>
      </c>
      <c r="CS126" s="408">
        <v>0</v>
      </c>
      <c r="CT126" s="408">
        <v>0</v>
      </c>
      <c r="CU126" s="408">
        <v>0</v>
      </c>
      <c r="CV126" s="408">
        <v>0</v>
      </c>
      <c r="CW126" s="408"/>
      <c r="CX126" s="408"/>
      <c r="CY126" s="408"/>
      <c r="CZ126" s="408">
        <v>-9.7230951184410515</v>
      </c>
      <c r="DA126" s="408">
        <v>0</v>
      </c>
      <c r="DB126" s="408">
        <v>0</v>
      </c>
      <c r="DC126" s="408"/>
      <c r="DD126" s="408"/>
      <c r="DE126" s="408">
        <v>0</v>
      </c>
      <c r="DF126" s="408">
        <v>0</v>
      </c>
      <c r="DG126" s="408">
        <v>0</v>
      </c>
      <c r="DH126" s="408">
        <v>0</v>
      </c>
      <c r="DI126" s="408">
        <v>0</v>
      </c>
      <c r="DJ126" s="408"/>
      <c r="DK126" s="408">
        <v>0</v>
      </c>
      <c r="DL126" s="408">
        <v>0</v>
      </c>
      <c r="DM126" s="408"/>
      <c r="DN126" s="408">
        <v>0</v>
      </c>
      <c r="DO126" s="408">
        <v>0</v>
      </c>
      <c r="DP126" s="408">
        <v>0</v>
      </c>
      <c r="DQ126" s="408">
        <v>0</v>
      </c>
      <c r="DR126" s="408">
        <v>0</v>
      </c>
      <c r="DS126" s="408"/>
      <c r="DT126" s="408"/>
      <c r="DU126" s="408">
        <v>6563.7937728507695</v>
      </c>
      <c r="DV126" s="408"/>
      <c r="DW126" s="408">
        <v>0</v>
      </c>
      <c r="DX126" s="408">
        <v>0</v>
      </c>
      <c r="DY126" s="408">
        <v>-4033.7799999999997</v>
      </c>
      <c r="DZ126" s="408"/>
      <c r="EA126" s="408">
        <v>0</v>
      </c>
      <c r="EB126" s="408"/>
      <c r="EC126" s="408">
        <v>-4024.5581324218952</v>
      </c>
      <c r="ED126" s="408"/>
      <c r="EE126" s="408">
        <v>0</v>
      </c>
      <c r="EF126" s="408">
        <v>0</v>
      </c>
      <c r="EG126" s="408"/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/>
      <c r="EN126" s="408"/>
      <c r="EO126" s="408">
        <v>0</v>
      </c>
      <c r="EP126" s="408">
        <v>0</v>
      </c>
      <c r="EQ126" s="408"/>
      <c r="ER126" s="408">
        <v>0</v>
      </c>
      <c r="ES126" s="408"/>
      <c r="ET126" s="408">
        <v>0</v>
      </c>
      <c r="EU126" s="408"/>
      <c r="EV126" s="408">
        <v>265</v>
      </c>
      <c r="EW126" s="408"/>
      <c r="EX126" s="408"/>
      <c r="EY126" s="408"/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>
      <c r="A127" s="408">
        <v>133</v>
      </c>
      <c r="B127" s="408" t="s">
        <v>2230</v>
      </c>
      <c r="C127" s="408" t="s">
        <v>2235</v>
      </c>
      <c r="D127" s="408" t="s">
        <v>596</v>
      </c>
      <c r="E127" s="408" t="s">
        <v>969</v>
      </c>
      <c r="F127" s="408" t="s">
        <v>1317</v>
      </c>
      <c r="G127" s="408" t="s">
        <v>1317</v>
      </c>
      <c r="H127" s="408" t="s">
        <v>1317</v>
      </c>
      <c r="I127" s="408" t="s">
        <v>1317</v>
      </c>
      <c r="J127" s="408" t="s">
        <v>2228</v>
      </c>
      <c r="K127" s="828">
        <v>44440</v>
      </c>
      <c r="L127" s="408">
        <v>415</v>
      </c>
      <c r="M127" s="408">
        <v>398.4</v>
      </c>
      <c r="N127" s="408">
        <v>0</v>
      </c>
      <c r="O127" s="408">
        <v>0</v>
      </c>
      <c r="P127" s="408">
        <v>0</v>
      </c>
      <c r="Q127" s="408">
        <v>0</v>
      </c>
      <c r="R127" s="408">
        <v>74.44</v>
      </c>
      <c r="S127" s="408"/>
      <c r="T127" s="408"/>
      <c r="U127" s="408">
        <v>30892.6</v>
      </c>
      <c r="V127" s="408"/>
      <c r="W127" s="408">
        <v>30892.6</v>
      </c>
      <c r="X127" s="408">
        <v>18849.3</v>
      </c>
      <c r="Y127" s="408">
        <v>0</v>
      </c>
      <c r="Z127" s="408">
        <v>0</v>
      </c>
      <c r="AA127" s="408">
        <v>0</v>
      </c>
      <c r="AB127" s="408">
        <v>0</v>
      </c>
      <c r="AC127" s="408">
        <v>0</v>
      </c>
      <c r="AD127" s="408">
        <v>11295.093400137497</v>
      </c>
      <c r="AE127" s="408">
        <v>19596.938242683955</v>
      </c>
      <c r="AF127" s="408"/>
      <c r="AG127" s="408"/>
      <c r="AH127" s="408"/>
      <c r="AI127" s="408">
        <v>0</v>
      </c>
      <c r="AJ127" s="408">
        <v>0</v>
      </c>
      <c r="AK127" s="408">
        <v>0</v>
      </c>
      <c r="AL127" s="408">
        <v>0</v>
      </c>
      <c r="AM127" s="408"/>
      <c r="AN127" s="408">
        <v>0</v>
      </c>
      <c r="AO127" s="408">
        <v>0</v>
      </c>
      <c r="AP127" s="408">
        <v>0</v>
      </c>
      <c r="AQ127" s="408">
        <v>0</v>
      </c>
      <c r="AR127" s="408">
        <v>0</v>
      </c>
      <c r="AS127" s="408"/>
      <c r="AT127" s="408"/>
      <c r="AU127" s="408">
        <v>0</v>
      </c>
      <c r="AV127" s="408">
        <v>0</v>
      </c>
      <c r="AW127" s="408">
        <v>0</v>
      </c>
      <c r="AX127" s="408"/>
      <c r="AY127" s="408"/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/>
      <c r="BG127" s="408">
        <v>0</v>
      </c>
      <c r="BH127" s="408">
        <v>0</v>
      </c>
      <c r="BI127" s="408">
        <v>0</v>
      </c>
      <c r="BJ127" s="408">
        <v>0</v>
      </c>
      <c r="BK127" s="408">
        <v>10.28</v>
      </c>
      <c r="BL127" s="408">
        <v>4</v>
      </c>
      <c r="BM127" s="408"/>
      <c r="BN127" s="408"/>
      <c r="BO127" s="408"/>
      <c r="BP127" s="408"/>
      <c r="BQ127" s="408"/>
      <c r="BR127" s="408">
        <v>753.97200000000112</v>
      </c>
      <c r="BS127" s="408"/>
      <c r="BT127" s="408"/>
      <c r="BU127" s="408"/>
      <c r="BV127" s="408">
        <v>0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18095.328000000001</v>
      </c>
      <c r="CJ127" s="408">
        <v>-11561.597999999991</v>
      </c>
      <c r="CK127" s="408"/>
      <c r="CL127" s="408"/>
      <c r="CM127" s="408"/>
      <c r="CN127" s="408"/>
      <c r="CO127" s="408">
        <v>-12043.299999999997</v>
      </c>
      <c r="CP127" s="408">
        <v>0</v>
      </c>
      <c r="CQ127" s="408">
        <v>30</v>
      </c>
      <c r="CR127" s="408">
        <v>-29.029384706136625</v>
      </c>
      <c r="CS127" s="408">
        <v>0</v>
      </c>
      <c r="CT127" s="408">
        <v>0</v>
      </c>
      <c r="CU127" s="408">
        <v>0</v>
      </c>
      <c r="CV127" s="408">
        <v>0</v>
      </c>
      <c r="CW127" s="408"/>
      <c r="CX127" s="408"/>
      <c r="CY127" s="408"/>
      <c r="CZ127" s="408">
        <v>-29.029384706136625</v>
      </c>
      <c r="DA127" s="408">
        <v>0</v>
      </c>
      <c r="DB127" s="408">
        <v>0</v>
      </c>
      <c r="DC127" s="408"/>
      <c r="DD127" s="408"/>
      <c r="DE127" s="408">
        <v>0</v>
      </c>
      <c r="DF127" s="408">
        <v>0</v>
      </c>
      <c r="DG127" s="408">
        <v>0</v>
      </c>
      <c r="DH127" s="408">
        <v>0</v>
      </c>
      <c r="DI127" s="408">
        <v>0</v>
      </c>
      <c r="DJ127" s="408"/>
      <c r="DK127" s="408">
        <v>0</v>
      </c>
      <c r="DL127" s="408">
        <v>0</v>
      </c>
      <c r="DM127" s="408"/>
      <c r="DN127" s="408">
        <v>0</v>
      </c>
      <c r="DO127" s="408">
        <v>0</v>
      </c>
      <c r="DP127" s="408">
        <v>0</v>
      </c>
      <c r="DQ127" s="408">
        <v>0</v>
      </c>
      <c r="DR127" s="408">
        <v>0</v>
      </c>
      <c r="DS127" s="408"/>
      <c r="DT127" s="408"/>
      <c r="DU127" s="408">
        <v>19596.938242683955</v>
      </c>
      <c r="DV127" s="408"/>
      <c r="DW127" s="408">
        <v>0</v>
      </c>
      <c r="DX127" s="408">
        <v>0</v>
      </c>
      <c r="DY127" s="408">
        <v>-12043.3</v>
      </c>
      <c r="DZ127" s="408"/>
      <c r="EA127" s="408">
        <v>0</v>
      </c>
      <c r="EB127" s="408"/>
      <c r="EC127" s="408">
        <v>-12015.76708600782</v>
      </c>
      <c r="ED127" s="408"/>
      <c r="EE127" s="408">
        <v>0</v>
      </c>
      <c r="EF127" s="408">
        <v>0</v>
      </c>
      <c r="EG127" s="408"/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/>
      <c r="EN127" s="408"/>
      <c r="EO127" s="408">
        <v>0</v>
      </c>
      <c r="EP127" s="408">
        <v>0</v>
      </c>
      <c r="EQ127" s="408"/>
      <c r="ER127" s="408">
        <v>0</v>
      </c>
      <c r="ES127" s="408"/>
      <c r="ET127" s="408">
        <v>0</v>
      </c>
      <c r="EU127" s="408"/>
      <c r="EV127" s="408">
        <v>265</v>
      </c>
      <c r="EW127" s="408"/>
      <c r="EX127" s="408"/>
      <c r="EY127" s="408"/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>
      <c r="A128" s="408">
        <v>134</v>
      </c>
      <c r="B128" s="408" t="s">
        <v>1031</v>
      </c>
      <c r="C128" s="408" t="s">
        <v>2227</v>
      </c>
      <c r="D128" s="408" t="s">
        <v>1952</v>
      </c>
      <c r="E128" s="408" t="s">
        <v>2238</v>
      </c>
      <c r="F128" s="408" t="s">
        <v>1317</v>
      </c>
      <c r="G128" s="408" t="s">
        <v>1317</v>
      </c>
      <c r="H128" s="408" t="s">
        <v>1317</v>
      </c>
      <c r="I128" s="408" t="s">
        <v>1317</v>
      </c>
      <c r="J128" s="408" t="s">
        <v>2228</v>
      </c>
      <c r="K128" s="828">
        <v>44440</v>
      </c>
      <c r="L128" s="408">
        <v>0</v>
      </c>
      <c r="M128" s="408">
        <v>0</v>
      </c>
      <c r="N128" s="408">
        <v>169.28</v>
      </c>
      <c r="O128" s="408">
        <v>169.28</v>
      </c>
      <c r="P128" s="408">
        <v>169.28</v>
      </c>
      <c r="Q128" s="408">
        <v>169.28</v>
      </c>
      <c r="R128" s="408"/>
      <c r="S128" s="408">
        <v>739.04</v>
      </c>
      <c r="T128" s="408">
        <v>252.22</v>
      </c>
      <c r="U128" s="408"/>
      <c r="V128" s="408">
        <v>167800.49280000001</v>
      </c>
      <c r="W128" s="408">
        <v>167800.49280000001</v>
      </c>
      <c r="X128" s="408">
        <v>114766.7616</v>
      </c>
      <c r="Y128" s="408">
        <v>0</v>
      </c>
      <c r="Z128" s="408">
        <v>10470.502353210184</v>
      </c>
      <c r="AA128" s="408">
        <v>0</v>
      </c>
      <c r="AB128" s="408">
        <v>0</v>
      </c>
      <c r="AC128" s="408">
        <v>0</v>
      </c>
      <c r="AD128" s="408">
        <v>20905.67049411466</v>
      </c>
      <c r="AE128" s="408">
        <v>85822.889714661389</v>
      </c>
      <c r="AF128" s="408">
        <v>42696.27007849962</v>
      </c>
      <c r="AG128" s="408">
        <v>0</v>
      </c>
      <c r="AH128" s="408">
        <v>0</v>
      </c>
      <c r="AI128" s="408">
        <v>0</v>
      </c>
      <c r="AJ128" s="408">
        <v>0</v>
      </c>
      <c r="AK128" s="408">
        <v>0</v>
      </c>
      <c r="AL128" s="408">
        <v>1618.4910202673966</v>
      </c>
      <c r="AM128" s="408"/>
      <c r="AN128" s="408">
        <v>396.67357671292189</v>
      </c>
      <c r="AO128" s="408">
        <v>0</v>
      </c>
      <c r="AP128" s="408">
        <v>0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5889.9702949342654</v>
      </c>
      <c r="BH128" s="408">
        <v>0</v>
      </c>
      <c r="BI128" s="408">
        <v>0</v>
      </c>
      <c r="BJ128" s="408">
        <v>0</v>
      </c>
      <c r="BK128" s="408">
        <v>52855.12</v>
      </c>
      <c r="BL128" s="408">
        <v>366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48586.240373433888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114766.7616</v>
      </c>
      <c r="CJ128" s="408">
        <v>-53033.761200000008</v>
      </c>
      <c r="CK128" s="408"/>
      <c r="CL128" s="408"/>
      <c r="CM128" s="408"/>
      <c r="CN128" s="408"/>
      <c r="CO128" s="408">
        <v>-53033.731199999995</v>
      </c>
      <c r="CP128" s="408">
        <v>0</v>
      </c>
      <c r="CQ128" s="408">
        <v>30</v>
      </c>
      <c r="CR128" s="408">
        <v>-411.72229631204391</v>
      </c>
      <c r="CS128" s="408">
        <v>0</v>
      </c>
      <c r="CT128" s="408">
        <v>0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-53.729414163626643</v>
      </c>
      <c r="DA128" s="408">
        <v>0</v>
      </c>
      <c r="DB128" s="408">
        <v>0</v>
      </c>
      <c r="DC128" s="408">
        <v>-5.9857411542907357E-6</v>
      </c>
      <c r="DD128" s="408">
        <v>0</v>
      </c>
      <c r="DE128" s="408">
        <v>0</v>
      </c>
      <c r="DF128" s="408">
        <v>0</v>
      </c>
      <c r="DG128" s="408">
        <v>-8.2573114923434332E-7</v>
      </c>
      <c r="DH128" s="408">
        <v>0</v>
      </c>
      <c r="DI128" s="408">
        <v>-304.45172918759636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-40.659916076505851</v>
      </c>
      <c r="DP128" s="408">
        <v>-12.881230072834001</v>
      </c>
      <c r="DQ128" s="408">
        <v>0</v>
      </c>
      <c r="DR128" s="408">
        <v>0</v>
      </c>
      <c r="DS128" s="408"/>
      <c r="DT128" s="408"/>
      <c r="DU128" s="408"/>
      <c r="DV128" s="408">
        <v>85822.889714661389</v>
      </c>
      <c r="DW128" s="408">
        <v>0</v>
      </c>
      <c r="DX128" s="408">
        <v>0</v>
      </c>
      <c r="DY128" s="408">
        <v>-53033.731199999995</v>
      </c>
      <c r="DZ128" s="408">
        <v>0</v>
      </c>
      <c r="EA128" s="408">
        <v>0</v>
      </c>
      <c r="EB128" s="408">
        <v>0</v>
      </c>
      <c r="EC128" s="408">
        <v>-52621.886168595243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265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>
      <c r="A129" s="408">
        <v>135</v>
      </c>
      <c r="B129" s="408" t="s">
        <v>2230</v>
      </c>
      <c r="C129" s="408" t="s">
        <v>2227</v>
      </c>
      <c r="D129" s="408" t="s">
        <v>1952</v>
      </c>
      <c r="E129" s="408" t="s">
        <v>2238</v>
      </c>
      <c r="F129" s="408" t="s">
        <v>1317</v>
      </c>
      <c r="G129" s="408" t="s">
        <v>1317</v>
      </c>
      <c r="H129" s="408" t="s">
        <v>1317</v>
      </c>
      <c r="I129" s="408" t="s">
        <v>1317</v>
      </c>
      <c r="J129" s="408" t="s">
        <v>2228</v>
      </c>
      <c r="K129" s="828">
        <v>44440</v>
      </c>
      <c r="L129" s="408">
        <v>0</v>
      </c>
      <c r="M129" s="408">
        <v>0</v>
      </c>
      <c r="N129" s="408">
        <v>0.41899999999999998</v>
      </c>
      <c r="O129" s="408">
        <v>0.41899999999999998</v>
      </c>
      <c r="P129" s="408">
        <v>0.41899999999999998</v>
      </c>
      <c r="Q129" s="408">
        <v>0.41899999999999998</v>
      </c>
      <c r="R129" s="408"/>
      <c r="S129" s="408">
        <v>739.04</v>
      </c>
      <c r="T129" s="408">
        <v>252.22</v>
      </c>
      <c r="U129" s="408"/>
      <c r="V129" s="408">
        <v>415.33794</v>
      </c>
      <c r="W129" s="408">
        <v>415.33794</v>
      </c>
      <c r="X129" s="408">
        <v>284.06943000000001</v>
      </c>
      <c r="Y129" s="408">
        <v>0</v>
      </c>
      <c r="Z129" s="408">
        <v>25.916472625207156</v>
      </c>
      <c r="AA129" s="408">
        <v>0</v>
      </c>
      <c r="AB129" s="408">
        <v>0</v>
      </c>
      <c r="AC129" s="408">
        <v>0</v>
      </c>
      <c r="AD129" s="408">
        <v>51.745486395522462</v>
      </c>
      <c r="AE129" s="408">
        <v>212.42787565242864</v>
      </c>
      <c r="AF129" s="408">
        <v>105.68133957284581</v>
      </c>
      <c r="AG129" s="408">
        <v>0</v>
      </c>
      <c r="AH129" s="408">
        <v>0</v>
      </c>
      <c r="AI129" s="408">
        <v>0</v>
      </c>
      <c r="AJ129" s="408">
        <v>0</v>
      </c>
      <c r="AK129" s="408">
        <v>0</v>
      </c>
      <c r="AL129" s="408">
        <v>4.0060712280956938</v>
      </c>
      <c r="AM129" s="408"/>
      <c r="AN129" s="408">
        <v>0.98184208791773553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14.578789895897076</v>
      </c>
      <c r="BH129" s="408">
        <v>0</v>
      </c>
      <c r="BI129" s="408">
        <v>0</v>
      </c>
      <c r="BJ129" s="408">
        <v>0</v>
      </c>
      <c r="BK129" s="408">
        <v>221.93</v>
      </c>
      <c r="BL129" s="408">
        <v>2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>
        <v>120.26012946874289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284.74739999999997</v>
      </c>
      <c r="CJ129" s="408">
        <v>-130.62054000000001</v>
      </c>
      <c r="CK129" s="408"/>
      <c r="CL129" s="408"/>
      <c r="CM129" s="408"/>
      <c r="CN129" s="408"/>
      <c r="CO129" s="408">
        <v>-131.26850999999999</v>
      </c>
      <c r="CP129" s="408">
        <v>0</v>
      </c>
      <c r="CQ129" s="408">
        <v>30</v>
      </c>
      <c r="CR129" s="408">
        <v>-1.0190905136740298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-0.1329904568440412</v>
      </c>
      <c r="DA129" s="408">
        <v>0</v>
      </c>
      <c r="DB129" s="408">
        <v>0</v>
      </c>
      <c r="DC129" s="408">
        <v>-1.4815839222137583E-8</v>
      </c>
      <c r="DD129" s="408">
        <v>0</v>
      </c>
      <c r="DE129" s="408">
        <v>0</v>
      </c>
      <c r="DF129" s="408">
        <v>0</v>
      </c>
      <c r="DG129" s="408">
        <v>-2.0438406522771402E-9</v>
      </c>
      <c r="DH129" s="408">
        <v>0</v>
      </c>
      <c r="DI129" s="408">
        <v>-0.75357558205105946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-0.10064097847386488</v>
      </c>
      <c r="DP129" s="408">
        <v>-3.1883479445400931E-2</v>
      </c>
      <c r="DQ129" s="408">
        <v>0</v>
      </c>
      <c r="DR129" s="408">
        <v>0</v>
      </c>
      <c r="DS129" s="408"/>
      <c r="DT129" s="408"/>
      <c r="DU129" s="408"/>
      <c r="DV129" s="408">
        <v>212.42787565242864</v>
      </c>
      <c r="DW129" s="408">
        <v>0</v>
      </c>
      <c r="DX129" s="408">
        <v>0</v>
      </c>
      <c r="DY129" s="408">
        <v>-131.26850999999999</v>
      </c>
      <c r="DZ129" s="408">
        <v>0</v>
      </c>
      <c r="EA129" s="408">
        <v>0</v>
      </c>
      <c r="EB129" s="408">
        <v>0</v>
      </c>
      <c r="EC129" s="408">
        <v>-130.24911569377014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265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>
      <c r="A130" s="408">
        <v>136</v>
      </c>
      <c r="B130" s="408" t="s">
        <v>1031</v>
      </c>
      <c r="C130" s="408" t="s">
        <v>2227</v>
      </c>
      <c r="D130" s="408" t="s">
        <v>2240</v>
      </c>
      <c r="E130" s="408" t="s">
        <v>2241</v>
      </c>
      <c r="F130" s="408" t="s">
        <v>2242</v>
      </c>
      <c r="G130" s="408" t="s">
        <v>1317</v>
      </c>
      <c r="H130" s="408" t="s">
        <v>1317</v>
      </c>
      <c r="I130" s="408" t="s">
        <v>1317</v>
      </c>
      <c r="J130" s="408" t="s">
        <v>2228</v>
      </c>
      <c r="K130" s="828">
        <v>44440</v>
      </c>
      <c r="L130" s="408">
        <v>0</v>
      </c>
      <c r="M130" s="408">
        <v>0</v>
      </c>
      <c r="N130" s="408">
        <v>380.05599999999998</v>
      </c>
      <c r="O130" s="408">
        <v>380.05599999999998</v>
      </c>
      <c r="P130" s="408">
        <v>380.05599999999998</v>
      </c>
      <c r="Q130" s="408">
        <v>380.05599999999998</v>
      </c>
      <c r="R130" s="408"/>
      <c r="S130" s="408">
        <v>406.47</v>
      </c>
      <c r="T130" s="408">
        <v>138.72</v>
      </c>
      <c r="U130" s="408"/>
      <c r="V130" s="408">
        <v>207202.73064000002</v>
      </c>
      <c r="W130" s="408">
        <v>207202.73064000002</v>
      </c>
      <c r="X130" s="408">
        <v>141715.28128</v>
      </c>
      <c r="Y130" s="408">
        <v>0</v>
      </c>
      <c r="Z130" s="408">
        <v>12929.214811515852</v>
      </c>
      <c r="AA130" s="408">
        <v>0</v>
      </c>
      <c r="AB130" s="408">
        <v>0</v>
      </c>
      <c r="AC130" s="408">
        <v>0</v>
      </c>
      <c r="AD130" s="408">
        <v>25814.798132804815</v>
      </c>
      <c r="AE130" s="408">
        <v>105976.05916450522</v>
      </c>
      <c r="AF130" s="408">
        <v>52722.32686392255</v>
      </c>
      <c r="AG130" s="408">
        <v>0</v>
      </c>
      <c r="AH130" s="408">
        <v>0</v>
      </c>
      <c r="AI130" s="408">
        <v>0</v>
      </c>
      <c r="AJ130" s="408">
        <v>0</v>
      </c>
      <c r="AK130" s="408">
        <v>0</v>
      </c>
      <c r="AL130" s="408">
        <v>1998.549579154715</v>
      </c>
      <c r="AM130" s="408"/>
      <c r="AN130" s="408">
        <v>489.82156828428424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7273.0694868049668</v>
      </c>
      <c r="BH130" s="408">
        <v>0</v>
      </c>
      <c r="BI130" s="408">
        <v>0</v>
      </c>
      <c r="BJ130" s="408">
        <v>0</v>
      </c>
      <c r="BK130" s="408">
        <v>48293.19</v>
      </c>
      <c r="BL130" s="408">
        <v>66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59995.396350727518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141716.77280000001</v>
      </c>
      <c r="CJ130" s="408">
        <v>-65485.987840000045</v>
      </c>
      <c r="CK130" s="408"/>
      <c r="CL130" s="408"/>
      <c r="CM130" s="408"/>
      <c r="CN130" s="408"/>
      <c r="CO130" s="408">
        <v>-65487.449360000006</v>
      </c>
      <c r="CP130" s="408">
        <v>0</v>
      </c>
      <c r="CQ130" s="408">
        <v>30</v>
      </c>
      <c r="CR130" s="408">
        <v>-508.40407003711152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-66.346304502385465</v>
      </c>
      <c r="DA130" s="408">
        <v>0</v>
      </c>
      <c r="DB130" s="408">
        <v>0</v>
      </c>
      <c r="DC130" s="408">
        <v>-7.3909468483179808E-6</v>
      </c>
      <c r="DD130" s="408">
        <v>0</v>
      </c>
      <c r="DE130" s="408">
        <v>0</v>
      </c>
      <c r="DF130" s="408">
        <v>0</v>
      </c>
      <c r="DG130" s="408">
        <v>-1.0196145012741908E-6</v>
      </c>
      <c r="DH130" s="408">
        <v>0</v>
      </c>
      <c r="DI130" s="408">
        <v>-375.94393025440695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-50.207790556504733</v>
      </c>
      <c r="DP130" s="408">
        <v>-15.906036313260415</v>
      </c>
      <c r="DQ130" s="408">
        <v>0</v>
      </c>
      <c r="DR130" s="408">
        <v>0</v>
      </c>
      <c r="DS130" s="408"/>
      <c r="DT130" s="408"/>
      <c r="DU130" s="408"/>
      <c r="DV130" s="408">
        <v>105976.05916450522</v>
      </c>
      <c r="DW130" s="408">
        <v>0</v>
      </c>
      <c r="DX130" s="408">
        <v>0</v>
      </c>
      <c r="DY130" s="408">
        <v>-65487.449360000013</v>
      </c>
      <c r="DZ130" s="408">
        <v>0</v>
      </c>
      <c r="EA130" s="408">
        <v>0</v>
      </c>
      <c r="EB130" s="408">
        <v>0</v>
      </c>
      <c r="EC130" s="408">
        <v>-64978.703705874257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265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>
      <c r="A131" s="408">
        <v>137</v>
      </c>
      <c r="B131" s="408" t="s">
        <v>1031</v>
      </c>
      <c r="C131" s="408" t="s">
        <v>2227</v>
      </c>
      <c r="D131" s="408" t="s">
        <v>1952</v>
      </c>
      <c r="E131" s="408" t="s">
        <v>996</v>
      </c>
      <c r="F131" s="408" t="s">
        <v>2243</v>
      </c>
      <c r="G131" s="408" t="s">
        <v>1317</v>
      </c>
      <c r="H131" s="408" t="s">
        <v>1317</v>
      </c>
      <c r="I131" s="408" t="s">
        <v>1317</v>
      </c>
      <c r="J131" s="408" t="s">
        <v>2228</v>
      </c>
      <c r="K131" s="828">
        <v>44440</v>
      </c>
      <c r="L131" s="408">
        <v>0</v>
      </c>
      <c r="M131" s="408">
        <v>0</v>
      </c>
      <c r="N131" s="408">
        <v>79.253</v>
      </c>
      <c r="O131" s="408">
        <v>74.497820000000004</v>
      </c>
      <c r="P131" s="408">
        <v>79.253</v>
      </c>
      <c r="Q131" s="408">
        <v>74.497820000000004</v>
      </c>
      <c r="R131" s="408"/>
      <c r="S131" s="408">
        <v>739.04</v>
      </c>
      <c r="T131" s="408">
        <v>252.22</v>
      </c>
      <c r="U131" s="408"/>
      <c r="V131" s="408">
        <v>78560.328779999996</v>
      </c>
      <c r="W131" s="408">
        <v>78560.328779999996</v>
      </c>
      <c r="X131" s="408">
        <v>53731.156409999996</v>
      </c>
      <c r="Y131" s="408">
        <v>0</v>
      </c>
      <c r="Z131" s="408">
        <v>4902.0482218748039</v>
      </c>
      <c r="AA131" s="408">
        <v>0</v>
      </c>
      <c r="AB131" s="408">
        <v>0</v>
      </c>
      <c r="AC131" s="408">
        <v>0</v>
      </c>
      <c r="AD131" s="408">
        <v>9787.553778769312</v>
      </c>
      <c r="AE131" s="408">
        <v>40180.301740052331</v>
      </c>
      <c r="AF131" s="408">
        <v>19989.410990851433</v>
      </c>
      <c r="AG131" s="408">
        <v>0</v>
      </c>
      <c r="AH131" s="408">
        <v>0</v>
      </c>
      <c r="AI131" s="408">
        <v>0</v>
      </c>
      <c r="AJ131" s="408">
        <v>0</v>
      </c>
      <c r="AK131" s="408">
        <v>0</v>
      </c>
      <c r="AL131" s="408">
        <v>757.74024591949421</v>
      </c>
      <c r="AM131" s="408"/>
      <c r="AN131" s="408">
        <v>185.71343912588137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2757.5485336981646</v>
      </c>
      <c r="BH131" s="408">
        <v>0</v>
      </c>
      <c r="BI131" s="408">
        <v>0</v>
      </c>
      <c r="BJ131" s="408">
        <v>0</v>
      </c>
      <c r="BK131" s="408">
        <v>26998.080000000002</v>
      </c>
      <c r="BL131" s="408">
        <v>28</v>
      </c>
      <c r="BM131" s="408"/>
      <c r="BN131" s="408"/>
      <c r="BO131" s="408"/>
      <c r="BP131" s="408"/>
      <c r="BQ131" s="408">
        <v>3223.8693845999969</v>
      </c>
      <c r="BR131" s="408"/>
      <c r="BS131" s="408"/>
      <c r="BT131" s="408"/>
      <c r="BU131" s="408"/>
      <c r="BV131" s="408">
        <v>22746.959524549598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50508.764999999999</v>
      </c>
      <c r="CJ131" s="408">
        <v>-23337.9740532</v>
      </c>
      <c r="CK131" s="408"/>
      <c r="CL131" s="408"/>
      <c r="CM131" s="408"/>
      <c r="CN131" s="408"/>
      <c r="CO131" s="408">
        <v>-24829.172369999997</v>
      </c>
      <c r="CP131" s="408">
        <v>0</v>
      </c>
      <c r="CQ131" s="408">
        <v>30</v>
      </c>
      <c r="CR131" s="408">
        <v>-192.75890329405229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-25.154875122339945</v>
      </c>
      <c r="DA131" s="408">
        <v>0</v>
      </c>
      <c r="DB131" s="408">
        <v>0</v>
      </c>
      <c r="DC131" s="408">
        <v>-2.8023896447848529E-6</v>
      </c>
      <c r="DD131" s="408">
        <v>0</v>
      </c>
      <c r="DE131" s="408">
        <v>0</v>
      </c>
      <c r="DF131" s="408">
        <v>0</v>
      </c>
      <c r="DG131" s="408">
        <v>-3.8658845369354822E-7</v>
      </c>
      <c r="DH131" s="408">
        <v>0</v>
      </c>
      <c r="DI131" s="408">
        <v>-142.537292611677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-19.036036914055558</v>
      </c>
      <c r="DP131" s="408">
        <v>-6.0306954570079938</v>
      </c>
      <c r="DQ131" s="408">
        <v>0</v>
      </c>
      <c r="DR131" s="408">
        <v>0</v>
      </c>
      <c r="DS131" s="408"/>
      <c r="DT131" s="408"/>
      <c r="DU131" s="408"/>
      <c r="DV131" s="408">
        <v>40180.301740052331</v>
      </c>
      <c r="DW131" s="408">
        <v>0</v>
      </c>
      <c r="DX131" s="408">
        <v>0</v>
      </c>
      <c r="DY131" s="408">
        <v>-24829.17237</v>
      </c>
      <c r="DZ131" s="408">
        <v>0</v>
      </c>
      <c r="EA131" s="408">
        <v>0</v>
      </c>
      <c r="EB131" s="408">
        <v>0</v>
      </c>
      <c r="EC131" s="408">
        <v>-24636.356004960293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265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>
      <c r="A132" s="408">
        <v>138</v>
      </c>
      <c r="B132" s="408" t="s">
        <v>1031</v>
      </c>
      <c r="C132" s="408" t="s">
        <v>2227</v>
      </c>
      <c r="D132" s="408" t="s">
        <v>1952</v>
      </c>
      <c r="E132" s="408" t="s">
        <v>2244</v>
      </c>
      <c r="F132" s="408" t="s">
        <v>1317</v>
      </c>
      <c r="G132" s="408" t="s">
        <v>1317</v>
      </c>
      <c r="H132" s="408" t="s">
        <v>1317</v>
      </c>
      <c r="I132" s="408" t="s">
        <v>1317</v>
      </c>
      <c r="J132" s="408" t="s">
        <v>2228</v>
      </c>
      <c r="K132" s="828">
        <v>44440</v>
      </c>
      <c r="L132" s="408">
        <v>0</v>
      </c>
      <c r="M132" s="408">
        <v>0</v>
      </c>
      <c r="N132" s="408">
        <v>6.0609999999999999</v>
      </c>
      <c r="O132" s="408">
        <v>6.0609999999999999</v>
      </c>
      <c r="P132" s="408">
        <v>6.0609999999999999</v>
      </c>
      <c r="Q132" s="408">
        <v>6.0609999999999999</v>
      </c>
      <c r="R132" s="408"/>
      <c r="S132" s="408">
        <v>739.04</v>
      </c>
      <c r="T132" s="408">
        <v>252.22</v>
      </c>
      <c r="U132" s="408"/>
      <c r="V132" s="408">
        <v>6008.0268599999999</v>
      </c>
      <c r="W132" s="408">
        <v>6008.0268599999999</v>
      </c>
      <c r="X132" s="408">
        <v>4109.1761699999997</v>
      </c>
      <c r="Y132" s="408">
        <v>0</v>
      </c>
      <c r="Z132" s="408">
        <v>374.89198229446436</v>
      </c>
      <c r="AA132" s="408">
        <v>0</v>
      </c>
      <c r="AB132" s="408">
        <v>0</v>
      </c>
      <c r="AC132" s="408">
        <v>0</v>
      </c>
      <c r="AD132" s="408">
        <v>748.51883781208028</v>
      </c>
      <c r="AE132" s="408">
        <v>3072.8528742944391</v>
      </c>
      <c r="AF132" s="408">
        <v>1528.7221936778485</v>
      </c>
      <c r="AG132" s="408">
        <v>0</v>
      </c>
      <c r="AH132" s="408">
        <v>0</v>
      </c>
      <c r="AI132" s="408">
        <v>0</v>
      </c>
      <c r="AJ132" s="408">
        <v>0</v>
      </c>
      <c r="AK132" s="408">
        <v>0</v>
      </c>
      <c r="AL132" s="408">
        <v>57.949397884219579</v>
      </c>
      <c r="AM132" s="408"/>
      <c r="AN132" s="408">
        <v>14.20273244598901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>
        <v>0</v>
      </c>
      <c r="BG132" s="408">
        <v>210.88793689506488</v>
      </c>
      <c r="BH132" s="408">
        <v>0</v>
      </c>
      <c r="BI132" s="408">
        <v>0</v>
      </c>
      <c r="BJ132" s="408">
        <v>0</v>
      </c>
      <c r="BK132" s="408">
        <v>2062.67</v>
      </c>
      <c r="BL132" s="408">
        <v>11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1739.6101305729135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4108.4982</v>
      </c>
      <c r="CJ132" s="408">
        <v>-1899.5586600000006</v>
      </c>
      <c r="CK132" s="408"/>
      <c r="CL132" s="408"/>
      <c r="CM132" s="408"/>
      <c r="CN132" s="408"/>
      <c r="CO132" s="408">
        <v>-1898.8506899999998</v>
      </c>
      <c r="CP132" s="408">
        <v>0</v>
      </c>
      <c r="CQ132" s="408">
        <v>30</v>
      </c>
      <c r="CR132" s="408">
        <v>-14.741545592788952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-1.9237593291926487</v>
      </c>
      <c r="DA132" s="408">
        <v>0</v>
      </c>
      <c r="DB132" s="408">
        <v>0</v>
      </c>
      <c r="DC132" s="408">
        <v>-2.143169695045799E-7</v>
      </c>
      <c r="DD132" s="408">
        <v>0</v>
      </c>
      <c r="DE132" s="408">
        <v>0</v>
      </c>
      <c r="DF132" s="408">
        <v>0</v>
      </c>
      <c r="DG132" s="408">
        <v>-2.9564972692242009E-8</v>
      </c>
      <c r="DH132" s="408">
        <v>0</v>
      </c>
      <c r="DI132" s="408">
        <v>-10.90076754847604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-1.4558113855133641</v>
      </c>
      <c r="DP132" s="408">
        <v>-0.46120708572452251</v>
      </c>
      <c r="DQ132" s="408">
        <v>0</v>
      </c>
      <c r="DR132" s="408">
        <v>0</v>
      </c>
      <c r="DS132" s="408"/>
      <c r="DT132" s="408"/>
      <c r="DU132" s="408"/>
      <c r="DV132" s="408">
        <v>3072.8528742944391</v>
      </c>
      <c r="DW132" s="408">
        <v>0</v>
      </c>
      <c r="DX132" s="408">
        <v>0</v>
      </c>
      <c r="DY132" s="408">
        <v>-1898.8506899999998</v>
      </c>
      <c r="DZ132" s="408">
        <v>0</v>
      </c>
      <c r="EA132" s="408">
        <v>0</v>
      </c>
      <c r="EB132" s="408">
        <v>0</v>
      </c>
      <c r="EC132" s="408">
        <v>-1884.1047499282593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265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139</v>
      </c>
      <c r="B133" s="408" t="s">
        <v>1031</v>
      </c>
      <c r="C133" s="408" t="s">
        <v>2227</v>
      </c>
      <c r="D133" s="408" t="s">
        <v>2237</v>
      </c>
      <c r="E133" s="408" t="s">
        <v>969</v>
      </c>
      <c r="F133" s="408" t="s">
        <v>2245</v>
      </c>
      <c r="G133" s="408" t="s">
        <v>2246</v>
      </c>
      <c r="H133" s="408" t="s">
        <v>1317</v>
      </c>
      <c r="I133" s="408" t="s">
        <v>1317</v>
      </c>
      <c r="J133" s="408" t="s">
        <v>2228</v>
      </c>
      <c r="K133" s="828">
        <v>44440</v>
      </c>
      <c r="L133" s="408">
        <v>0</v>
      </c>
      <c r="M133" s="408">
        <v>0</v>
      </c>
      <c r="N133" s="408">
        <v>0</v>
      </c>
      <c r="O133" s="408">
        <v>0</v>
      </c>
      <c r="P133" s="408">
        <v>0</v>
      </c>
      <c r="Q133" s="408">
        <v>0</v>
      </c>
      <c r="R133" s="408"/>
      <c r="S133" s="408"/>
      <c r="T133" s="408"/>
      <c r="U133" s="408"/>
      <c r="V133" s="408"/>
      <c r="W133" s="408"/>
      <c r="X133" s="408"/>
      <c r="Y133" s="408"/>
      <c r="Z133" s="408"/>
      <c r="AA133" s="408">
        <v>0</v>
      </c>
      <c r="AB133" s="408"/>
      <c r="AC133" s="408"/>
      <c r="AD133" s="408"/>
      <c r="AE133" s="408"/>
      <c r="AF133" s="408"/>
      <c r="AG133" s="408"/>
      <c r="AH133" s="408"/>
      <c r="AI133" s="408"/>
      <c r="AJ133" s="408"/>
      <c r="AK133" s="408"/>
      <c r="AL133" s="408"/>
      <c r="AM133" s="408"/>
      <c r="AN133" s="408"/>
      <c r="AO133" s="408"/>
      <c r="AP133" s="408"/>
      <c r="AQ133" s="408"/>
      <c r="AR133" s="408"/>
      <c r="AS133" s="408"/>
      <c r="AT133" s="408"/>
      <c r="AU133" s="408"/>
      <c r="AV133" s="408"/>
      <c r="AW133" s="408"/>
      <c r="AX133" s="408"/>
      <c r="AY133" s="408"/>
      <c r="AZ133" s="408">
        <v>0</v>
      </c>
      <c r="BA133" s="408"/>
      <c r="BB133" s="408"/>
      <c r="BC133" s="408"/>
      <c r="BD133" s="408"/>
      <c r="BE133" s="408"/>
      <c r="BF133" s="408"/>
      <c r="BG133" s="408"/>
      <c r="BH133" s="408"/>
      <c r="BI133" s="408">
        <v>0</v>
      </c>
      <c r="BJ133" s="408">
        <v>0</v>
      </c>
      <c r="BK133" s="408">
        <v>206.8</v>
      </c>
      <c r="BL133" s="408">
        <v>19</v>
      </c>
      <c r="BM133" s="408"/>
      <c r="BN133" s="408"/>
      <c r="BO133" s="408"/>
      <c r="BP133" s="408"/>
      <c r="BQ133" s="408"/>
      <c r="BR133" s="408"/>
      <c r="BS133" s="408"/>
      <c r="BT133" s="408"/>
      <c r="BU133" s="408"/>
      <c r="BV133" s="408"/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/>
      <c r="CJ133" s="408">
        <v>-0.03</v>
      </c>
      <c r="CK133" s="408"/>
      <c r="CL133" s="408"/>
      <c r="CM133" s="408"/>
      <c r="CN133" s="408"/>
      <c r="CO133" s="408">
        <v>0</v>
      </c>
      <c r="CP133" s="408">
        <v>0</v>
      </c>
      <c r="CQ133" s="408">
        <v>30</v>
      </c>
      <c r="CR133" s="408"/>
      <c r="CS133" s="408"/>
      <c r="CT133" s="408"/>
      <c r="CU133" s="408"/>
      <c r="CV133" s="408"/>
      <c r="CW133" s="408"/>
      <c r="CX133" s="408"/>
      <c r="CY133" s="408"/>
      <c r="CZ133" s="408"/>
      <c r="DA133" s="408"/>
      <c r="DB133" s="408"/>
      <c r="DC133" s="408"/>
      <c r="DD133" s="408"/>
      <c r="DE133" s="408"/>
      <c r="DF133" s="408"/>
      <c r="DG133" s="408"/>
      <c r="DH133" s="408"/>
      <c r="DI133" s="408"/>
      <c r="DJ133" s="408"/>
      <c r="DK133" s="408">
        <v>0</v>
      </c>
      <c r="DL133" s="408"/>
      <c r="DM133" s="408"/>
      <c r="DN133" s="408"/>
      <c r="DO133" s="408"/>
      <c r="DP133" s="408"/>
      <c r="DQ133" s="408"/>
      <c r="DR133" s="408"/>
      <c r="DS133" s="408"/>
      <c r="DT133" s="408"/>
      <c r="DU133" s="408"/>
      <c r="DV133" s="408"/>
      <c r="DW133" s="408"/>
      <c r="DX133" s="408"/>
      <c r="DY133" s="408"/>
      <c r="DZ133" s="408"/>
      <c r="EA133" s="408"/>
      <c r="EB133" s="408"/>
      <c r="EC133" s="408"/>
      <c r="ED133" s="408"/>
      <c r="EE133" s="408"/>
      <c r="EF133" s="408"/>
      <c r="EG133" s="408"/>
      <c r="EH133" s="408"/>
      <c r="EI133" s="408"/>
      <c r="EJ133" s="408"/>
      <c r="EK133" s="408"/>
      <c r="EL133" s="408"/>
      <c r="EM133" s="408"/>
      <c r="EN133" s="408"/>
      <c r="EO133" s="408"/>
      <c r="EP133" s="408"/>
      <c r="EQ133" s="408"/>
      <c r="ER133" s="408"/>
      <c r="ES133" s="408"/>
      <c r="ET133" s="408"/>
      <c r="EU133" s="408"/>
      <c r="EV133" s="408">
        <v>265</v>
      </c>
      <c r="EW133" s="408"/>
      <c r="EX133" s="408"/>
      <c r="EY133" s="408"/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140</v>
      </c>
      <c r="B134" s="408" t="s">
        <v>2230</v>
      </c>
      <c r="C134" s="408" t="s">
        <v>2227</v>
      </c>
      <c r="D134" s="408" t="s">
        <v>2237</v>
      </c>
      <c r="E134" s="408" t="s">
        <v>969</v>
      </c>
      <c r="F134" s="408" t="s">
        <v>2245</v>
      </c>
      <c r="G134" s="408" t="s">
        <v>2246</v>
      </c>
      <c r="H134" s="408" t="s">
        <v>1317</v>
      </c>
      <c r="I134" s="408" t="s">
        <v>1317</v>
      </c>
      <c r="J134" s="408" t="s">
        <v>2228</v>
      </c>
      <c r="K134" s="828">
        <v>44440</v>
      </c>
      <c r="L134" s="408">
        <v>0</v>
      </c>
      <c r="M134" s="408">
        <v>0</v>
      </c>
      <c r="N134" s="408">
        <v>0</v>
      </c>
      <c r="O134" s="408">
        <v>0</v>
      </c>
      <c r="P134" s="408">
        <v>0</v>
      </c>
      <c r="Q134" s="408">
        <v>0</v>
      </c>
      <c r="R134" s="408"/>
      <c r="S134" s="408"/>
      <c r="T134" s="408"/>
      <c r="U134" s="408"/>
      <c r="V134" s="408"/>
      <c r="W134" s="408"/>
      <c r="X134" s="408"/>
      <c r="Y134" s="408"/>
      <c r="Z134" s="408"/>
      <c r="AA134" s="408">
        <v>0</v>
      </c>
      <c r="AB134" s="408"/>
      <c r="AC134" s="408"/>
      <c r="AD134" s="408"/>
      <c r="AE134" s="408"/>
      <c r="AF134" s="408"/>
      <c r="AG134" s="408"/>
      <c r="AH134" s="408"/>
      <c r="AI134" s="408"/>
      <c r="AJ134" s="408"/>
      <c r="AK134" s="408"/>
      <c r="AL134" s="408"/>
      <c r="AM134" s="408"/>
      <c r="AN134" s="408"/>
      <c r="AO134" s="408"/>
      <c r="AP134" s="408"/>
      <c r="AQ134" s="408"/>
      <c r="AR134" s="408"/>
      <c r="AS134" s="408"/>
      <c r="AT134" s="408"/>
      <c r="AU134" s="408"/>
      <c r="AV134" s="408"/>
      <c r="AW134" s="408"/>
      <c r="AX134" s="408"/>
      <c r="AY134" s="408"/>
      <c r="AZ134" s="408">
        <v>0</v>
      </c>
      <c r="BA134" s="408"/>
      <c r="BB134" s="408"/>
      <c r="BC134" s="408"/>
      <c r="BD134" s="408"/>
      <c r="BE134" s="408"/>
      <c r="BF134" s="408"/>
      <c r="BG134" s="408"/>
      <c r="BH134" s="408"/>
      <c r="BI134" s="408">
        <v>0</v>
      </c>
      <c r="BJ134" s="408">
        <v>0</v>
      </c>
      <c r="BK134" s="408">
        <v>23.36</v>
      </c>
      <c r="BL134" s="408">
        <v>2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/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/>
      <c r="CJ134" s="408">
        <v>-0.03</v>
      </c>
      <c r="CK134" s="408"/>
      <c r="CL134" s="408"/>
      <c r="CM134" s="408"/>
      <c r="CN134" s="408"/>
      <c r="CO134" s="408">
        <v>0</v>
      </c>
      <c r="CP134" s="408">
        <v>0</v>
      </c>
      <c r="CQ134" s="408">
        <v>30</v>
      </c>
      <c r="CR134" s="408"/>
      <c r="CS134" s="408"/>
      <c r="CT134" s="408"/>
      <c r="CU134" s="408"/>
      <c r="CV134" s="408"/>
      <c r="CW134" s="408"/>
      <c r="CX134" s="408"/>
      <c r="CY134" s="408"/>
      <c r="CZ134" s="408"/>
      <c r="DA134" s="408"/>
      <c r="DB134" s="408"/>
      <c r="DC134" s="408"/>
      <c r="DD134" s="408"/>
      <c r="DE134" s="408"/>
      <c r="DF134" s="408"/>
      <c r="DG134" s="408"/>
      <c r="DH134" s="408"/>
      <c r="DI134" s="408"/>
      <c r="DJ134" s="408"/>
      <c r="DK134" s="408">
        <v>0</v>
      </c>
      <c r="DL134" s="408"/>
      <c r="DM134" s="408"/>
      <c r="DN134" s="408"/>
      <c r="DO134" s="408"/>
      <c r="DP134" s="408"/>
      <c r="DQ134" s="408"/>
      <c r="DR134" s="408"/>
      <c r="DS134" s="408"/>
      <c r="DT134" s="408"/>
      <c r="DU134" s="408"/>
      <c r="DV134" s="408"/>
      <c r="DW134" s="408"/>
      <c r="DX134" s="408"/>
      <c r="DY134" s="408"/>
      <c r="DZ134" s="408"/>
      <c r="EA134" s="408"/>
      <c r="EB134" s="408"/>
      <c r="EC134" s="408"/>
      <c r="ED134" s="408"/>
      <c r="EE134" s="408"/>
      <c r="EF134" s="408"/>
      <c r="EG134" s="408"/>
      <c r="EH134" s="408"/>
      <c r="EI134" s="408"/>
      <c r="EJ134" s="408"/>
      <c r="EK134" s="408"/>
      <c r="EL134" s="408"/>
      <c r="EM134" s="408"/>
      <c r="EN134" s="408"/>
      <c r="EO134" s="408"/>
      <c r="EP134" s="408"/>
      <c r="EQ134" s="408"/>
      <c r="ER134" s="408"/>
      <c r="ES134" s="408"/>
      <c r="ET134" s="408"/>
      <c r="EU134" s="408"/>
      <c r="EV134" s="408">
        <v>265</v>
      </c>
      <c r="EW134" s="408"/>
      <c r="EX134" s="408"/>
      <c r="EY134" s="408"/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141</v>
      </c>
      <c r="B135" s="408" t="s">
        <v>1031</v>
      </c>
      <c r="C135" s="408" t="s">
        <v>2227</v>
      </c>
      <c r="D135" s="408" t="s">
        <v>2237</v>
      </c>
      <c r="E135" s="408" t="s">
        <v>969</v>
      </c>
      <c r="F135" s="408" t="s">
        <v>2245</v>
      </c>
      <c r="G135" s="408" t="s">
        <v>2246</v>
      </c>
      <c r="H135" s="408" t="s">
        <v>1317</v>
      </c>
      <c r="I135" s="408" t="s">
        <v>1317</v>
      </c>
      <c r="J135" s="408" t="s">
        <v>2228</v>
      </c>
      <c r="K135" s="828">
        <v>44440</v>
      </c>
      <c r="L135" s="408">
        <v>0</v>
      </c>
      <c r="M135" s="408">
        <v>0</v>
      </c>
      <c r="N135" s="408">
        <v>6.0069999999999997</v>
      </c>
      <c r="O135" s="408">
        <v>6.0069999999999997</v>
      </c>
      <c r="P135" s="408">
        <v>6.0069999999999997</v>
      </c>
      <c r="Q135" s="408">
        <v>6.0069999999999997</v>
      </c>
      <c r="R135" s="408"/>
      <c r="S135" s="408">
        <v>739.04</v>
      </c>
      <c r="T135" s="408">
        <v>252.22</v>
      </c>
      <c r="U135" s="408"/>
      <c r="V135" s="408">
        <v>5954.4988199999998</v>
      </c>
      <c r="W135" s="408">
        <v>5954.4988199999998</v>
      </c>
      <c r="X135" s="408">
        <v>4072.5657899999997</v>
      </c>
      <c r="Y135" s="408">
        <v>0</v>
      </c>
      <c r="Z135" s="408">
        <v>371.5519118368004</v>
      </c>
      <c r="AA135" s="408">
        <v>0</v>
      </c>
      <c r="AB135" s="408">
        <v>0</v>
      </c>
      <c r="AC135" s="408">
        <v>0</v>
      </c>
      <c r="AD135" s="408">
        <v>741.84996844368357</v>
      </c>
      <c r="AE135" s="408">
        <v>3045.4755347115488</v>
      </c>
      <c r="AF135" s="408">
        <v>1515.1021642340927</v>
      </c>
      <c r="AG135" s="408">
        <v>0</v>
      </c>
      <c r="AH135" s="408">
        <v>0</v>
      </c>
      <c r="AI135" s="408">
        <v>0</v>
      </c>
      <c r="AJ135" s="408">
        <v>0</v>
      </c>
      <c r="AK135" s="408">
        <v>0</v>
      </c>
      <c r="AL135" s="408">
        <v>57.433102308283615</v>
      </c>
      <c r="AM135" s="408"/>
      <c r="AN135" s="408">
        <v>14.07619432487312</v>
      </c>
      <c r="AO135" s="408">
        <v>0</v>
      </c>
      <c r="AP135" s="408">
        <v>0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209.00904750514019</v>
      </c>
      <c r="BH135" s="408">
        <v>0</v>
      </c>
      <c r="BI135" s="408">
        <v>0</v>
      </c>
      <c r="BJ135" s="408">
        <v>0</v>
      </c>
      <c r="BK135" s="408">
        <v>0</v>
      </c>
      <c r="BL135" s="408">
        <v>0</v>
      </c>
      <c r="BM135" s="408"/>
      <c r="BN135" s="408"/>
      <c r="BO135" s="408"/>
      <c r="BP135" s="408"/>
      <c r="BQ135" s="408"/>
      <c r="BR135" s="408">
        <v>488.66944999999976</v>
      </c>
      <c r="BS135" s="408"/>
      <c r="BT135" s="408"/>
      <c r="BU135" s="408"/>
      <c r="BV135" s="408">
        <v>1724.1112117392329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3585.6862000000001</v>
      </c>
      <c r="CJ135" s="408">
        <v>-1654.3099700000002</v>
      </c>
      <c r="CK135" s="408"/>
      <c r="CL135" s="408"/>
      <c r="CM135" s="408"/>
      <c r="CN135" s="408"/>
      <c r="CO135" s="408">
        <v>-1881.9330299999997</v>
      </c>
      <c r="CP135" s="408">
        <v>0</v>
      </c>
      <c r="CQ135" s="408">
        <v>30</v>
      </c>
      <c r="CR135" s="408">
        <v>-14.610206958569051</v>
      </c>
      <c r="CS135" s="408">
        <v>0</v>
      </c>
      <c r="CT135" s="408">
        <v>0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-1.9066197476423667</v>
      </c>
      <c r="DA135" s="408">
        <v>0</v>
      </c>
      <c r="DB135" s="408">
        <v>0</v>
      </c>
      <c r="DC135" s="408">
        <v>-2.1240771275188308E-7</v>
      </c>
      <c r="DD135" s="408">
        <v>0</v>
      </c>
      <c r="DE135" s="408">
        <v>0</v>
      </c>
      <c r="DF135" s="408">
        <v>0</v>
      </c>
      <c r="DG135" s="408">
        <v>-2.9301560289241024E-8</v>
      </c>
      <c r="DH135" s="408">
        <v>0</v>
      </c>
      <c r="DI135" s="408">
        <v>-10.803648022388302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-1.4428409491467988</v>
      </c>
      <c r="DP135" s="408">
        <v>-0.45709799768143888</v>
      </c>
      <c r="DQ135" s="408">
        <v>0</v>
      </c>
      <c r="DR135" s="408">
        <v>0</v>
      </c>
      <c r="DS135" s="408"/>
      <c r="DT135" s="408"/>
      <c r="DU135" s="408"/>
      <c r="DV135" s="408">
        <v>3045.4755347115488</v>
      </c>
      <c r="DW135" s="408">
        <v>0</v>
      </c>
      <c r="DX135" s="408">
        <v>0</v>
      </c>
      <c r="DY135" s="408">
        <v>-1881.9330299999997</v>
      </c>
      <c r="DZ135" s="408">
        <v>0</v>
      </c>
      <c r="EA135" s="408">
        <v>0</v>
      </c>
      <c r="EB135" s="408">
        <v>0</v>
      </c>
      <c r="EC135" s="408">
        <v>-1867.3184677147428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265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142</v>
      </c>
      <c r="B136" s="408" t="s">
        <v>2230</v>
      </c>
      <c r="C136" s="408" t="s">
        <v>2227</v>
      </c>
      <c r="D136" s="408" t="s">
        <v>2237</v>
      </c>
      <c r="E136" s="408" t="s">
        <v>969</v>
      </c>
      <c r="F136" s="408" t="s">
        <v>2245</v>
      </c>
      <c r="G136" s="408" t="s">
        <v>2246</v>
      </c>
      <c r="H136" s="408" t="s">
        <v>1317</v>
      </c>
      <c r="I136" s="408" t="s">
        <v>1317</v>
      </c>
      <c r="J136" s="408" t="s">
        <v>2228</v>
      </c>
      <c r="K136" s="828">
        <v>44440</v>
      </c>
      <c r="L136" s="408">
        <v>0</v>
      </c>
      <c r="M136" s="408">
        <v>0</v>
      </c>
      <c r="N136" s="408">
        <v>1.2909999999999999</v>
      </c>
      <c r="O136" s="408">
        <v>1.2909999999999999</v>
      </c>
      <c r="P136" s="408">
        <v>1.2909999999999999</v>
      </c>
      <c r="Q136" s="408">
        <v>1.2909999999999999</v>
      </c>
      <c r="R136" s="408"/>
      <c r="S136" s="408">
        <v>739.04</v>
      </c>
      <c r="T136" s="408">
        <v>252.22</v>
      </c>
      <c r="U136" s="408"/>
      <c r="V136" s="408">
        <v>1279.7166599999998</v>
      </c>
      <c r="W136" s="408">
        <v>1279.7166599999998</v>
      </c>
      <c r="X136" s="408">
        <v>875.25927000000001</v>
      </c>
      <c r="Y136" s="408">
        <v>0</v>
      </c>
      <c r="Z136" s="408">
        <v>79.852425200817265</v>
      </c>
      <c r="AA136" s="408">
        <v>0</v>
      </c>
      <c r="AB136" s="408">
        <v>0</v>
      </c>
      <c r="AC136" s="408">
        <v>0</v>
      </c>
      <c r="AD136" s="408">
        <v>159.43537693703936</v>
      </c>
      <c r="AE136" s="408">
        <v>654.52121113910596</v>
      </c>
      <c r="AF136" s="408">
        <v>325.61959281275404</v>
      </c>
      <c r="AG136" s="408">
        <v>0</v>
      </c>
      <c r="AH136" s="408">
        <v>0</v>
      </c>
      <c r="AI136" s="408">
        <v>0</v>
      </c>
      <c r="AJ136" s="408">
        <v>0</v>
      </c>
      <c r="AK136" s="408">
        <v>0</v>
      </c>
      <c r="AL136" s="408">
        <v>12.343288676543057</v>
      </c>
      <c r="AM136" s="408"/>
      <c r="AN136" s="408">
        <v>3.0251984140854331</v>
      </c>
      <c r="AO136" s="408">
        <v>0</v>
      </c>
      <c r="AP136" s="408">
        <v>0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44.919374118384546</v>
      </c>
      <c r="BH136" s="408">
        <v>0</v>
      </c>
      <c r="BI136" s="408">
        <v>0</v>
      </c>
      <c r="BJ136" s="408">
        <v>0</v>
      </c>
      <c r="BK136" s="408">
        <v>0</v>
      </c>
      <c r="BL136" s="408">
        <v>0</v>
      </c>
      <c r="BM136" s="408"/>
      <c r="BN136" s="408"/>
      <c r="BO136" s="408"/>
      <c r="BP136" s="408"/>
      <c r="BQ136" s="408"/>
      <c r="BR136" s="408">
        <v>105.02284999999995</v>
      </c>
      <c r="BS136" s="408"/>
      <c r="BT136" s="408"/>
      <c r="BU136" s="408"/>
      <c r="BV136" s="408">
        <v>370.53896693113859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769.63980000000015</v>
      </c>
      <c r="CJ136" s="408">
        <v>-356.54240999999979</v>
      </c>
      <c r="CK136" s="408"/>
      <c r="CL136" s="408"/>
      <c r="CM136" s="408"/>
      <c r="CN136" s="408"/>
      <c r="CO136" s="408">
        <v>-404.45738999999992</v>
      </c>
      <c r="CP136" s="408">
        <v>0</v>
      </c>
      <c r="CQ136" s="408">
        <v>30</v>
      </c>
      <c r="CR136" s="408">
        <v>-3.1399662366424081</v>
      </c>
      <c r="CS136" s="408">
        <v>0</v>
      </c>
      <c r="CT136" s="408">
        <v>0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-0.40976295891564973</v>
      </c>
      <c r="DA136" s="408">
        <v>0</v>
      </c>
      <c r="DB136" s="408">
        <v>0</v>
      </c>
      <c r="DC136" s="408">
        <v>-4.564975597531884E-8</v>
      </c>
      <c r="DD136" s="408">
        <v>0</v>
      </c>
      <c r="DE136" s="408">
        <v>0</v>
      </c>
      <c r="DF136" s="408">
        <v>0</v>
      </c>
      <c r="DG136" s="408">
        <v>-6.2973697367851855E-9</v>
      </c>
      <c r="DH136" s="408">
        <v>0</v>
      </c>
      <c r="DI136" s="408">
        <v>-2.3218760773935969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-0.31008950646720734</v>
      </c>
      <c r="DP136" s="408">
        <v>-9.82376419188844E-2</v>
      </c>
      <c r="DQ136" s="408">
        <v>0</v>
      </c>
      <c r="DR136" s="408">
        <v>0</v>
      </c>
      <c r="DS136" s="408"/>
      <c r="DT136" s="408"/>
      <c r="DU136" s="408"/>
      <c r="DV136" s="408">
        <v>654.52121113910596</v>
      </c>
      <c r="DW136" s="408">
        <v>0</v>
      </c>
      <c r="DX136" s="408">
        <v>0</v>
      </c>
      <c r="DY136" s="408">
        <v>-404.45738999999992</v>
      </c>
      <c r="DZ136" s="408">
        <v>0</v>
      </c>
      <c r="EA136" s="408">
        <v>0</v>
      </c>
      <c r="EB136" s="408">
        <v>0</v>
      </c>
      <c r="EC136" s="408">
        <v>-401.31648773426548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265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143</v>
      </c>
      <c r="B137" s="408" t="s">
        <v>1031</v>
      </c>
      <c r="C137" s="408" t="s">
        <v>2227</v>
      </c>
      <c r="D137" s="408" t="s">
        <v>2237</v>
      </c>
      <c r="E137" s="408" t="s">
        <v>969</v>
      </c>
      <c r="F137" s="408" t="s">
        <v>2245</v>
      </c>
      <c r="G137" s="408" t="s">
        <v>2247</v>
      </c>
      <c r="H137" s="408" t="s">
        <v>1317</v>
      </c>
      <c r="I137" s="408" t="s">
        <v>1317</v>
      </c>
      <c r="J137" s="408" t="s">
        <v>2228</v>
      </c>
      <c r="K137" s="828">
        <v>44440</v>
      </c>
      <c r="L137" s="408">
        <v>0</v>
      </c>
      <c r="M137" s="408">
        <v>0</v>
      </c>
      <c r="N137" s="408">
        <v>5.7380000000000004</v>
      </c>
      <c r="O137" s="408">
        <v>2.2951999999999999</v>
      </c>
      <c r="P137" s="408">
        <v>5.7380000000000004</v>
      </c>
      <c r="Q137" s="408">
        <v>2.2951999999999999</v>
      </c>
      <c r="R137" s="408"/>
      <c r="S137" s="408">
        <v>739.04</v>
      </c>
      <c r="T137" s="408">
        <v>252.22</v>
      </c>
      <c r="U137" s="408"/>
      <c r="V137" s="408">
        <v>5687.8498800000007</v>
      </c>
      <c r="W137" s="408">
        <v>5687.8498800000007</v>
      </c>
      <c r="X137" s="408">
        <v>3890.1918599999999</v>
      </c>
      <c r="Y137" s="408">
        <v>0</v>
      </c>
      <c r="Z137" s="408">
        <v>354.91341270510424</v>
      </c>
      <c r="AA137" s="408">
        <v>0</v>
      </c>
      <c r="AB137" s="408">
        <v>0</v>
      </c>
      <c r="AC137" s="408">
        <v>0</v>
      </c>
      <c r="AD137" s="408">
        <v>708.62911918259647</v>
      </c>
      <c r="AE137" s="408">
        <v>2909.0958245671495</v>
      </c>
      <c r="AF137" s="408">
        <v>1447.2542397827908</v>
      </c>
      <c r="AG137" s="408">
        <v>0</v>
      </c>
      <c r="AH137" s="408">
        <v>0</v>
      </c>
      <c r="AI137" s="408">
        <v>0</v>
      </c>
      <c r="AJ137" s="408">
        <v>0</v>
      </c>
      <c r="AK137" s="408">
        <v>0</v>
      </c>
      <c r="AL137" s="408">
        <v>54.861185457787819</v>
      </c>
      <c r="AM137" s="408"/>
      <c r="AN137" s="408">
        <v>13.445847017832858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199.64939480347837</v>
      </c>
      <c r="BH137" s="408">
        <v>0</v>
      </c>
      <c r="BI137" s="408">
        <v>0</v>
      </c>
      <c r="BJ137" s="408">
        <v>0</v>
      </c>
      <c r="BK137" s="408">
        <v>0</v>
      </c>
      <c r="BL137" s="408">
        <v>0</v>
      </c>
      <c r="BM137" s="408"/>
      <c r="BN137" s="408"/>
      <c r="BO137" s="408"/>
      <c r="BP137" s="408"/>
      <c r="BQ137" s="408"/>
      <c r="BR137" s="408"/>
      <c r="BS137" s="408">
        <v>2520.8296360000004</v>
      </c>
      <c r="BT137" s="408"/>
      <c r="BU137" s="408"/>
      <c r="BV137" s="408">
        <v>1646.9036345862692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1372.2259999999999</v>
      </c>
      <c r="CJ137" s="408">
        <v>-629.92991200000006</v>
      </c>
      <c r="CK137" s="408"/>
      <c r="CL137" s="408"/>
      <c r="CM137" s="408"/>
      <c r="CN137" s="408"/>
      <c r="CO137" s="408">
        <v>-1797.6580199999999</v>
      </c>
      <c r="CP137" s="408">
        <v>0</v>
      </c>
      <c r="CQ137" s="408">
        <v>30</v>
      </c>
      <c r="CR137" s="408">
        <v>-13.955945984396294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-1.8212392395491861</v>
      </c>
      <c r="DA137" s="408">
        <v>0</v>
      </c>
      <c r="DB137" s="408">
        <v>0</v>
      </c>
      <c r="DC137" s="408">
        <v>-2.0289576241339091E-7</v>
      </c>
      <c r="DD137" s="408">
        <v>0</v>
      </c>
      <c r="DE137" s="408">
        <v>0</v>
      </c>
      <c r="DF137" s="408">
        <v>0</v>
      </c>
      <c r="DG137" s="408">
        <v>-2.7989415229967562E-8</v>
      </c>
      <c r="DH137" s="408">
        <v>0</v>
      </c>
      <c r="DI137" s="408">
        <v>-10.319848901692069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-1.3782289605800457</v>
      </c>
      <c r="DP137" s="408">
        <v>-0.43662865168904652</v>
      </c>
      <c r="DQ137" s="408">
        <v>0</v>
      </c>
      <c r="DR137" s="408">
        <v>0</v>
      </c>
      <c r="DS137" s="408"/>
      <c r="DT137" s="408"/>
      <c r="DU137" s="408"/>
      <c r="DV137" s="408">
        <v>2909.0958245671495</v>
      </c>
      <c r="DW137" s="408">
        <v>0</v>
      </c>
      <c r="DX137" s="408">
        <v>0</v>
      </c>
      <c r="DY137" s="408">
        <v>-1797.6580200000003</v>
      </c>
      <c r="DZ137" s="408">
        <v>0</v>
      </c>
      <c r="EA137" s="408">
        <v>0</v>
      </c>
      <c r="EB137" s="408">
        <v>0</v>
      </c>
      <c r="EC137" s="408">
        <v>-1783.6979137251863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265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144</v>
      </c>
      <c r="B138" s="408" t="s">
        <v>2230</v>
      </c>
      <c r="C138" s="408" t="s">
        <v>2227</v>
      </c>
      <c r="D138" s="408" t="s">
        <v>2237</v>
      </c>
      <c r="E138" s="408" t="s">
        <v>969</v>
      </c>
      <c r="F138" s="408" t="s">
        <v>2245</v>
      </c>
      <c r="G138" s="408" t="s">
        <v>2247</v>
      </c>
      <c r="H138" s="408" t="s">
        <v>1317</v>
      </c>
      <c r="I138" s="408" t="s">
        <v>1317</v>
      </c>
      <c r="J138" s="408" t="s">
        <v>2228</v>
      </c>
      <c r="K138" s="828">
        <v>44440</v>
      </c>
      <c r="L138" s="408">
        <v>0</v>
      </c>
      <c r="M138" s="408">
        <v>0</v>
      </c>
      <c r="N138" s="408">
        <v>1.1499999999999999</v>
      </c>
      <c r="O138" s="408">
        <v>1.1499999999999999</v>
      </c>
      <c r="P138" s="408">
        <v>1.1499999999999999</v>
      </c>
      <c r="Q138" s="408">
        <v>1.1499999999999999</v>
      </c>
      <c r="R138" s="408"/>
      <c r="S138" s="408">
        <v>739.04</v>
      </c>
      <c r="T138" s="408">
        <v>252.22</v>
      </c>
      <c r="U138" s="408"/>
      <c r="V138" s="408">
        <v>1139.9489999999998</v>
      </c>
      <c r="W138" s="408">
        <v>1139.9489999999998</v>
      </c>
      <c r="X138" s="408">
        <v>779.66549999999995</v>
      </c>
      <c r="Y138" s="408">
        <v>0</v>
      </c>
      <c r="Z138" s="408">
        <v>71.131130116917006</v>
      </c>
      <c r="AA138" s="408">
        <v>0</v>
      </c>
      <c r="AB138" s="408">
        <v>0</v>
      </c>
      <c r="AC138" s="408">
        <v>0</v>
      </c>
      <c r="AD138" s="408">
        <v>142.02221803067022</v>
      </c>
      <c r="AE138" s="408">
        <v>583.03593556155829</v>
      </c>
      <c r="AF138" s="408">
        <v>290.05618259850286</v>
      </c>
      <c r="AG138" s="408">
        <v>0</v>
      </c>
      <c r="AH138" s="408">
        <v>0</v>
      </c>
      <c r="AI138" s="408">
        <v>0</v>
      </c>
      <c r="AJ138" s="408">
        <v>0</v>
      </c>
      <c r="AK138" s="408">
        <v>0</v>
      </c>
      <c r="AL138" s="408">
        <v>10.995183561599161</v>
      </c>
      <c r="AM138" s="408"/>
      <c r="AN138" s="408">
        <v>2.6947933200606107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40.013385155803434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/>
      <c r="BR138" s="408">
        <v>93.552499999999952</v>
      </c>
      <c r="BS138" s="408"/>
      <c r="BT138" s="408"/>
      <c r="BU138" s="408"/>
      <c r="BV138" s="408">
        <v>330.06956775430626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686.11299999999994</v>
      </c>
      <c r="CJ138" s="408">
        <v>-317.07349999999997</v>
      </c>
      <c r="CK138" s="408"/>
      <c r="CL138" s="408"/>
      <c r="CM138" s="408"/>
      <c r="CN138" s="408"/>
      <c r="CO138" s="408">
        <v>-360.28349999999995</v>
      </c>
      <c r="CP138" s="408">
        <v>0</v>
      </c>
      <c r="CQ138" s="408">
        <v>30</v>
      </c>
      <c r="CR138" s="408">
        <v>-2.7970264695110245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-0.36500960708983143</v>
      </c>
      <c r="DA138" s="408">
        <v>0</v>
      </c>
      <c r="DB138" s="408">
        <v>0</v>
      </c>
      <c r="DC138" s="408">
        <v>-4.0664019707037369E-8</v>
      </c>
      <c r="DD138" s="408">
        <v>0</v>
      </c>
      <c r="DE138" s="408">
        <v>0</v>
      </c>
      <c r="DF138" s="408">
        <v>0</v>
      </c>
      <c r="DG138" s="408">
        <v>-5.6095927902788389E-9</v>
      </c>
      <c r="DH138" s="408">
        <v>0</v>
      </c>
      <c r="DI138" s="408">
        <v>-2.068286203720092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-0.27622225595452399</v>
      </c>
      <c r="DP138" s="408">
        <v>-8.7508356473057436E-2</v>
      </c>
      <c r="DQ138" s="408">
        <v>0</v>
      </c>
      <c r="DR138" s="408">
        <v>0</v>
      </c>
      <c r="DS138" s="408"/>
      <c r="DT138" s="408"/>
      <c r="DU138" s="408"/>
      <c r="DV138" s="408">
        <v>583.03593556155829</v>
      </c>
      <c r="DW138" s="408">
        <v>0</v>
      </c>
      <c r="DX138" s="408">
        <v>0</v>
      </c>
      <c r="DY138" s="408">
        <v>-360.28349999999989</v>
      </c>
      <c r="DZ138" s="408">
        <v>0</v>
      </c>
      <c r="EA138" s="408">
        <v>0</v>
      </c>
      <c r="EB138" s="408">
        <v>0</v>
      </c>
      <c r="EC138" s="408">
        <v>-357.48563973230461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265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145</v>
      </c>
      <c r="B139" s="408" t="s">
        <v>1031</v>
      </c>
      <c r="C139" s="408" t="s">
        <v>2235</v>
      </c>
      <c r="D139" s="408" t="s">
        <v>596</v>
      </c>
      <c r="E139" s="408" t="s">
        <v>969</v>
      </c>
      <c r="F139" s="408" t="s">
        <v>2245</v>
      </c>
      <c r="G139" s="408" t="s">
        <v>1317</v>
      </c>
      <c r="H139" s="408" t="s">
        <v>1317</v>
      </c>
      <c r="I139" s="408" t="s">
        <v>968</v>
      </c>
      <c r="J139" s="408" t="s">
        <v>2228</v>
      </c>
      <c r="K139" s="828">
        <v>44440</v>
      </c>
      <c r="L139" s="408">
        <v>0</v>
      </c>
      <c r="M139" s="408">
        <v>0</v>
      </c>
      <c r="N139" s="408">
        <v>5.2210000000000001</v>
      </c>
      <c r="O139" s="408">
        <v>5.0121599999999997</v>
      </c>
      <c r="P139" s="408">
        <v>5.2210000000000001</v>
      </c>
      <c r="Q139" s="408">
        <v>5.0121599999999997</v>
      </c>
      <c r="R139" s="408"/>
      <c r="S139" s="408">
        <v>2641.06</v>
      </c>
      <c r="T139" s="408">
        <v>252.22</v>
      </c>
      <c r="U139" s="408"/>
      <c r="V139" s="408">
        <v>15105.814879999998</v>
      </c>
      <c r="W139" s="408">
        <v>15105.814879999998</v>
      </c>
      <c r="X139" s="408">
        <v>8966.2321400000001</v>
      </c>
      <c r="Y139" s="408">
        <v>0</v>
      </c>
      <c r="Z139" s="408">
        <v>280.95373773579882</v>
      </c>
      <c r="AA139" s="408">
        <v>0</v>
      </c>
      <c r="AB139" s="408">
        <v>0</v>
      </c>
      <c r="AC139" s="408">
        <v>0</v>
      </c>
      <c r="AD139" s="408">
        <v>3381.9914576053566</v>
      </c>
      <c r="AE139" s="408">
        <v>9983.0236687959532</v>
      </c>
      <c r="AF139" s="408">
        <v>1316.855068997203</v>
      </c>
      <c r="AG139" s="408">
        <v>0</v>
      </c>
      <c r="AH139" s="408">
        <v>0</v>
      </c>
      <c r="AI139" s="408">
        <v>0</v>
      </c>
      <c r="AJ139" s="408">
        <v>0</v>
      </c>
      <c r="AK139" s="408">
        <v>0</v>
      </c>
      <c r="AL139" s="408">
        <v>49.91813336966019</v>
      </c>
      <c r="AM139" s="408"/>
      <c r="AN139" s="408">
        <v>12.561235944612958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80.522654283394616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>
        <v>358.64928560000061</v>
      </c>
      <c r="BS139" s="408"/>
      <c r="BT139" s="408"/>
      <c r="BU139" s="408"/>
      <c r="BV139" s="408">
        <v>1397.3777232805976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8603.8733999999986</v>
      </c>
      <c r="CJ139" s="408">
        <v>-5897.738884800001</v>
      </c>
      <c r="CK139" s="408"/>
      <c r="CL139" s="408"/>
      <c r="CM139" s="408"/>
      <c r="CN139" s="408"/>
      <c r="CO139" s="408">
        <v>-6139.5827400000007</v>
      </c>
      <c r="CP139" s="408">
        <v>0</v>
      </c>
      <c r="CQ139" s="408">
        <v>30</v>
      </c>
      <c r="CR139" s="408">
        <v>-18.523284523151233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-8.692015870760315</v>
      </c>
      <c r="DA139" s="408">
        <v>0</v>
      </c>
      <c r="DB139" s="408">
        <v>0</v>
      </c>
      <c r="DC139" s="408">
        <v>-1.8461469153407961E-7</v>
      </c>
      <c r="DD139" s="408">
        <v>0</v>
      </c>
      <c r="DE139" s="408">
        <v>0</v>
      </c>
      <c r="DF139" s="408">
        <v>0</v>
      </c>
      <c r="DG139" s="408">
        <v>-1.1288832979516883E-8</v>
      </c>
      <c r="DH139" s="408">
        <v>0</v>
      </c>
      <c r="DI139" s="408">
        <v>-8.1693168474536151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-1.2540490420335288</v>
      </c>
      <c r="DP139" s="408">
        <v>-0.40790256699862404</v>
      </c>
      <c r="DQ139" s="408">
        <v>0</v>
      </c>
      <c r="DR139" s="408">
        <v>0</v>
      </c>
      <c r="DS139" s="408"/>
      <c r="DT139" s="408"/>
      <c r="DU139" s="408"/>
      <c r="DV139" s="408">
        <v>9983.0236687959532</v>
      </c>
      <c r="DW139" s="408">
        <v>0</v>
      </c>
      <c r="DX139" s="408">
        <v>0</v>
      </c>
      <c r="DY139" s="408">
        <v>-6139.5827399999998</v>
      </c>
      <c r="DZ139" s="408">
        <v>0</v>
      </c>
      <c r="EA139" s="408">
        <v>0</v>
      </c>
      <c r="EB139" s="408">
        <v>0</v>
      </c>
      <c r="EC139" s="408">
        <v>-6121.0422634840452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265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146</v>
      </c>
      <c r="B140" s="408" t="s">
        <v>1031</v>
      </c>
      <c r="C140" s="408" t="s">
        <v>2235</v>
      </c>
      <c r="D140" s="408" t="s">
        <v>596</v>
      </c>
      <c r="E140" s="408" t="s">
        <v>969</v>
      </c>
      <c r="F140" s="408" t="s">
        <v>2245</v>
      </c>
      <c r="G140" s="408" t="s">
        <v>1317</v>
      </c>
      <c r="H140" s="408" t="s">
        <v>1317</v>
      </c>
      <c r="I140" s="408" t="s">
        <v>2236</v>
      </c>
      <c r="J140" s="408" t="s">
        <v>2228</v>
      </c>
      <c r="K140" s="828">
        <v>44440</v>
      </c>
      <c r="L140" s="408">
        <v>0</v>
      </c>
      <c r="M140" s="408">
        <v>0</v>
      </c>
      <c r="N140" s="408">
        <v>38.441000000000003</v>
      </c>
      <c r="O140" s="408">
        <v>36.903359999999999</v>
      </c>
      <c r="P140" s="408">
        <v>38.441000000000003</v>
      </c>
      <c r="Q140" s="408">
        <v>36.903359999999999</v>
      </c>
      <c r="R140" s="408"/>
      <c r="S140" s="408">
        <v>81.2</v>
      </c>
      <c r="T140" s="408">
        <v>252.22</v>
      </c>
      <c r="U140" s="408"/>
      <c r="V140" s="408">
        <v>12816.998220000001</v>
      </c>
      <c r="W140" s="408">
        <v>12816.998220000001</v>
      </c>
      <c r="X140" s="408">
        <v>12744.729140000001</v>
      </c>
      <c r="Y140" s="408">
        <v>0</v>
      </c>
      <c r="Z140" s="408">
        <v>2068.596558571508</v>
      </c>
      <c r="AA140" s="408">
        <v>0</v>
      </c>
      <c r="AB140" s="408">
        <v>0</v>
      </c>
      <c r="AC140" s="408">
        <v>0</v>
      </c>
      <c r="AD140" s="408">
        <v>0</v>
      </c>
      <c r="AE140" s="408">
        <v>0</v>
      </c>
      <c r="AF140" s="408">
        <v>9695.695404581782</v>
      </c>
      <c r="AG140" s="408">
        <v>0</v>
      </c>
      <c r="AH140" s="408">
        <v>0</v>
      </c>
      <c r="AI140" s="408">
        <v>0</v>
      </c>
      <c r="AJ140" s="408">
        <v>0</v>
      </c>
      <c r="AK140" s="408">
        <v>0</v>
      </c>
      <c r="AL140" s="408">
        <v>367.53552286211595</v>
      </c>
      <c r="AM140" s="408"/>
      <c r="AN140" s="408">
        <v>92.485437836978875</v>
      </c>
      <c r="AO140" s="408">
        <v>0</v>
      </c>
      <c r="AP140" s="408">
        <v>0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592.86944135375848</v>
      </c>
      <c r="BH140" s="408">
        <v>0</v>
      </c>
      <c r="BI140" s="408">
        <v>0</v>
      </c>
      <c r="BJ140" s="408">
        <v>0</v>
      </c>
      <c r="BK140" s="408">
        <v>0</v>
      </c>
      <c r="BL140" s="408">
        <v>0</v>
      </c>
      <c r="BM140" s="408"/>
      <c r="BN140" s="408"/>
      <c r="BO140" s="408"/>
      <c r="BP140" s="408"/>
      <c r="BQ140" s="408"/>
      <c r="BR140" s="408">
        <v>509.78916560000107</v>
      </c>
      <c r="BS140" s="408"/>
      <c r="BT140" s="408"/>
      <c r="BU140" s="408"/>
      <c r="BV140" s="408">
        <v>10288.56484593554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12233.825999999999</v>
      </c>
      <c r="CJ140" s="408">
        <v>-70.522291200000836</v>
      </c>
      <c r="CK140" s="408"/>
      <c r="CL140" s="408"/>
      <c r="CM140" s="408"/>
      <c r="CN140" s="408"/>
      <c r="CO140" s="408">
        <v>-72.269080000000372</v>
      </c>
      <c r="CP140" s="408">
        <v>0</v>
      </c>
      <c r="CQ140" s="408">
        <v>30</v>
      </c>
      <c r="CR140" s="408">
        <v>-72.385328149106499</v>
      </c>
      <c r="CS140" s="408">
        <v>0</v>
      </c>
      <c r="CT140" s="408">
        <v>0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0</v>
      </c>
      <c r="DA140" s="408">
        <v>0</v>
      </c>
      <c r="DB140" s="408">
        <v>0</v>
      </c>
      <c r="DC140" s="408">
        <v>-1.3592743925983086E-6</v>
      </c>
      <c r="DD140" s="408">
        <v>0</v>
      </c>
      <c r="DE140" s="408">
        <v>0</v>
      </c>
      <c r="DF140" s="408">
        <v>0</v>
      </c>
      <c r="DG140" s="408">
        <v>-8.3117129179299809E-8</v>
      </c>
      <c r="DH140" s="408">
        <v>0</v>
      </c>
      <c r="DI140" s="408">
        <v>-60.148766315450075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-9.2332693401285155</v>
      </c>
      <c r="DP140" s="408">
        <v>-3.0032910511384898</v>
      </c>
      <c r="DQ140" s="408">
        <v>0</v>
      </c>
      <c r="DR140" s="408">
        <v>0</v>
      </c>
      <c r="DS140" s="408"/>
      <c r="DT140" s="408"/>
      <c r="DU140" s="408"/>
      <c r="DV140" s="408">
        <v>0</v>
      </c>
      <c r="DW140" s="408">
        <v>0</v>
      </c>
      <c r="DX140" s="408">
        <v>0</v>
      </c>
      <c r="DY140" s="408">
        <v>-72.269080000000486</v>
      </c>
      <c r="DZ140" s="408">
        <v>0</v>
      </c>
      <c r="EA140" s="408">
        <v>0</v>
      </c>
      <c r="EB140" s="408">
        <v>0</v>
      </c>
      <c r="EC140" s="408">
        <v>0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265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147</v>
      </c>
      <c r="B141" s="408" t="s">
        <v>1031</v>
      </c>
      <c r="C141" s="408" t="s">
        <v>2235</v>
      </c>
      <c r="D141" s="408" t="s">
        <v>596</v>
      </c>
      <c r="E141" s="408" t="s">
        <v>969</v>
      </c>
      <c r="F141" s="408" t="s">
        <v>2245</v>
      </c>
      <c r="G141" s="408" t="s">
        <v>1317</v>
      </c>
      <c r="H141" s="408" t="s">
        <v>1317</v>
      </c>
      <c r="I141" s="408" t="s">
        <v>1317</v>
      </c>
      <c r="J141" s="408" t="s">
        <v>2228</v>
      </c>
      <c r="K141" s="828">
        <v>44440</v>
      </c>
      <c r="L141" s="408">
        <v>1999</v>
      </c>
      <c r="M141" s="408">
        <v>1919.04</v>
      </c>
      <c r="N141" s="408">
        <v>0</v>
      </c>
      <c r="O141" s="408">
        <v>0</v>
      </c>
      <c r="P141" s="408">
        <v>0</v>
      </c>
      <c r="Q141" s="408">
        <v>0</v>
      </c>
      <c r="R141" s="408">
        <v>74.44</v>
      </c>
      <c r="S141" s="408"/>
      <c r="T141" s="408"/>
      <c r="U141" s="408">
        <v>148805.56</v>
      </c>
      <c r="V141" s="408"/>
      <c r="W141" s="408">
        <v>148805.56</v>
      </c>
      <c r="X141" s="408">
        <v>90794.58</v>
      </c>
      <c r="Y141" s="408">
        <v>0</v>
      </c>
      <c r="Z141" s="408">
        <v>0</v>
      </c>
      <c r="AA141" s="408">
        <v>0</v>
      </c>
      <c r="AB141" s="408">
        <v>0</v>
      </c>
      <c r="AC141" s="408">
        <v>0</v>
      </c>
      <c r="AD141" s="408">
        <v>54406.967968373152</v>
      </c>
      <c r="AE141" s="408">
        <v>94395.854330422226</v>
      </c>
      <c r="AF141" s="408"/>
      <c r="AG141" s="408"/>
      <c r="AH141" s="408"/>
      <c r="AI141" s="408">
        <v>0</v>
      </c>
      <c r="AJ141" s="408">
        <v>0</v>
      </c>
      <c r="AK141" s="408">
        <v>0</v>
      </c>
      <c r="AL141" s="408">
        <v>0</v>
      </c>
      <c r="AM141" s="408"/>
      <c r="AN141" s="408">
        <v>0</v>
      </c>
      <c r="AO141" s="408">
        <v>0</v>
      </c>
      <c r="AP141" s="408">
        <v>0</v>
      </c>
      <c r="AQ141" s="408">
        <v>0</v>
      </c>
      <c r="AR141" s="408">
        <v>0</v>
      </c>
      <c r="AS141" s="408"/>
      <c r="AT141" s="408"/>
      <c r="AU141" s="408">
        <v>0</v>
      </c>
      <c r="AV141" s="408">
        <v>0</v>
      </c>
      <c r="AW141" s="408">
        <v>0</v>
      </c>
      <c r="AX141" s="408"/>
      <c r="AY141" s="408"/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/>
      <c r="BG141" s="408">
        <v>0</v>
      </c>
      <c r="BH141" s="408">
        <v>0</v>
      </c>
      <c r="BI141" s="408">
        <v>0</v>
      </c>
      <c r="BJ141" s="408">
        <v>0</v>
      </c>
      <c r="BK141" s="408">
        <v>149.29</v>
      </c>
      <c r="BL141" s="408">
        <v>24</v>
      </c>
      <c r="BM141" s="408"/>
      <c r="BN141" s="408"/>
      <c r="BO141" s="408"/>
      <c r="BP141" s="408"/>
      <c r="BQ141" s="408"/>
      <c r="BR141" s="408">
        <v>3631.7832000000017</v>
      </c>
      <c r="BS141" s="408"/>
      <c r="BT141" s="408"/>
      <c r="BU141" s="408"/>
      <c r="BV141" s="408">
        <v>0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87162.796799999996</v>
      </c>
      <c r="CJ141" s="408">
        <v>-55690.57080000003</v>
      </c>
      <c r="CK141" s="408"/>
      <c r="CL141" s="408"/>
      <c r="CM141" s="408"/>
      <c r="CN141" s="408"/>
      <c r="CO141" s="408">
        <v>-58010.979999999989</v>
      </c>
      <c r="CP141" s="408">
        <v>0</v>
      </c>
      <c r="CQ141" s="408">
        <v>30</v>
      </c>
      <c r="CR141" s="408">
        <v>-139.83069886160956</v>
      </c>
      <c r="CS141" s="408">
        <v>0</v>
      </c>
      <c r="CT141" s="408">
        <v>0</v>
      </c>
      <c r="CU141" s="408">
        <v>0</v>
      </c>
      <c r="CV141" s="408">
        <v>0</v>
      </c>
      <c r="CW141" s="408"/>
      <c r="CX141" s="408"/>
      <c r="CY141" s="408"/>
      <c r="CZ141" s="408">
        <v>-139.83069886160956</v>
      </c>
      <c r="DA141" s="408">
        <v>0</v>
      </c>
      <c r="DB141" s="408">
        <v>0</v>
      </c>
      <c r="DC141" s="408"/>
      <c r="DD141" s="408"/>
      <c r="DE141" s="408">
        <v>0</v>
      </c>
      <c r="DF141" s="408">
        <v>0</v>
      </c>
      <c r="DG141" s="408">
        <v>0</v>
      </c>
      <c r="DH141" s="408">
        <v>0</v>
      </c>
      <c r="DI141" s="408">
        <v>0</v>
      </c>
      <c r="DJ141" s="408"/>
      <c r="DK141" s="408">
        <v>0</v>
      </c>
      <c r="DL141" s="408">
        <v>0</v>
      </c>
      <c r="DM141" s="408"/>
      <c r="DN141" s="408">
        <v>0</v>
      </c>
      <c r="DO141" s="408">
        <v>0</v>
      </c>
      <c r="DP141" s="408">
        <v>0</v>
      </c>
      <c r="DQ141" s="408">
        <v>0</v>
      </c>
      <c r="DR141" s="408">
        <v>0</v>
      </c>
      <c r="DS141" s="408"/>
      <c r="DT141" s="408"/>
      <c r="DU141" s="408">
        <v>94395.854330422226</v>
      </c>
      <c r="DV141" s="408"/>
      <c r="DW141" s="408">
        <v>0</v>
      </c>
      <c r="DX141" s="408">
        <v>0</v>
      </c>
      <c r="DY141" s="408">
        <v>-58010.979999999996</v>
      </c>
      <c r="DZ141" s="408"/>
      <c r="EA141" s="408">
        <v>0</v>
      </c>
      <c r="EB141" s="408"/>
      <c r="EC141" s="408">
        <v>-57878.357602240074</v>
      </c>
      <c r="ED141" s="408"/>
      <c r="EE141" s="408">
        <v>0</v>
      </c>
      <c r="EF141" s="408">
        <v>0</v>
      </c>
      <c r="EG141" s="408"/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/>
      <c r="EN141" s="408"/>
      <c r="EO141" s="408">
        <v>0</v>
      </c>
      <c r="EP141" s="408">
        <v>0</v>
      </c>
      <c r="EQ141" s="408"/>
      <c r="ER141" s="408">
        <v>0</v>
      </c>
      <c r="ES141" s="408"/>
      <c r="ET141" s="408">
        <v>0</v>
      </c>
      <c r="EU141" s="408"/>
      <c r="EV141" s="408">
        <v>265</v>
      </c>
      <c r="EW141" s="408"/>
      <c r="EX141" s="408"/>
      <c r="EY141" s="408"/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148</v>
      </c>
      <c r="B142" s="408" t="s">
        <v>1031</v>
      </c>
      <c r="C142" s="408" t="s">
        <v>2235</v>
      </c>
      <c r="D142" s="408" t="s">
        <v>596</v>
      </c>
      <c r="E142" s="408" t="s">
        <v>969</v>
      </c>
      <c r="F142" s="408" t="s">
        <v>2245</v>
      </c>
      <c r="G142" s="408" t="s">
        <v>2247</v>
      </c>
      <c r="H142" s="408" t="s">
        <v>1317</v>
      </c>
      <c r="I142" s="408" t="s">
        <v>2236</v>
      </c>
      <c r="J142" s="408" t="s">
        <v>2228</v>
      </c>
      <c r="K142" s="828">
        <v>44440</v>
      </c>
      <c r="L142" s="408">
        <v>0</v>
      </c>
      <c r="M142" s="408">
        <v>0</v>
      </c>
      <c r="N142" s="408">
        <v>19.091000000000001</v>
      </c>
      <c r="O142" s="408">
        <v>5.7272999999999996</v>
      </c>
      <c r="P142" s="408">
        <v>19.091000000000001</v>
      </c>
      <c r="Q142" s="408">
        <v>5.7272999999999996</v>
      </c>
      <c r="R142" s="408"/>
      <c r="S142" s="408">
        <v>81.2</v>
      </c>
      <c r="T142" s="408">
        <v>252.22</v>
      </c>
      <c r="U142" s="408"/>
      <c r="V142" s="408">
        <v>6365.3212199999998</v>
      </c>
      <c r="W142" s="408">
        <v>6365.3212199999998</v>
      </c>
      <c r="X142" s="408">
        <v>6329.4301400000004</v>
      </c>
      <c r="Y142" s="408">
        <v>0</v>
      </c>
      <c r="Z142" s="408">
        <v>1027.3295933947779</v>
      </c>
      <c r="AA142" s="408">
        <v>0</v>
      </c>
      <c r="AB142" s="408">
        <v>0</v>
      </c>
      <c r="AC142" s="408">
        <v>0</v>
      </c>
      <c r="AD142" s="408">
        <v>0</v>
      </c>
      <c r="AE142" s="408">
        <v>0</v>
      </c>
      <c r="AF142" s="408">
        <v>4815.184853902625</v>
      </c>
      <c r="AG142" s="408">
        <v>0</v>
      </c>
      <c r="AH142" s="408">
        <v>0</v>
      </c>
      <c r="AI142" s="408">
        <v>0</v>
      </c>
      <c r="AJ142" s="408">
        <v>0</v>
      </c>
      <c r="AK142" s="408">
        <v>0</v>
      </c>
      <c r="AL142" s="408">
        <v>182.52960815173009</v>
      </c>
      <c r="AM142" s="408"/>
      <c r="AN142" s="408">
        <v>45.931154073665198</v>
      </c>
      <c r="AO142" s="408">
        <v>0</v>
      </c>
      <c r="AP142" s="408">
        <v>0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>
        <v>0</v>
      </c>
      <c r="BG142" s="408">
        <v>294.4374627320986</v>
      </c>
      <c r="BH142" s="408">
        <v>0</v>
      </c>
      <c r="BI142" s="408">
        <v>0</v>
      </c>
      <c r="BJ142" s="408">
        <v>0</v>
      </c>
      <c r="BK142" s="408">
        <v>0</v>
      </c>
      <c r="BL142" s="408">
        <v>0</v>
      </c>
      <c r="BM142" s="408"/>
      <c r="BN142" s="408"/>
      <c r="BO142" s="408"/>
      <c r="BP142" s="408"/>
      <c r="BQ142" s="408"/>
      <c r="BR142" s="408"/>
      <c r="BS142" s="408">
        <v>4430.6010980000001</v>
      </c>
      <c r="BT142" s="408"/>
      <c r="BU142" s="408"/>
      <c r="BV142" s="408">
        <v>5109.6223166347236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1899.7242000000001</v>
      </c>
      <c r="CJ142" s="408">
        <v>-9.9021659999996245</v>
      </c>
      <c r="CK142" s="408"/>
      <c r="CL142" s="408"/>
      <c r="CM142" s="408"/>
      <c r="CN142" s="408"/>
      <c r="CO142" s="408">
        <v>-35.891080000000187</v>
      </c>
      <c r="CP142" s="408">
        <v>0</v>
      </c>
      <c r="CQ142" s="408">
        <v>30</v>
      </c>
      <c r="CR142" s="408">
        <v>-35.948812457912936</v>
      </c>
      <c r="CS142" s="408">
        <v>0</v>
      </c>
      <c r="CT142" s="408">
        <v>0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0</v>
      </c>
      <c r="DA142" s="408">
        <v>0</v>
      </c>
      <c r="DB142" s="408">
        <v>0</v>
      </c>
      <c r="DC142" s="408">
        <v>-6.7505879997042939E-7</v>
      </c>
      <c r="DD142" s="408">
        <v>0</v>
      </c>
      <c r="DE142" s="408">
        <v>0</v>
      </c>
      <c r="DF142" s="408">
        <v>0</v>
      </c>
      <c r="DG142" s="408">
        <v>-4.1278553908341564E-8</v>
      </c>
      <c r="DH142" s="408">
        <v>0</v>
      </c>
      <c r="DI142" s="408">
        <v>-29.871754057601379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-4.5855296421111404</v>
      </c>
      <c r="DP142" s="408">
        <v>-1.4915280418637664</v>
      </c>
      <c r="DQ142" s="408">
        <v>0</v>
      </c>
      <c r="DR142" s="408">
        <v>0</v>
      </c>
      <c r="DS142" s="408"/>
      <c r="DT142" s="408"/>
      <c r="DU142" s="408"/>
      <c r="DV142" s="408">
        <v>0</v>
      </c>
      <c r="DW142" s="408">
        <v>0</v>
      </c>
      <c r="DX142" s="408">
        <v>0</v>
      </c>
      <c r="DY142" s="408">
        <v>-35.891080000000329</v>
      </c>
      <c r="DZ142" s="408">
        <v>0</v>
      </c>
      <c r="EA142" s="408">
        <v>0</v>
      </c>
      <c r="EB142" s="408">
        <v>0</v>
      </c>
      <c r="EC142" s="408">
        <v>0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265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149</v>
      </c>
      <c r="B143" s="408" t="s">
        <v>1031</v>
      </c>
      <c r="C143" s="408" t="s">
        <v>2227</v>
      </c>
      <c r="D143" s="408" t="s">
        <v>1949</v>
      </c>
      <c r="E143" s="408" t="s">
        <v>964</v>
      </c>
      <c r="F143" s="408" t="s">
        <v>964</v>
      </c>
      <c r="G143" s="408" t="s">
        <v>1317</v>
      </c>
      <c r="H143" s="408" t="s">
        <v>1317</v>
      </c>
      <c r="I143" s="408" t="s">
        <v>1317</v>
      </c>
      <c r="J143" s="408" t="s">
        <v>2228</v>
      </c>
      <c r="K143" s="828">
        <v>44470</v>
      </c>
      <c r="L143" s="408">
        <v>0</v>
      </c>
      <c r="M143" s="408">
        <v>0</v>
      </c>
      <c r="N143" s="408">
        <v>1002.316</v>
      </c>
      <c r="O143" s="408">
        <v>1002.316</v>
      </c>
      <c r="P143" s="408">
        <v>1002.316</v>
      </c>
      <c r="Q143" s="408">
        <v>1002.316</v>
      </c>
      <c r="R143" s="408"/>
      <c r="S143" s="408">
        <v>739.04</v>
      </c>
      <c r="T143" s="408">
        <v>252.22</v>
      </c>
      <c r="U143" s="408"/>
      <c r="V143" s="408">
        <v>993555.75815999997</v>
      </c>
      <c r="W143" s="408">
        <v>993555.75815999997</v>
      </c>
      <c r="X143" s="408">
        <v>679540.17852000007</v>
      </c>
      <c r="Y143" s="408">
        <v>0</v>
      </c>
      <c r="Z143" s="408">
        <v>61996.408534145914</v>
      </c>
      <c r="AA143" s="408">
        <v>0</v>
      </c>
      <c r="AB143" s="408">
        <v>0</v>
      </c>
      <c r="AC143" s="408">
        <v>0</v>
      </c>
      <c r="AD143" s="408">
        <v>123783.60129359068</v>
      </c>
      <c r="AE143" s="408">
        <v>508161.95372897299</v>
      </c>
      <c r="AF143" s="408">
        <v>252806.91540643564</v>
      </c>
      <c r="AG143" s="408">
        <v>0</v>
      </c>
      <c r="AH143" s="408">
        <v>0</v>
      </c>
      <c r="AI143" s="408">
        <v>0</v>
      </c>
      <c r="AJ143" s="408">
        <v>0</v>
      </c>
      <c r="AK143" s="408">
        <v>0</v>
      </c>
      <c r="AL143" s="408">
        <v>9583.1725275894132</v>
      </c>
      <c r="AM143" s="408"/>
      <c r="AN143" s="408">
        <v>2348.7256185998881</v>
      </c>
      <c r="AO143" s="408">
        <v>0</v>
      </c>
      <c r="AP143" s="408">
        <v>0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34874.831439847199</v>
      </c>
      <c r="BH143" s="408">
        <v>0</v>
      </c>
      <c r="BI143" s="408">
        <v>0</v>
      </c>
      <c r="BJ143" s="408">
        <v>0</v>
      </c>
      <c r="BK143" s="408">
        <v>334928.53000000003</v>
      </c>
      <c r="BL143" s="408">
        <v>8247</v>
      </c>
      <c r="BM143" s="408"/>
      <c r="BN143" s="408"/>
      <c r="BO143" s="408"/>
      <c r="BP143" s="408"/>
      <c r="BQ143" s="408"/>
      <c r="BR143" s="408"/>
      <c r="BS143" s="408"/>
      <c r="BT143" s="408"/>
      <c r="BU143" s="408"/>
      <c r="BV143" s="408">
        <v>287681.74684628285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679542.89040000003</v>
      </c>
      <c r="CJ143" s="408">
        <v>-314012.89775999996</v>
      </c>
      <c r="CK143" s="408"/>
      <c r="CL143" s="408"/>
      <c r="CM143" s="408"/>
      <c r="CN143" s="408"/>
      <c r="CO143" s="408">
        <v>-314015.57963999995</v>
      </c>
      <c r="CP143" s="408">
        <v>0</v>
      </c>
      <c r="CQ143" s="408">
        <v>31</v>
      </c>
      <c r="CR143" s="408">
        <v>-2437.8298980996478</v>
      </c>
      <c r="CS143" s="408">
        <v>0</v>
      </c>
      <c r="CT143" s="408">
        <v>0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-318.13475594771444</v>
      </c>
      <c r="DA143" s="408">
        <v>0</v>
      </c>
      <c r="DB143" s="408">
        <v>0</v>
      </c>
      <c r="DC143" s="408">
        <v>-3.5441888030618429E-5</v>
      </c>
      <c r="DD143" s="408">
        <v>0</v>
      </c>
      <c r="DE143" s="408">
        <v>0</v>
      </c>
      <c r="DF143" s="408">
        <v>0</v>
      </c>
      <c r="DG143" s="408">
        <v>-4.8892034101299942E-6</v>
      </c>
      <c r="DH143" s="408">
        <v>0</v>
      </c>
      <c r="DI143" s="408">
        <v>-1802.6750909286202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-240.74955365157803</v>
      </c>
      <c r="DP143" s="408">
        <v>-76.270457240564156</v>
      </c>
      <c r="DQ143" s="408">
        <v>0</v>
      </c>
      <c r="DR143" s="408">
        <v>0</v>
      </c>
      <c r="DS143" s="408"/>
      <c r="DT143" s="408"/>
      <c r="DU143" s="408"/>
      <c r="DV143" s="408">
        <v>508161.95372897299</v>
      </c>
      <c r="DW143" s="408">
        <v>0</v>
      </c>
      <c r="DX143" s="408">
        <v>0</v>
      </c>
      <c r="DY143" s="408">
        <v>-314015.57964000001</v>
      </c>
      <c r="DZ143" s="408">
        <v>0</v>
      </c>
      <c r="EA143" s="408">
        <v>0</v>
      </c>
      <c r="EB143" s="408">
        <v>0</v>
      </c>
      <c r="EC143" s="408">
        <v>-311577.02302080404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265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150</v>
      </c>
      <c r="B144" s="408" t="s">
        <v>2229</v>
      </c>
      <c r="C144" s="408" t="s">
        <v>2227</v>
      </c>
      <c r="D144" s="408" t="s">
        <v>1949</v>
      </c>
      <c r="E144" s="408" t="s">
        <v>964</v>
      </c>
      <c r="F144" s="408" t="s">
        <v>964</v>
      </c>
      <c r="G144" s="408" t="s">
        <v>1317</v>
      </c>
      <c r="H144" s="408" t="s">
        <v>1317</v>
      </c>
      <c r="I144" s="408" t="s">
        <v>1317</v>
      </c>
      <c r="J144" s="408" t="s">
        <v>2228</v>
      </c>
      <c r="K144" s="828">
        <v>44470</v>
      </c>
      <c r="L144" s="408">
        <v>0</v>
      </c>
      <c r="M144" s="408">
        <v>0</v>
      </c>
      <c r="N144" s="408">
        <v>-1.4450000000000001</v>
      </c>
      <c r="O144" s="408">
        <v>-1.4450000000000001</v>
      </c>
      <c r="P144" s="408">
        <v>-1.4450000000000001</v>
      </c>
      <c r="Q144" s="408">
        <v>-1.4450000000000001</v>
      </c>
      <c r="R144" s="408"/>
      <c r="S144" s="408">
        <v>739.04</v>
      </c>
      <c r="T144" s="408">
        <v>252.22</v>
      </c>
      <c r="U144" s="408"/>
      <c r="V144" s="408">
        <v>-1432.3706999999999</v>
      </c>
      <c r="W144" s="408">
        <v>-1432.3706999999999</v>
      </c>
      <c r="X144" s="408">
        <v>-979.66665</v>
      </c>
      <c r="Y144" s="408">
        <v>0</v>
      </c>
      <c r="Z144" s="408">
        <v>-89.37781132082182</v>
      </c>
      <c r="AA144" s="408">
        <v>0</v>
      </c>
      <c r="AB144" s="408">
        <v>0</v>
      </c>
      <c r="AC144" s="408">
        <v>0</v>
      </c>
      <c r="AD144" s="408">
        <v>-178.45400439505957</v>
      </c>
      <c r="AE144" s="408">
        <v>-732.59732772734947</v>
      </c>
      <c r="AF144" s="408">
        <v>-364.4618990042058</v>
      </c>
      <c r="AG144" s="408">
        <v>0</v>
      </c>
      <c r="AH144" s="408">
        <v>0</v>
      </c>
      <c r="AI144" s="408">
        <v>0</v>
      </c>
      <c r="AJ144" s="408">
        <v>0</v>
      </c>
      <c r="AK144" s="408">
        <v>0</v>
      </c>
      <c r="AL144" s="408">
        <v>-13.815687170878947</v>
      </c>
      <c r="AM144" s="408"/>
      <c r="AN144" s="408">
        <v>-3.386066389119637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-50.277688304466054</v>
      </c>
      <c r="BH144" s="408">
        <v>0</v>
      </c>
      <c r="BI144" s="408">
        <v>0</v>
      </c>
      <c r="BJ144" s="408">
        <v>0</v>
      </c>
      <c r="BK144" s="408">
        <v>-459.34</v>
      </c>
      <c r="BL144" s="408">
        <v>0</v>
      </c>
      <c r="BM144" s="408"/>
      <c r="BN144" s="408"/>
      <c r="BO144" s="408"/>
      <c r="BP144" s="408"/>
      <c r="BQ144" s="408"/>
      <c r="BR144" s="408"/>
      <c r="BS144" s="408"/>
      <c r="BT144" s="408"/>
      <c r="BU144" s="408"/>
      <c r="BV144" s="408">
        <v>-414.73958730867184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-983.05649999999991</v>
      </c>
      <c r="CJ144" s="408">
        <v>449.28420000000006</v>
      </c>
      <c r="CK144" s="408"/>
      <c r="CL144" s="408"/>
      <c r="CM144" s="408"/>
      <c r="CN144" s="408"/>
      <c r="CO144" s="408">
        <v>452.70405</v>
      </c>
      <c r="CP144" s="408">
        <v>0</v>
      </c>
      <c r="CQ144" s="408">
        <v>31</v>
      </c>
      <c r="CR144" s="408">
        <v>3.5145245638639153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0.45864250629983871</v>
      </c>
      <c r="DA144" s="408">
        <v>0</v>
      </c>
      <c r="DB144" s="408">
        <v>0</v>
      </c>
      <c r="DC144" s="408">
        <v>5.1095241815346526E-8</v>
      </c>
      <c r="DD144" s="408">
        <v>0</v>
      </c>
      <c r="DE144" s="408">
        <v>0</v>
      </c>
      <c r="DF144" s="408">
        <v>0</v>
      </c>
      <c r="DG144" s="408">
        <v>7.0485697278854786E-9</v>
      </c>
      <c r="DH144" s="408">
        <v>0</v>
      </c>
      <c r="DI144" s="408">
        <v>2.5988465777178504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0.34707926943850964</v>
      </c>
      <c r="DP144" s="408">
        <v>0.10995615226397204</v>
      </c>
      <c r="DQ144" s="408">
        <v>0</v>
      </c>
      <c r="DR144" s="408">
        <v>0</v>
      </c>
      <c r="DS144" s="408"/>
      <c r="DT144" s="408"/>
      <c r="DU144" s="408"/>
      <c r="DV144" s="408">
        <v>-732.59732772734947</v>
      </c>
      <c r="DW144" s="408">
        <v>0</v>
      </c>
      <c r="DX144" s="408">
        <v>0</v>
      </c>
      <c r="DY144" s="408">
        <v>452.70405000000005</v>
      </c>
      <c r="DZ144" s="408">
        <v>0</v>
      </c>
      <c r="EA144" s="408">
        <v>0</v>
      </c>
      <c r="EB144" s="408">
        <v>0</v>
      </c>
      <c r="EC144" s="408">
        <v>449.18847775059152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265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151</v>
      </c>
      <c r="B145" s="408" t="s">
        <v>2230</v>
      </c>
      <c r="C145" s="408" t="s">
        <v>2227</v>
      </c>
      <c r="D145" s="408" t="s">
        <v>1949</v>
      </c>
      <c r="E145" s="408" t="s">
        <v>964</v>
      </c>
      <c r="F145" s="408" t="s">
        <v>964</v>
      </c>
      <c r="G145" s="408" t="s">
        <v>1317</v>
      </c>
      <c r="H145" s="408" t="s">
        <v>1317</v>
      </c>
      <c r="I145" s="408" t="s">
        <v>1317</v>
      </c>
      <c r="J145" s="408" t="s">
        <v>2228</v>
      </c>
      <c r="K145" s="828">
        <v>44470</v>
      </c>
      <c r="L145" s="408">
        <v>0</v>
      </c>
      <c r="M145" s="408">
        <v>0</v>
      </c>
      <c r="N145" s="408">
        <v>26.238</v>
      </c>
      <c r="O145" s="408">
        <v>26.238</v>
      </c>
      <c r="P145" s="408">
        <v>26.238</v>
      </c>
      <c r="Q145" s="408">
        <v>26.238</v>
      </c>
      <c r="R145" s="408"/>
      <c r="S145" s="408">
        <v>739.04</v>
      </c>
      <c r="T145" s="408">
        <v>252.22</v>
      </c>
      <c r="U145" s="408"/>
      <c r="V145" s="408">
        <v>26008.679879999996</v>
      </c>
      <c r="W145" s="408">
        <v>26008.679879999996</v>
      </c>
      <c r="X145" s="408">
        <v>17788.576860000001</v>
      </c>
      <c r="Y145" s="408">
        <v>0</v>
      </c>
      <c r="Z145" s="408">
        <v>1622.9031234849292</v>
      </c>
      <c r="AA145" s="408">
        <v>0</v>
      </c>
      <c r="AB145" s="408">
        <v>0</v>
      </c>
      <c r="AC145" s="408">
        <v>0</v>
      </c>
      <c r="AD145" s="408">
        <v>3240.3295275554137</v>
      </c>
      <c r="AE145" s="408">
        <v>13302.345110664493</v>
      </c>
      <c r="AF145" s="408">
        <v>6617.8209730604503</v>
      </c>
      <c r="AG145" s="408">
        <v>0</v>
      </c>
      <c r="AH145" s="408">
        <v>0</v>
      </c>
      <c r="AI145" s="408">
        <v>0</v>
      </c>
      <c r="AJ145" s="408">
        <v>0</v>
      </c>
      <c r="AK145" s="408">
        <v>0</v>
      </c>
      <c r="AL145" s="408">
        <v>250.86228372977286</v>
      </c>
      <c r="AM145" s="408"/>
      <c r="AN145" s="408">
        <v>61.483467071087219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912.93147801562645</v>
      </c>
      <c r="BH145" s="408">
        <v>0</v>
      </c>
      <c r="BI145" s="408">
        <v>0</v>
      </c>
      <c r="BJ145" s="408">
        <v>0</v>
      </c>
      <c r="BK145" s="408">
        <v>27441.68</v>
      </c>
      <c r="BL145" s="408">
        <v>480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7530.7524510760768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17789.932799999999</v>
      </c>
      <c r="CJ145" s="408">
        <v>-8218.7770799999926</v>
      </c>
      <c r="CK145" s="408"/>
      <c r="CL145" s="408"/>
      <c r="CM145" s="408"/>
      <c r="CN145" s="408"/>
      <c r="CO145" s="408">
        <v>-8220.1030199999987</v>
      </c>
      <c r="CP145" s="408">
        <v>0</v>
      </c>
      <c r="CQ145" s="408">
        <v>31</v>
      </c>
      <c r="CR145" s="408">
        <v>-63.815983049595161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-8.3279322354987926</v>
      </c>
      <c r="DA145" s="408">
        <v>0</v>
      </c>
      <c r="DB145" s="408">
        <v>0</v>
      </c>
      <c r="DC145" s="408">
        <v>-9.2777645477326587E-7</v>
      </c>
      <c r="DD145" s="408">
        <v>0</v>
      </c>
      <c r="DE145" s="408">
        <v>0</v>
      </c>
      <c r="DF145" s="408">
        <v>0</v>
      </c>
      <c r="DG145" s="408">
        <v>-1.2798636817024089E-7</v>
      </c>
      <c r="DH145" s="408">
        <v>0</v>
      </c>
      <c r="DI145" s="408">
        <v>-47.18929862018058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-6.3021909145519714</v>
      </c>
      <c r="DP145" s="408">
        <v>-1.9965602236000635</v>
      </c>
      <c r="DQ145" s="408">
        <v>0</v>
      </c>
      <c r="DR145" s="408">
        <v>0</v>
      </c>
      <c r="DS145" s="408"/>
      <c r="DT145" s="408"/>
      <c r="DU145" s="408"/>
      <c r="DV145" s="408">
        <v>13302.345110664493</v>
      </c>
      <c r="DW145" s="408">
        <v>0</v>
      </c>
      <c r="DX145" s="408">
        <v>0</v>
      </c>
      <c r="DY145" s="408">
        <v>-8220.1030199999987</v>
      </c>
      <c r="DZ145" s="408">
        <v>0</v>
      </c>
      <c r="EA145" s="408">
        <v>0</v>
      </c>
      <c r="EB145" s="408">
        <v>0</v>
      </c>
      <c r="EC145" s="408">
        <v>-8156.2680133010508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265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152</v>
      </c>
      <c r="B146" s="408" t="s">
        <v>1031</v>
      </c>
      <c r="C146" s="408" t="s">
        <v>2227</v>
      </c>
      <c r="D146" s="408" t="s">
        <v>1949</v>
      </c>
      <c r="E146" s="408" t="s">
        <v>964</v>
      </c>
      <c r="F146" s="408" t="s">
        <v>2231</v>
      </c>
      <c r="G146" s="408" t="s">
        <v>1317</v>
      </c>
      <c r="H146" s="408" t="s">
        <v>1317</v>
      </c>
      <c r="I146" s="408" t="s">
        <v>1317</v>
      </c>
      <c r="J146" s="408" t="s">
        <v>2228</v>
      </c>
      <c r="K146" s="828">
        <v>44470</v>
      </c>
      <c r="L146" s="408">
        <v>0</v>
      </c>
      <c r="M146" s="408">
        <v>0</v>
      </c>
      <c r="N146" s="408">
        <v>8.67</v>
      </c>
      <c r="O146" s="408">
        <v>8.67</v>
      </c>
      <c r="P146" s="408">
        <v>8.67</v>
      </c>
      <c r="Q146" s="408">
        <v>8.67</v>
      </c>
      <c r="R146" s="408"/>
      <c r="S146" s="408">
        <v>667.62</v>
      </c>
      <c r="T146" s="408">
        <v>252.22</v>
      </c>
      <c r="U146" s="408"/>
      <c r="V146" s="408">
        <v>7975.0128000000004</v>
      </c>
      <c r="W146" s="408">
        <v>7975.0128000000004</v>
      </c>
      <c r="X146" s="408">
        <v>5276.4753000000001</v>
      </c>
      <c r="Y146" s="408">
        <v>0</v>
      </c>
      <c r="Z146" s="408">
        <v>0</v>
      </c>
      <c r="AA146" s="408">
        <v>0</v>
      </c>
      <c r="AB146" s="408">
        <v>0</v>
      </c>
      <c r="AC146" s="408">
        <v>0</v>
      </c>
      <c r="AD146" s="408">
        <v>1070.7240263703575</v>
      </c>
      <c r="AE146" s="408">
        <v>4395.5839663640963</v>
      </c>
      <c r="AF146" s="408">
        <v>2186.7713940252347</v>
      </c>
      <c r="AG146" s="408">
        <v>0</v>
      </c>
      <c r="AH146" s="408">
        <v>0</v>
      </c>
      <c r="AI146" s="408">
        <v>0</v>
      </c>
      <c r="AJ146" s="408">
        <v>0</v>
      </c>
      <c r="AK146" s="408">
        <v>0</v>
      </c>
      <c r="AL146" s="408">
        <v>0</v>
      </c>
      <c r="AM146" s="408"/>
      <c r="AN146" s="408">
        <v>20.316398334717821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301.66612982679629</v>
      </c>
      <c r="BH146" s="408">
        <v>0</v>
      </c>
      <c r="BI146" s="408">
        <v>0</v>
      </c>
      <c r="BJ146" s="408">
        <v>0</v>
      </c>
      <c r="BK146" s="408">
        <v>707.13</v>
      </c>
      <c r="BL146" s="408">
        <v>21</v>
      </c>
      <c r="BM146" s="408"/>
      <c r="BN146" s="408"/>
      <c r="BO146" s="408"/>
      <c r="BP146" s="408"/>
      <c r="BQ146" s="408"/>
      <c r="BR146" s="408"/>
      <c r="BS146" s="408"/>
      <c r="BT146" s="408">
        <v>3429.6785999999997</v>
      </c>
      <c r="BU146" s="408"/>
      <c r="BV146" s="408">
        <v>2488.4375238520311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1846.7967000000001</v>
      </c>
      <c r="CJ146" s="408">
        <v>-944.53980000000024</v>
      </c>
      <c r="CK146" s="408"/>
      <c r="CL146" s="408"/>
      <c r="CM146" s="408"/>
      <c r="CN146" s="408"/>
      <c r="CO146" s="408">
        <v>-2698.5374999999999</v>
      </c>
      <c r="CP146" s="408">
        <v>0</v>
      </c>
      <c r="CQ146" s="408">
        <v>31</v>
      </c>
      <c r="CR146" s="408">
        <v>-3.4115923002459567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-2.7518550377992597</v>
      </c>
      <c r="DA146" s="408">
        <v>0</v>
      </c>
      <c r="DB146" s="408">
        <v>0</v>
      </c>
      <c r="DC146" s="408">
        <v>-3.0657156457891688E-7</v>
      </c>
      <c r="DD146" s="408">
        <v>0</v>
      </c>
      <c r="DE146" s="408">
        <v>0</v>
      </c>
      <c r="DF146" s="408">
        <v>0</v>
      </c>
      <c r="DG146" s="408">
        <v>-4.2291389945603441E-8</v>
      </c>
      <c r="DH146" s="408">
        <v>0</v>
      </c>
      <c r="DI146" s="408">
        <v>0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0</v>
      </c>
      <c r="DP146" s="408">
        <v>-0.65973691358383135</v>
      </c>
      <c r="DQ146" s="408">
        <v>0</v>
      </c>
      <c r="DR146" s="408">
        <v>0</v>
      </c>
      <c r="DS146" s="408"/>
      <c r="DT146" s="408"/>
      <c r="DU146" s="408"/>
      <c r="DV146" s="408">
        <v>4395.5839663640963</v>
      </c>
      <c r="DW146" s="408">
        <v>0</v>
      </c>
      <c r="DX146" s="408">
        <v>0</v>
      </c>
      <c r="DY146" s="408">
        <v>-2698.5375000000004</v>
      </c>
      <c r="DZ146" s="408">
        <v>0</v>
      </c>
      <c r="EA146" s="408">
        <v>0</v>
      </c>
      <c r="EB146" s="408">
        <v>0</v>
      </c>
      <c r="EC146" s="408">
        <v>-2695.1308665035485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265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153</v>
      </c>
      <c r="B147" s="408" t="s">
        <v>2230</v>
      </c>
      <c r="C147" s="408" t="s">
        <v>2227</v>
      </c>
      <c r="D147" s="408" t="s">
        <v>1949</v>
      </c>
      <c r="E147" s="408" t="s">
        <v>964</v>
      </c>
      <c r="F147" s="408" t="s">
        <v>2231</v>
      </c>
      <c r="G147" s="408" t="s">
        <v>1317</v>
      </c>
      <c r="H147" s="408" t="s">
        <v>1317</v>
      </c>
      <c r="I147" s="408" t="s">
        <v>1317</v>
      </c>
      <c r="J147" s="408" t="s">
        <v>2228</v>
      </c>
      <c r="K147" s="828">
        <v>44470</v>
      </c>
      <c r="L147" s="408">
        <v>0</v>
      </c>
      <c r="M147" s="408">
        <v>0</v>
      </c>
      <c r="N147" s="408">
        <v>5.3999999999999999E-2</v>
      </c>
      <c r="O147" s="408">
        <v>-8.6400000000000005E-2</v>
      </c>
      <c r="P147" s="408">
        <v>5.3999999999999999E-2</v>
      </c>
      <c r="Q147" s="408">
        <v>-8.6400000000000005E-2</v>
      </c>
      <c r="R147" s="408"/>
      <c r="S147" s="408">
        <v>667.62</v>
      </c>
      <c r="T147" s="408">
        <v>252.22</v>
      </c>
      <c r="U147" s="408"/>
      <c r="V147" s="408">
        <v>49.67136</v>
      </c>
      <c r="W147" s="408">
        <v>49.67136</v>
      </c>
      <c r="X147" s="408">
        <v>32.863860000000003</v>
      </c>
      <c r="Y147" s="408">
        <v>0</v>
      </c>
      <c r="Z147" s="408">
        <v>0</v>
      </c>
      <c r="AA147" s="408">
        <v>0</v>
      </c>
      <c r="AB147" s="408">
        <v>0</v>
      </c>
      <c r="AC147" s="408">
        <v>0</v>
      </c>
      <c r="AD147" s="408">
        <v>6.66886936839669</v>
      </c>
      <c r="AE147" s="408">
        <v>27.377339582890567</v>
      </c>
      <c r="AF147" s="408">
        <v>13.620029443755787</v>
      </c>
      <c r="AG147" s="408">
        <v>0</v>
      </c>
      <c r="AH147" s="408">
        <v>0</v>
      </c>
      <c r="AI147" s="408">
        <v>0</v>
      </c>
      <c r="AJ147" s="408">
        <v>0</v>
      </c>
      <c r="AK147" s="408">
        <v>0</v>
      </c>
      <c r="AL147" s="408">
        <v>0</v>
      </c>
      <c r="AM147" s="408"/>
      <c r="AN147" s="408">
        <v>0.12653812111588955</v>
      </c>
      <c r="AO147" s="408">
        <v>0</v>
      </c>
      <c r="AP147" s="408">
        <v>0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1.878889389924683</v>
      </c>
      <c r="BH147" s="408">
        <v>0</v>
      </c>
      <c r="BI147" s="408">
        <v>0</v>
      </c>
      <c r="BJ147" s="408">
        <v>0</v>
      </c>
      <c r="BK147" s="408">
        <v>8.43</v>
      </c>
      <c r="BL147" s="408">
        <v>0</v>
      </c>
      <c r="BM147" s="408"/>
      <c r="BN147" s="408"/>
      <c r="BO147" s="408"/>
      <c r="BP147" s="408"/>
      <c r="BQ147" s="408"/>
      <c r="BR147" s="408"/>
      <c r="BS147" s="408"/>
      <c r="BT147" s="408">
        <v>51.267924000000008</v>
      </c>
      <c r="BU147" s="408"/>
      <c r="BV147" s="408">
        <v>15.49891883368047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-19.1709</v>
      </c>
      <c r="CJ147" s="408">
        <v>8.6155799999999978</v>
      </c>
      <c r="CK147" s="408"/>
      <c r="CL147" s="408"/>
      <c r="CM147" s="408"/>
      <c r="CN147" s="408"/>
      <c r="CO147" s="408">
        <v>-16.807500000000001</v>
      </c>
      <c r="CP147" s="408">
        <v>0</v>
      </c>
      <c r="CQ147" s="408">
        <v>31</v>
      </c>
      <c r="CR147" s="408">
        <v>-2.124867176624079E-2</v>
      </c>
      <c r="CS147" s="408">
        <v>0</v>
      </c>
      <c r="CT147" s="408">
        <v>0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-1.7139581550306815E-2</v>
      </c>
      <c r="DA147" s="408">
        <v>0</v>
      </c>
      <c r="DB147" s="408">
        <v>0</v>
      </c>
      <c r="DC147" s="408">
        <v>-1.9094414938081172E-9</v>
      </c>
      <c r="DD147" s="408">
        <v>0</v>
      </c>
      <c r="DE147" s="408">
        <v>0</v>
      </c>
      <c r="DF147" s="408">
        <v>0</v>
      </c>
      <c r="DG147" s="408">
        <v>-2.6340685188586122E-10</v>
      </c>
      <c r="DH147" s="408">
        <v>0</v>
      </c>
      <c r="DI147" s="408">
        <v>0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0</v>
      </c>
      <c r="DP147" s="408">
        <v>-4.1090880430827009E-3</v>
      </c>
      <c r="DQ147" s="408">
        <v>0</v>
      </c>
      <c r="DR147" s="408">
        <v>0</v>
      </c>
      <c r="DS147" s="408"/>
      <c r="DT147" s="408"/>
      <c r="DU147" s="408"/>
      <c r="DV147" s="408">
        <v>27.377339582890567</v>
      </c>
      <c r="DW147" s="408">
        <v>0</v>
      </c>
      <c r="DX147" s="408">
        <v>0</v>
      </c>
      <c r="DY147" s="408">
        <v>-16.807499999999997</v>
      </c>
      <c r="DZ147" s="408">
        <v>0</v>
      </c>
      <c r="EA147" s="408">
        <v>0</v>
      </c>
      <c r="EB147" s="408">
        <v>0</v>
      </c>
      <c r="EC147" s="408">
        <v>-16.786282213516913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265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154</v>
      </c>
      <c r="B148" s="408" t="s">
        <v>1031</v>
      </c>
      <c r="C148" s="408" t="s">
        <v>2227</v>
      </c>
      <c r="D148" s="408" t="s">
        <v>1949</v>
      </c>
      <c r="E148" s="408" t="s">
        <v>964</v>
      </c>
      <c r="F148" s="408" t="s">
        <v>2232</v>
      </c>
      <c r="G148" s="408" t="s">
        <v>1317</v>
      </c>
      <c r="H148" s="408" t="s">
        <v>1317</v>
      </c>
      <c r="I148" s="408" t="s">
        <v>1317</v>
      </c>
      <c r="J148" s="408" t="s">
        <v>2228</v>
      </c>
      <c r="K148" s="828">
        <v>44470</v>
      </c>
      <c r="L148" s="408">
        <v>0</v>
      </c>
      <c r="M148" s="408">
        <v>0</v>
      </c>
      <c r="N148" s="408">
        <v>15.439</v>
      </c>
      <c r="O148" s="408">
        <v>15.439</v>
      </c>
      <c r="P148" s="408">
        <v>15.439</v>
      </c>
      <c r="Q148" s="408">
        <v>15.439</v>
      </c>
      <c r="R148" s="408"/>
      <c r="S148" s="408">
        <v>667.62</v>
      </c>
      <c r="T148" s="408">
        <v>252.22</v>
      </c>
      <c r="U148" s="408"/>
      <c r="V148" s="408">
        <v>14201.409759999999</v>
      </c>
      <c r="W148" s="408">
        <v>14201.409759999999</v>
      </c>
      <c r="X148" s="408">
        <v>9396.0210100000004</v>
      </c>
      <c r="Y148" s="408">
        <v>0</v>
      </c>
      <c r="Z148" s="408">
        <v>0</v>
      </c>
      <c r="AA148" s="408">
        <v>0</v>
      </c>
      <c r="AB148" s="408">
        <v>0</v>
      </c>
      <c r="AC148" s="408">
        <v>0</v>
      </c>
      <c r="AD148" s="408">
        <v>1906.679151456972</v>
      </c>
      <c r="AE148" s="408">
        <v>7827.3841818564342</v>
      </c>
      <c r="AF148" s="408">
        <v>3894.0673070767702</v>
      </c>
      <c r="AG148" s="408">
        <v>0</v>
      </c>
      <c r="AH148" s="408">
        <v>0</v>
      </c>
      <c r="AI148" s="408">
        <v>0</v>
      </c>
      <c r="AJ148" s="408">
        <v>0</v>
      </c>
      <c r="AK148" s="408">
        <v>0</v>
      </c>
      <c r="AL148" s="408">
        <v>0</v>
      </c>
      <c r="AM148" s="408"/>
      <c r="AN148" s="408">
        <v>36.178186146448496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537.18839427865146</v>
      </c>
      <c r="BH148" s="408">
        <v>0</v>
      </c>
      <c r="BI148" s="408">
        <v>0</v>
      </c>
      <c r="BJ148" s="408">
        <v>0</v>
      </c>
      <c r="BK148" s="408">
        <v>2519.4499999999998</v>
      </c>
      <c r="BL148" s="408">
        <v>108</v>
      </c>
      <c r="BM148" s="408"/>
      <c r="BN148" s="408"/>
      <c r="BO148" s="408"/>
      <c r="BP148" s="408"/>
      <c r="BQ148" s="408"/>
      <c r="BR148" s="408"/>
      <c r="BS148" s="408"/>
      <c r="BT148" s="408">
        <v>3758.4701599999999</v>
      </c>
      <c r="BU148" s="408"/>
      <c r="BV148" s="408">
        <v>4431.2557013554215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5637.9160000000002</v>
      </c>
      <c r="CJ148" s="408">
        <v>-2882.8981000000013</v>
      </c>
      <c r="CK148" s="408"/>
      <c r="CL148" s="408"/>
      <c r="CM148" s="408"/>
      <c r="CN148" s="408"/>
      <c r="CO148" s="408">
        <v>-4805.3887500000001</v>
      </c>
      <c r="CP148" s="408">
        <v>0</v>
      </c>
      <c r="CQ148" s="408">
        <v>31</v>
      </c>
      <c r="CR148" s="408">
        <v>-6.0751526555359305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-4.9003333250957439</v>
      </c>
      <c r="DA148" s="408">
        <v>0</v>
      </c>
      <c r="DB148" s="408">
        <v>0</v>
      </c>
      <c r="DC148" s="408">
        <v>-5.459232852444984E-7</v>
      </c>
      <c r="DD148" s="408">
        <v>0</v>
      </c>
      <c r="DE148" s="408">
        <v>0</v>
      </c>
      <c r="DF148" s="408">
        <v>0</v>
      </c>
      <c r="DG148" s="408">
        <v>-7.5309912972443271E-8</v>
      </c>
      <c r="DH148" s="408">
        <v>0</v>
      </c>
      <c r="DI148" s="408">
        <v>0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0</v>
      </c>
      <c r="DP148" s="408">
        <v>-1.1748187092065479</v>
      </c>
      <c r="DQ148" s="408">
        <v>0</v>
      </c>
      <c r="DR148" s="408">
        <v>0</v>
      </c>
      <c r="DS148" s="408"/>
      <c r="DT148" s="408"/>
      <c r="DU148" s="408"/>
      <c r="DV148" s="408">
        <v>7827.3841818564342</v>
      </c>
      <c r="DW148" s="408">
        <v>0</v>
      </c>
      <c r="DX148" s="408">
        <v>0</v>
      </c>
      <c r="DY148" s="408">
        <v>-4805.3887499999992</v>
      </c>
      <c r="DZ148" s="408">
        <v>0</v>
      </c>
      <c r="EA148" s="408">
        <v>0</v>
      </c>
      <c r="EB148" s="408">
        <v>0</v>
      </c>
      <c r="EC148" s="408">
        <v>-4799.3224276756973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265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155</v>
      </c>
      <c r="B149" s="408" t="s">
        <v>2230</v>
      </c>
      <c r="C149" s="408" t="s">
        <v>2227</v>
      </c>
      <c r="D149" s="408" t="s">
        <v>1949</v>
      </c>
      <c r="E149" s="408" t="s">
        <v>964</v>
      </c>
      <c r="F149" s="408" t="s">
        <v>2232</v>
      </c>
      <c r="G149" s="408" t="s">
        <v>1317</v>
      </c>
      <c r="H149" s="408" t="s">
        <v>1317</v>
      </c>
      <c r="I149" s="408" t="s">
        <v>1317</v>
      </c>
      <c r="J149" s="408" t="s">
        <v>2228</v>
      </c>
      <c r="K149" s="828">
        <v>44470</v>
      </c>
      <c r="L149" s="408">
        <v>0</v>
      </c>
      <c r="M149" s="408">
        <v>0</v>
      </c>
      <c r="N149" s="408">
        <v>0</v>
      </c>
      <c r="O149" s="408">
        <v>0</v>
      </c>
      <c r="P149" s="408">
        <v>0</v>
      </c>
      <c r="Q149" s="408">
        <v>0</v>
      </c>
      <c r="R149" s="408"/>
      <c r="S149" s="408"/>
      <c r="T149" s="408"/>
      <c r="U149" s="408"/>
      <c r="V149" s="408"/>
      <c r="W149" s="408"/>
      <c r="X149" s="408"/>
      <c r="Y149" s="408"/>
      <c r="Z149" s="408"/>
      <c r="AA149" s="408">
        <v>0</v>
      </c>
      <c r="AB149" s="408"/>
      <c r="AC149" s="408"/>
      <c r="AD149" s="408"/>
      <c r="AE149" s="408"/>
      <c r="AF149" s="408"/>
      <c r="AG149" s="408"/>
      <c r="AH149" s="408"/>
      <c r="AI149" s="408"/>
      <c r="AJ149" s="408"/>
      <c r="AK149" s="408"/>
      <c r="AL149" s="408"/>
      <c r="AM149" s="408"/>
      <c r="AN149" s="408"/>
      <c r="AO149" s="408"/>
      <c r="AP149" s="408"/>
      <c r="AQ149" s="408"/>
      <c r="AR149" s="408"/>
      <c r="AS149" s="408"/>
      <c r="AT149" s="408"/>
      <c r="AU149" s="408"/>
      <c r="AV149" s="408"/>
      <c r="AW149" s="408"/>
      <c r="AX149" s="408"/>
      <c r="AY149" s="408"/>
      <c r="AZ149" s="408">
        <v>0</v>
      </c>
      <c r="BA149" s="408"/>
      <c r="BB149" s="408"/>
      <c r="BC149" s="408"/>
      <c r="BD149" s="408"/>
      <c r="BE149" s="408"/>
      <c r="BF149" s="408"/>
      <c r="BG149" s="408"/>
      <c r="BH149" s="408"/>
      <c r="BI149" s="408">
        <v>0</v>
      </c>
      <c r="BJ149" s="408">
        <v>0</v>
      </c>
      <c r="BK149" s="408">
        <v>24.49</v>
      </c>
      <c r="BL149" s="408">
        <v>0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/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/>
      <c r="CJ149" s="408">
        <v>-0.03</v>
      </c>
      <c r="CK149" s="408"/>
      <c r="CL149" s="408"/>
      <c r="CM149" s="408"/>
      <c r="CN149" s="408"/>
      <c r="CO149" s="408">
        <v>0</v>
      </c>
      <c r="CP149" s="408">
        <v>0</v>
      </c>
      <c r="CQ149" s="408">
        <v>31</v>
      </c>
      <c r="CR149" s="408"/>
      <c r="CS149" s="408"/>
      <c r="CT149" s="408"/>
      <c r="CU149" s="408"/>
      <c r="CV149" s="408"/>
      <c r="CW149" s="408"/>
      <c r="CX149" s="408"/>
      <c r="CY149" s="408"/>
      <c r="CZ149" s="408"/>
      <c r="DA149" s="408"/>
      <c r="DB149" s="408"/>
      <c r="DC149" s="408"/>
      <c r="DD149" s="408"/>
      <c r="DE149" s="408"/>
      <c r="DF149" s="408"/>
      <c r="DG149" s="408"/>
      <c r="DH149" s="408"/>
      <c r="DI149" s="408"/>
      <c r="DJ149" s="408"/>
      <c r="DK149" s="408">
        <v>0</v>
      </c>
      <c r="DL149" s="408"/>
      <c r="DM149" s="408"/>
      <c r="DN149" s="408"/>
      <c r="DO149" s="408"/>
      <c r="DP149" s="408"/>
      <c r="DQ149" s="408"/>
      <c r="DR149" s="408"/>
      <c r="DS149" s="408"/>
      <c r="DT149" s="408"/>
      <c r="DU149" s="408"/>
      <c r="DV149" s="408"/>
      <c r="DW149" s="408"/>
      <c r="DX149" s="408"/>
      <c r="DY149" s="408"/>
      <c r="DZ149" s="408"/>
      <c r="EA149" s="408"/>
      <c r="EB149" s="408"/>
      <c r="EC149" s="408"/>
      <c r="ED149" s="408"/>
      <c r="EE149" s="408"/>
      <c r="EF149" s="408"/>
      <c r="EG149" s="408"/>
      <c r="EH149" s="408"/>
      <c r="EI149" s="408"/>
      <c r="EJ149" s="408"/>
      <c r="EK149" s="408"/>
      <c r="EL149" s="408"/>
      <c r="EM149" s="408"/>
      <c r="EN149" s="408"/>
      <c r="EO149" s="408"/>
      <c r="EP149" s="408"/>
      <c r="EQ149" s="408"/>
      <c r="ER149" s="408"/>
      <c r="ES149" s="408"/>
      <c r="ET149" s="408"/>
      <c r="EU149" s="408"/>
      <c r="EV149" s="408">
        <v>265</v>
      </c>
      <c r="EW149" s="408"/>
      <c r="EX149" s="408"/>
      <c r="EY149" s="408"/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156</v>
      </c>
      <c r="B150" s="408" t="s">
        <v>1031</v>
      </c>
      <c r="C150" s="408" t="s">
        <v>2227</v>
      </c>
      <c r="D150" s="408" t="s">
        <v>1949</v>
      </c>
      <c r="E150" s="408" t="s">
        <v>964</v>
      </c>
      <c r="F150" s="408" t="s">
        <v>2233</v>
      </c>
      <c r="G150" s="408" t="s">
        <v>1317</v>
      </c>
      <c r="H150" s="408" t="s">
        <v>1317</v>
      </c>
      <c r="I150" s="408" t="s">
        <v>1317</v>
      </c>
      <c r="J150" s="408" t="s">
        <v>2228</v>
      </c>
      <c r="K150" s="828">
        <v>44470</v>
      </c>
      <c r="L150" s="408">
        <v>0</v>
      </c>
      <c r="M150" s="408">
        <v>0</v>
      </c>
      <c r="N150" s="408">
        <v>10.374000000000001</v>
      </c>
      <c r="O150" s="408">
        <v>10.374000000000001</v>
      </c>
      <c r="P150" s="408">
        <v>10.374000000000001</v>
      </c>
      <c r="Q150" s="408">
        <v>10.374000000000001</v>
      </c>
      <c r="R150" s="408"/>
      <c r="S150" s="408">
        <v>667.62</v>
      </c>
      <c r="T150" s="408">
        <v>252.22</v>
      </c>
      <c r="U150" s="408"/>
      <c r="V150" s="408">
        <v>9542.4201600000015</v>
      </c>
      <c r="W150" s="408">
        <v>9542.4201600000015</v>
      </c>
      <c r="X150" s="408">
        <v>6313.5126600000003</v>
      </c>
      <c r="Y150" s="408">
        <v>0</v>
      </c>
      <c r="Z150" s="408">
        <v>0</v>
      </c>
      <c r="AA150" s="408">
        <v>0</v>
      </c>
      <c r="AB150" s="408">
        <v>0</v>
      </c>
      <c r="AC150" s="408">
        <v>0</v>
      </c>
      <c r="AD150" s="408">
        <v>1281.1639042175418</v>
      </c>
      <c r="AE150" s="408">
        <v>5259.4911265353103</v>
      </c>
      <c r="AF150" s="408">
        <v>2616.5589898059729</v>
      </c>
      <c r="AG150" s="408">
        <v>0</v>
      </c>
      <c r="AH150" s="408">
        <v>0</v>
      </c>
      <c r="AI150" s="408">
        <v>0</v>
      </c>
      <c r="AJ150" s="408">
        <v>0</v>
      </c>
      <c r="AK150" s="408">
        <v>0</v>
      </c>
      <c r="AL150" s="408">
        <v>0</v>
      </c>
      <c r="AM150" s="408"/>
      <c r="AN150" s="408">
        <v>24.309379045485894</v>
      </c>
      <c r="AO150" s="408">
        <v>0</v>
      </c>
      <c r="AP150" s="408">
        <v>0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360.95552835330858</v>
      </c>
      <c r="BH150" s="408">
        <v>0</v>
      </c>
      <c r="BI150" s="408">
        <v>0</v>
      </c>
      <c r="BJ150" s="408">
        <v>0</v>
      </c>
      <c r="BK150" s="408">
        <v>2958.61</v>
      </c>
      <c r="BL150" s="408">
        <v>130</v>
      </c>
      <c r="BM150" s="408"/>
      <c r="BN150" s="408"/>
      <c r="BO150" s="408"/>
      <c r="BP150" s="408"/>
      <c r="BQ150" s="408"/>
      <c r="BR150" s="408"/>
      <c r="BS150" s="408"/>
      <c r="BT150" s="408">
        <v>631.25789999999995</v>
      </c>
      <c r="BU150" s="408"/>
      <c r="BV150" s="408">
        <v>2977.5145181592816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5680.0637999999999</v>
      </c>
      <c r="CJ150" s="408">
        <v>-2908.1858400000001</v>
      </c>
      <c r="CK150" s="408"/>
      <c r="CL150" s="408"/>
      <c r="CM150" s="408"/>
      <c r="CN150" s="408"/>
      <c r="CO150" s="408">
        <v>-3228.9075000000003</v>
      </c>
      <c r="CP150" s="408">
        <v>0</v>
      </c>
      <c r="CQ150" s="408">
        <v>31</v>
      </c>
      <c r="CR150" s="408">
        <v>-4.0821059426471038</v>
      </c>
      <c r="CS150" s="408">
        <v>0</v>
      </c>
      <c r="CT150" s="408">
        <v>0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-3.2927040556087377</v>
      </c>
      <c r="DA150" s="408">
        <v>0</v>
      </c>
      <c r="DB150" s="408">
        <v>0</v>
      </c>
      <c r="DC150" s="408">
        <v>-3.668246790766716E-7</v>
      </c>
      <c r="DD150" s="408">
        <v>0</v>
      </c>
      <c r="DE150" s="408">
        <v>0</v>
      </c>
      <c r="DF150" s="408">
        <v>0</v>
      </c>
      <c r="DG150" s="408">
        <v>-5.0603375711943954E-8</v>
      </c>
      <c r="DH150" s="408">
        <v>0</v>
      </c>
      <c r="DI150" s="408">
        <v>0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0</v>
      </c>
      <c r="DP150" s="408">
        <v>-0.78940146960999868</v>
      </c>
      <c r="DQ150" s="408">
        <v>0</v>
      </c>
      <c r="DR150" s="408">
        <v>0</v>
      </c>
      <c r="DS150" s="408"/>
      <c r="DT150" s="408"/>
      <c r="DU150" s="408"/>
      <c r="DV150" s="408">
        <v>5259.4911265353103</v>
      </c>
      <c r="DW150" s="408">
        <v>0</v>
      </c>
      <c r="DX150" s="408">
        <v>0</v>
      </c>
      <c r="DY150" s="408">
        <v>-3228.9075000000003</v>
      </c>
      <c r="DZ150" s="408">
        <v>0</v>
      </c>
      <c r="EA150" s="408">
        <v>0</v>
      </c>
      <c r="EB150" s="408">
        <v>0</v>
      </c>
      <c r="EC150" s="408">
        <v>-3224.8313274634165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265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157</v>
      </c>
      <c r="B151" s="408" t="s">
        <v>2230</v>
      </c>
      <c r="C151" s="408" t="s">
        <v>2227</v>
      </c>
      <c r="D151" s="408" t="s">
        <v>1949</v>
      </c>
      <c r="E151" s="408" t="s">
        <v>964</v>
      </c>
      <c r="F151" s="408" t="s">
        <v>2233</v>
      </c>
      <c r="G151" s="408" t="s">
        <v>1317</v>
      </c>
      <c r="H151" s="408" t="s">
        <v>1317</v>
      </c>
      <c r="I151" s="408" t="s">
        <v>1317</v>
      </c>
      <c r="J151" s="408" t="s">
        <v>2228</v>
      </c>
      <c r="K151" s="828">
        <v>44470</v>
      </c>
      <c r="L151" s="408">
        <v>0</v>
      </c>
      <c r="M151" s="408">
        <v>0</v>
      </c>
      <c r="N151" s="408">
        <v>0</v>
      </c>
      <c r="O151" s="408">
        <v>0</v>
      </c>
      <c r="P151" s="408">
        <v>0</v>
      </c>
      <c r="Q151" s="408">
        <v>0</v>
      </c>
      <c r="R151" s="408"/>
      <c r="S151" s="408"/>
      <c r="T151" s="408"/>
      <c r="U151" s="408"/>
      <c r="V151" s="408"/>
      <c r="W151" s="408"/>
      <c r="X151" s="408"/>
      <c r="Y151" s="408"/>
      <c r="Z151" s="408"/>
      <c r="AA151" s="408">
        <v>0</v>
      </c>
      <c r="AB151" s="408"/>
      <c r="AC151" s="408"/>
      <c r="AD151" s="408"/>
      <c r="AE151" s="408"/>
      <c r="AF151" s="408"/>
      <c r="AG151" s="408"/>
      <c r="AH151" s="408"/>
      <c r="AI151" s="408"/>
      <c r="AJ151" s="408"/>
      <c r="AK151" s="408"/>
      <c r="AL151" s="408"/>
      <c r="AM151" s="408"/>
      <c r="AN151" s="408"/>
      <c r="AO151" s="408"/>
      <c r="AP151" s="408"/>
      <c r="AQ151" s="408"/>
      <c r="AR151" s="408"/>
      <c r="AS151" s="408"/>
      <c r="AT151" s="408"/>
      <c r="AU151" s="408"/>
      <c r="AV151" s="408"/>
      <c r="AW151" s="408"/>
      <c r="AX151" s="408"/>
      <c r="AY151" s="408"/>
      <c r="AZ151" s="408">
        <v>0</v>
      </c>
      <c r="BA151" s="408"/>
      <c r="BB151" s="408"/>
      <c r="BC151" s="408"/>
      <c r="BD151" s="408"/>
      <c r="BE151" s="408"/>
      <c r="BF151" s="408"/>
      <c r="BG151" s="408"/>
      <c r="BH151" s="408"/>
      <c r="BI151" s="408">
        <v>0</v>
      </c>
      <c r="BJ151" s="408">
        <v>0</v>
      </c>
      <c r="BK151" s="408">
        <v>65.56</v>
      </c>
      <c r="BL151" s="408">
        <v>1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/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/>
      <c r="CJ151" s="408">
        <v>-0.03</v>
      </c>
      <c r="CK151" s="408"/>
      <c r="CL151" s="408"/>
      <c r="CM151" s="408"/>
      <c r="CN151" s="408"/>
      <c r="CO151" s="408">
        <v>0</v>
      </c>
      <c r="CP151" s="408">
        <v>0</v>
      </c>
      <c r="CQ151" s="408">
        <v>31</v>
      </c>
      <c r="CR151" s="408"/>
      <c r="CS151" s="408"/>
      <c r="CT151" s="408"/>
      <c r="CU151" s="408"/>
      <c r="CV151" s="408"/>
      <c r="CW151" s="408"/>
      <c r="CX151" s="408"/>
      <c r="CY151" s="408"/>
      <c r="CZ151" s="408"/>
      <c r="DA151" s="408"/>
      <c r="DB151" s="408"/>
      <c r="DC151" s="408"/>
      <c r="DD151" s="408"/>
      <c r="DE151" s="408"/>
      <c r="DF151" s="408"/>
      <c r="DG151" s="408"/>
      <c r="DH151" s="408"/>
      <c r="DI151" s="408"/>
      <c r="DJ151" s="408"/>
      <c r="DK151" s="408">
        <v>0</v>
      </c>
      <c r="DL151" s="408"/>
      <c r="DM151" s="408"/>
      <c r="DN151" s="408"/>
      <c r="DO151" s="408"/>
      <c r="DP151" s="408"/>
      <c r="DQ151" s="408"/>
      <c r="DR151" s="408"/>
      <c r="DS151" s="408"/>
      <c r="DT151" s="408"/>
      <c r="DU151" s="408"/>
      <c r="DV151" s="408"/>
      <c r="DW151" s="408"/>
      <c r="DX151" s="408"/>
      <c r="DY151" s="408"/>
      <c r="DZ151" s="408"/>
      <c r="EA151" s="408"/>
      <c r="EB151" s="408"/>
      <c r="EC151" s="408"/>
      <c r="ED151" s="408"/>
      <c r="EE151" s="408"/>
      <c r="EF151" s="408"/>
      <c r="EG151" s="408"/>
      <c r="EH151" s="408"/>
      <c r="EI151" s="408"/>
      <c r="EJ151" s="408"/>
      <c r="EK151" s="408"/>
      <c r="EL151" s="408"/>
      <c r="EM151" s="408"/>
      <c r="EN151" s="408"/>
      <c r="EO151" s="408"/>
      <c r="EP151" s="408"/>
      <c r="EQ151" s="408"/>
      <c r="ER151" s="408"/>
      <c r="ES151" s="408"/>
      <c r="ET151" s="408"/>
      <c r="EU151" s="408"/>
      <c r="EV151" s="408">
        <v>265</v>
      </c>
      <c r="EW151" s="408"/>
      <c r="EX151" s="408"/>
      <c r="EY151" s="408"/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158</v>
      </c>
      <c r="B152" s="408" t="s">
        <v>1031</v>
      </c>
      <c r="C152" s="408" t="s">
        <v>2227</v>
      </c>
      <c r="D152" s="408" t="s">
        <v>1949</v>
      </c>
      <c r="E152" s="408" t="s">
        <v>964</v>
      </c>
      <c r="F152" s="408" t="s">
        <v>2234</v>
      </c>
      <c r="G152" s="408" t="s">
        <v>1317</v>
      </c>
      <c r="H152" s="408" t="s">
        <v>1317</v>
      </c>
      <c r="I152" s="408" t="s">
        <v>1317</v>
      </c>
      <c r="J152" s="408" t="s">
        <v>2228</v>
      </c>
      <c r="K152" s="828">
        <v>44470</v>
      </c>
      <c r="L152" s="408">
        <v>0</v>
      </c>
      <c r="M152" s="408">
        <v>0</v>
      </c>
      <c r="N152" s="408">
        <v>1.8440000000000001</v>
      </c>
      <c r="O152" s="408">
        <v>1.8440000000000001</v>
      </c>
      <c r="P152" s="408">
        <v>1.8440000000000001</v>
      </c>
      <c r="Q152" s="408">
        <v>1.8440000000000001</v>
      </c>
      <c r="R152" s="408"/>
      <c r="S152" s="408">
        <v>667.62</v>
      </c>
      <c r="T152" s="408">
        <v>252.22</v>
      </c>
      <c r="U152" s="408"/>
      <c r="V152" s="408">
        <v>1696.18496</v>
      </c>
      <c r="W152" s="408">
        <v>1696.18496</v>
      </c>
      <c r="X152" s="408">
        <v>1122.2399600000001</v>
      </c>
      <c r="Y152" s="408">
        <v>0</v>
      </c>
      <c r="Z152" s="408">
        <v>0</v>
      </c>
      <c r="AA152" s="408">
        <v>0</v>
      </c>
      <c r="AB152" s="408">
        <v>0</v>
      </c>
      <c r="AC152" s="408">
        <v>0</v>
      </c>
      <c r="AD152" s="408">
        <v>227.72953917265733</v>
      </c>
      <c r="AE152" s="408">
        <v>934.88544797870748</v>
      </c>
      <c r="AF152" s="408">
        <v>465.09878322751246</v>
      </c>
      <c r="AG152" s="408">
        <v>0</v>
      </c>
      <c r="AH152" s="408">
        <v>0</v>
      </c>
      <c r="AI152" s="408">
        <v>0</v>
      </c>
      <c r="AJ152" s="408">
        <v>0</v>
      </c>
      <c r="AK152" s="408">
        <v>0</v>
      </c>
      <c r="AL152" s="408">
        <v>0</v>
      </c>
      <c r="AM152" s="408"/>
      <c r="AN152" s="408">
        <v>4.3210425062537103</v>
      </c>
      <c r="AO152" s="408">
        <v>0</v>
      </c>
      <c r="AP152" s="408">
        <v>0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64.160593241131764</v>
      </c>
      <c r="BH152" s="408">
        <v>0</v>
      </c>
      <c r="BI152" s="408">
        <v>0</v>
      </c>
      <c r="BJ152" s="408">
        <v>0</v>
      </c>
      <c r="BK152" s="408">
        <v>751.3</v>
      </c>
      <c r="BL152" s="408">
        <v>30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529.25937646864418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1119.8056000000001</v>
      </c>
      <c r="CJ152" s="408">
        <v>-576.40935999999988</v>
      </c>
      <c r="CK152" s="408"/>
      <c r="CL152" s="408"/>
      <c r="CM152" s="408"/>
      <c r="CN152" s="408"/>
      <c r="CO152" s="408">
        <v>-573.94500000000005</v>
      </c>
      <c r="CP152" s="408">
        <v>0</v>
      </c>
      <c r="CQ152" s="408">
        <v>31</v>
      </c>
      <c r="CR152" s="408">
        <v>-0.72560279142464879</v>
      </c>
      <c r="CS152" s="408">
        <v>0</v>
      </c>
      <c r="CT152" s="408">
        <v>0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-0.58528496997709567</v>
      </c>
      <c r="DA152" s="408">
        <v>0</v>
      </c>
      <c r="DB152" s="408">
        <v>0</v>
      </c>
      <c r="DC152" s="408">
        <v>-6.5203892063436797E-8</v>
      </c>
      <c r="DD152" s="408">
        <v>0</v>
      </c>
      <c r="DE152" s="408">
        <v>0</v>
      </c>
      <c r="DF152" s="408">
        <v>0</v>
      </c>
      <c r="DG152" s="408">
        <v>-8.9948457571153995E-9</v>
      </c>
      <c r="DH152" s="408">
        <v>0</v>
      </c>
      <c r="DI152" s="408">
        <v>0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0</v>
      </c>
      <c r="DP152" s="408">
        <v>-0.1403177472489725</v>
      </c>
      <c r="DQ152" s="408">
        <v>0</v>
      </c>
      <c r="DR152" s="408">
        <v>0</v>
      </c>
      <c r="DS152" s="408"/>
      <c r="DT152" s="408"/>
      <c r="DU152" s="408"/>
      <c r="DV152" s="408">
        <v>934.88544797870748</v>
      </c>
      <c r="DW152" s="408">
        <v>0</v>
      </c>
      <c r="DX152" s="408">
        <v>0</v>
      </c>
      <c r="DY152" s="408">
        <v>-573.94500000000005</v>
      </c>
      <c r="DZ152" s="408">
        <v>0</v>
      </c>
      <c r="EA152" s="408">
        <v>0</v>
      </c>
      <c r="EB152" s="408">
        <v>0</v>
      </c>
      <c r="EC152" s="408">
        <v>-573.2204518837998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265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159</v>
      </c>
      <c r="B153" s="408" t="s">
        <v>2230</v>
      </c>
      <c r="C153" s="408" t="s">
        <v>2227</v>
      </c>
      <c r="D153" s="408" t="s">
        <v>1949</v>
      </c>
      <c r="E153" s="408" t="s">
        <v>964</v>
      </c>
      <c r="F153" s="408" t="s">
        <v>2234</v>
      </c>
      <c r="G153" s="408" t="s">
        <v>1317</v>
      </c>
      <c r="H153" s="408" t="s">
        <v>1317</v>
      </c>
      <c r="I153" s="408" t="s">
        <v>1317</v>
      </c>
      <c r="J153" s="408" t="s">
        <v>2228</v>
      </c>
      <c r="K153" s="828">
        <v>44470</v>
      </c>
      <c r="L153" s="408">
        <v>0</v>
      </c>
      <c r="M153" s="408">
        <v>0</v>
      </c>
      <c r="N153" s="408">
        <v>0</v>
      </c>
      <c r="O153" s="408">
        <v>0</v>
      </c>
      <c r="P153" s="408">
        <v>0</v>
      </c>
      <c r="Q153" s="408">
        <v>0</v>
      </c>
      <c r="R153" s="408"/>
      <c r="S153" s="408"/>
      <c r="T153" s="408"/>
      <c r="U153" s="408"/>
      <c r="V153" s="408"/>
      <c r="W153" s="408"/>
      <c r="X153" s="408"/>
      <c r="Y153" s="408"/>
      <c r="Z153" s="408"/>
      <c r="AA153" s="408">
        <v>0</v>
      </c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408"/>
      <c r="AL153" s="408"/>
      <c r="AM153" s="408"/>
      <c r="AN153" s="408"/>
      <c r="AO153" s="408"/>
      <c r="AP153" s="408"/>
      <c r="AQ153" s="408"/>
      <c r="AR153" s="408"/>
      <c r="AS153" s="408"/>
      <c r="AT153" s="408"/>
      <c r="AU153" s="408"/>
      <c r="AV153" s="408"/>
      <c r="AW153" s="408"/>
      <c r="AX153" s="408"/>
      <c r="AY153" s="408"/>
      <c r="AZ153" s="408">
        <v>0</v>
      </c>
      <c r="BA153" s="408"/>
      <c r="BB153" s="408"/>
      <c r="BC153" s="408"/>
      <c r="BD153" s="408"/>
      <c r="BE153" s="408"/>
      <c r="BF153" s="408"/>
      <c r="BG153" s="408"/>
      <c r="BH153" s="408"/>
      <c r="BI153" s="408">
        <v>0</v>
      </c>
      <c r="BJ153" s="408">
        <v>0</v>
      </c>
      <c r="BK153" s="408">
        <v>38.659999999999997</v>
      </c>
      <c r="BL153" s="408">
        <v>3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/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/>
      <c r="CJ153" s="408">
        <v>-0.03</v>
      </c>
      <c r="CK153" s="408"/>
      <c r="CL153" s="408"/>
      <c r="CM153" s="408"/>
      <c r="CN153" s="408"/>
      <c r="CO153" s="408">
        <v>0</v>
      </c>
      <c r="CP153" s="408">
        <v>0</v>
      </c>
      <c r="CQ153" s="408">
        <v>31</v>
      </c>
      <c r="CR153" s="408"/>
      <c r="CS153" s="408"/>
      <c r="CT153" s="408"/>
      <c r="CU153" s="408"/>
      <c r="CV153" s="408"/>
      <c r="CW153" s="408"/>
      <c r="CX153" s="408"/>
      <c r="CY153" s="408"/>
      <c r="CZ153" s="408"/>
      <c r="DA153" s="408"/>
      <c r="DB153" s="408"/>
      <c r="DC153" s="408"/>
      <c r="DD153" s="408"/>
      <c r="DE153" s="408"/>
      <c r="DF153" s="408"/>
      <c r="DG153" s="408"/>
      <c r="DH153" s="408"/>
      <c r="DI153" s="408"/>
      <c r="DJ153" s="408"/>
      <c r="DK153" s="408">
        <v>0</v>
      </c>
      <c r="DL153" s="408"/>
      <c r="DM153" s="408"/>
      <c r="DN153" s="408"/>
      <c r="DO153" s="408"/>
      <c r="DP153" s="408"/>
      <c r="DQ153" s="408"/>
      <c r="DR153" s="408"/>
      <c r="DS153" s="408"/>
      <c r="DT153" s="408"/>
      <c r="DU153" s="408"/>
      <c r="DV153" s="408"/>
      <c r="DW153" s="408"/>
      <c r="DX153" s="408"/>
      <c r="DY153" s="408"/>
      <c r="DZ153" s="408"/>
      <c r="EA153" s="408"/>
      <c r="EB153" s="408"/>
      <c r="EC153" s="408"/>
      <c r="ED153" s="408"/>
      <c r="EE153" s="408"/>
      <c r="EF153" s="408"/>
      <c r="EG153" s="408"/>
      <c r="EH153" s="408"/>
      <c r="EI153" s="408"/>
      <c r="EJ153" s="408"/>
      <c r="EK153" s="408"/>
      <c r="EL153" s="408"/>
      <c r="EM153" s="408"/>
      <c r="EN153" s="408"/>
      <c r="EO153" s="408"/>
      <c r="EP153" s="408"/>
      <c r="EQ153" s="408"/>
      <c r="ER153" s="408"/>
      <c r="ES153" s="408"/>
      <c r="ET153" s="408"/>
      <c r="EU153" s="408"/>
      <c r="EV153" s="408">
        <v>265</v>
      </c>
      <c r="EW153" s="408"/>
      <c r="EX153" s="408"/>
      <c r="EY153" s="408"/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160</v>
      </c>
      <c r="B154" s="408" t="s">
        <v>1031</v>
      </c>
      <c r="C154" s="408" t="s">
        <v>2227</v>
      </c>
      <c r="D154" s="408" t="s">
        <v>1952</v>
      </c>
      <c r="E154" s="408" t="s">
        <v>965</v>
      </c>
      <c r="F154" s="408" t="s">
        <v>1317</v>
      </c>
      <c r="G154" s="408" t="s">
        <v>1317</v>
      </c>
      <c r="H154" s="408" t="s">
        <v>1317</v>
      </c>
      <c r="I154" s="408" t="s">
        <v>1317</v>
      </c>
      <c r="J154" s="408" t="s">
        <v>2228</v>
      </c>
      <c r="K154" s="828">
        <v>44470</v>
      </c>
      <c r="L154" s="408">
        <v>0</v>
      </c>
      <c r="M154" s="408">
        <v>0</v>
      </c>
      <c r="N154" s="408">
        <v>56.197000000000003</v>
      </c>
      <c r="O154" s="408">
        <v>56.197000000000003</v>
      </c>
      <c r="P154" s="408">
        <v>56.197000000000003</v>
      </c>
      <c r="Q154" s="408">
        <v>56.197000000000003</v>
      </c>
      <c r="R154" s="408"/>
      <c r="S154" s="408">
        <v>739.04</v>
      </c>
      <c r="T154" s="408">
        <v>252.22</v>
      </c>
      <c r="U154" s="408"/>
      <c r="V154" s="408">
        <v>55705.838220000005</v>
      </c>
      <c r="W154" s="408">
        <v>55705.838220000005</v>
      </c>
      <c r="X154" s="408">
        <v>38099.880090000006</v>
      </c>
      <c r="Y154" s="408">
        <v>0</v>
      </c>
      <c r="Z154" s="408">
        <v>3475.9618427655528</v>
      </c>
      <c r="AA154" s="408">
        <v>0</v>
      </c>
      <c r="AB154" s="408">
        <v>0</v>
      </c>
      <c r="AC154" s="408">
        <v>0</v>
      </c>
      <c r="AD154" s="408">
        <v>6940.1935536257179</v>
      </c>
      <c r="AE154" s="408">
        <v>28491.191713698172</v>
      </c>
      <c r="AF154" s="408">
        <v>14174.162863902666</v>
      </c>
      <c r="AG154" s="408">
        <v>0</v>
      </c>
      <c r="AH154" s="408">
        <v>0</v>
      </c>
      <c r="AI154" s="408">
        <v>0</v>
      </c>
      <c r="AJ154" s="408">
        <v>0</v>
      </c>
      <c r="AK154" s="408">
        <v>0</v>
      </c>
      <c r="AL154" s="408">
        <v>537.30115705320702</v>
      </c>
      <c r="AM154" s="408"/>
      <c r="AN154" s="408">
        <v>131.6863480064749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1955.3323526962483</v>
      </c>
      <c r="BH154" s="408">
        <v>0</v>
      </c>
      <c r="BI154" s="408">
        <v>0</v>
      </c>
      <c r="BJ154" s="408">
        <v>0</v>
      </c>
      <c r="BK154" s="408">
        <v>9774.36</v>
      </c>
      <c r="BL154" s="408">
        <v>17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16129.495216598914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38101.914000000004</v>
      </c>
      <c r="CJ154" s="408">
        <v>-17603.954220000007</v>
      </c>
      <c r="CK154" s="408"/>
      <c r="CL154" s="408"/>
      <c r="CM154" s="408"/>
      <c r="CN154" s="408"/>
      <c r="CO154" s="408">
        <v>-17605.958129999999</v>
      </c>
      <c r="CP154" s="408">
        <v>0</v>
      </c>
      <c r="CQ154" s="408">
        <v>31</v>
      </c>
      <c r="CR154" s="408">
        <v>-136.68217087575613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-17.836908599676462</v>
      </c>
      <c r="DA154" s="408">
        <v>0</v>
      </c>
      <c r="DB154" s="408">
        <v>0</v>
      </c>
      <c r="DC154" s="408">
        <v>-1.9871258700732142E-6</v>
      </c>
      <c r="DD154" s="408">
        <v>0</v>
      </c>
      <c r="DE154" s="408">
        <v>0</v>
      </c>
      <c r="DF154" s="408">
        <v>0</v>
      </c>
      <c r="DG154" s="408">
        <v>-2.7412352210376412E-7</v>
      </c>
      <c r="DH154" s="408">
        <v>0</v>
      </c>
      <c r="DI154" s="408">
        <v>-101.07085199170251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-13.498140972066381</v>
      </c>
      <c r="DP154" s="408">
        <v>-4.2762670510577294</v>
      </c>
      <c r="DQ154" s="408">
        <v>0</v>
      </c>
      <c r="DR154" s="408">
        <v>0</v>
      </c>
      <c r="DS154" s="408"/>
      <c r="DT154" s="408"/>
      <c r="DU154" s="408"/>
      <c r="DV154" s="408">
        <v>28491.191713698172</v>
      </c>
      <c r="DW154" s="408">
        <v>0</v>
      </c>
      <c r="DX154" s="408">
        <v>0</v>
      </c>
      <c r="DY154" s="408">
        <v>-17605.958129999999</v>
      </c>
      <c r="DZ154" s="408">
        <v>0</v>
      </c>
      <c r="EA154" s="408">
        <v>0</v>
      </c>
      <c r="EB154" s="408">
        <v>0</v>
      </c>
      <c r="EC154" s="408">
        <v>-17469.23521394463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265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161</v>
      </c>
      <c r="B155" s="408" t="s">
        <v>2230</v>
      </c>
      <c r="C155" s="408" t="s">
        <v>2227</v>
      </c>
      <c r="D155" s="408" t="s">
        <v>1952</v>
      </c>
      <c r="E155" s="408" t="s">
        <v>965</v>
      </c>
      <c r="F155" s="408" t="s">
        <v>1317</v>
      </c>
      <c r="G155" s="408" t="s">
        <v>1317</v>
      </c>
      <c r="H155" s="408" t="s">
        <v>1317</v>
      </c>
      <c r="I155" s="408" t="s">
        <v>1317</v>
      </c>
      <c r="J155" s="408" t="s">
        <v>2228</v>
      </c>
      <c r="K155" s="828">
        <v>44470</v>
      </c>
      <c r="L155" s="408">
        <v>0</v>
      </c>
      <c r="M155" s="408">
        <v>0</v>
      </c>
      <c r="N155" s="408">
        <v>10.62</v>
      </c>
      <c r="O155" s="408">
        <v>10.62</v>
      </c>
      <c r="P155" s="408">
        <v>10.62</v>
      </c>
      <c r="Q155" s="408">
        <v>10.62</v>
      </c>
      <c r="R155" s="408"/>
      <c r="S155" s="408">
        <v>739.04</v>
      </c>
      <c r="T155" s="408">
        <v>252.22</v>
      </c>
      <c r="U155" s="408"/>
      <c r="V155" s="408">
        <v>10527.181199999999</v>
      </c>
      <c r="W155" s="408">
        <v>10527.181199999999</v>
      </c>
      <c r="X155" s="408">
        <v>7200.0413999999992</v>
      </c>
      <c r="Y155" s="408">
        <v>0</v>
      </c>
      <c r="Z155" s="408">
        <v>656.88052334057272</v>
      </c>
      <c r="AA155" s="408">
        <v>0</v>
      </c>
      <c r="AB155" s="408">
        <v>0</v>
      </c>
      <c r="AC155" s="408">
        <v>0</v>
      </c>
      <c r="AD155" s="408">
        <v>1311.5443091180155</v>
      </c>
      <c r="AE155" s="408">
        <v>5384.2101179684778</v>
      </c>
      <c r="AF155" s="408">
        <v>2678.6057906053043</v>
      </c>
      <c r="AG155" s="408">
        <v>0</v>
      </c>
      <c r="AH155" s="408">
        <v>0</v>
      </c>
      <c r="AI155" s="408">
        <v>0</v>
      </c>
      <c r="AJ155" s="408">
        <v>0</v>
      </c>
      <c r="AK155" s="408">
        <v>0</v>
      </c>
      <c r="AL155" s="408">
        <v>101.53812993407224</v>
      </c>
      <c r="AM155" s="408"/>
      <c r="AN155" s="408">
        <v>24.885830486124942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369.51491335185432</v>
      </c>
      <c r="BH155" s="408">
        <v>0</v>
      </c>
      <c r="BI155" s="408">
        <v>0</v>
      </c>
      <c r="BJ155" s="408">
        <v>0</v>
      </c>
      <c r="BK155" s="408">
        <v>3045.84</v>
      </c>
      <c r="BL155" s="408">
        <v>11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3048.1207039571586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7200.0413999999992</v>
      </c>
      <c r="CJ155" s="408">
        <v>-3327.1698000000006</v>
      </c>
      <c r="CK155" s="408"/>
      <c r="CL155" s="408"/>
      <c r="CM155" s="408"/>
      <c r="CN155" s="408"/>
      <c r="CO155" s="408">
        <v>-3327.1397999999995</v>
      </c>
      <c r="CP155" s="408">
        <v>0</v>
      </c>
      <c r="CQ155" s="408">
        <v>31</v>
      </c>
      <c r="CR155" s="408">
        <v>-25.829931396703614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-3.3707843715601484</v>
      </c>
      <c r="DA155" s="408">
        <v>0</v>
      </c>
      <c r="DB155" s="408">
        <v>0</v>
      </c>
      <c r="DC155" s="408">
        <v>-3.7552308640442789E-7</v>
      </c>
      <c r="DD155" s="408">
        <v>0</v>
      </c>
      <c r="DE155" s="408">
        <v>0</v>
      </c>
      <c r="DF155" s="408">
        <v>0</v>
      </c>
      <c r="DG155" s="408">
        <v>-5.1803397127514472E-8</v>
      </c>
      <c r="DH155" s="408">
        <v>0</v>
      </c>
      <c r="DI155" s="408">
        <v>-19.100173463919418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-2.5508524854235048</v>
      </c>
      <c r="DP155" s="408">
        <v>-0.8081206484729293</v>
      </c>
      <c r="DQ155" s="408">
        <v>0</v>
      </c>
      <c r="DR155" s="408">
        <v>0</v>
      </c>
      <c r="DS155" s="408"/>
      <c r="DT155" s="408"/>
      <c r="DU155" s="408"/>
      <c r="DV155" s="408">
        <v>5384.2101179684778</v>
      </c>
      <c r="DW155" s="408">
        <v>0</v>
      </c>
      <c r="DX155" s="408">
        <v>0</v>
      </c>
      <c r="DY155" s="408">
        <v>-3327.1397999999999</v>
      </c>
      <c r="DZ155" s="408">
        <v>0</v>
      </c>
      <c r="EA155" s="408">
        <v>0</v>
      </c>
      <c r="EB155" s="408">
        <v>0</v>
      </c>
      <c r="EC155" s="408">
        <v>-3301.3021686583261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265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162</v>
      </c>
      <c r="B156" s="408" t="s">
        <v>1031</v>
      </c>
      <c r="C156" s="408" t="s">
        <v>2235</v>
      </c>
      <c r="D156" s="408" t="s">
        <v>596</v>
      </c>
      <c r="E156" s="408" t="s">
        <v>965</v>
      </c>
      <c r="F156" s="408" t="s">
        <v>1317</v>
      </c>
      <c r="G156" s="408" t="s">
        <v>1317</v>
      </c>
      <c r="H156" s="408" t="s">
        <v>1317</v>
      </c>
      <c r="I156" s="408" t="s">
        <v>968</v>
      </c>
      <c r="J156" s="408" t="s">
        <v>2228</v>
      </c>
      <c r="K156" s="828">
        <v>44470</v>
      </c>
      <c r="L156" s="408">
        <v>0</v>
      </c>
      <c r="M156" s="408">
        <v>0</v>
      </c>
      <c r="N156" s="408">
        <v>20.082999999999998</v>
      </c>
      <c r="O156" s="408">
        <v>20.082999999999998</v>
      </c>
      <c r="P156" s="408">
        <v>20.082999999999998</v>
      </c>
      <c r="Q156" s="408">
        <v>20.082999999999998</v>
      </c>
      <c r="R156" s="408"/>
      <c r="S156" s="408">
        <v>2641.06</v>
      </c>
      <c r="T156" s="408">
        <v>252.22</v>
      </c>
      <c r="U156" s="408"/>
      <c r="V156" s="408">
        <v>58105.742239999992</v>
      </c>
      <c r="W156" s="408">
        <v>58105.742239999992</v>
      </c>
      <c r="X156" s="408">
        <v>34489.339219999994</v>
      </c>
      <c r="Y156" s="408">
        <v>0</v>
      </c>
      <c r="Z156" s="408">
        <v>1080.711341687042</v>
      </c>
      <c r="AA156" s="408">
        <v>0</v>
      </c>
      <c r="AB156" s="408">
        <v>0</v>
      </c>
      <c r="AC156" s="408">
        <v>0</v>
      </c>
      <c r="AD156" s="408">
        <v>13009.104470999495</v>
      </c>
      <c r="AE156" s="408">
        <v>38400.510312282917</v>
      </c>
      <c r="AF156" s="408">
        <v>5065.3898392397678</v>
      </c>
      <c r="AG156" s="408">
        <v>0</v>
      </c>
      <c r="AH156" s="408">
        <v>0</v>
      </c>
      <c r="AI156" s="408">
        <v>0</v>
      </c>
      <c r="AJ156" s="408">
        <v>0</v>
      </c>
      <c r="AK156" s="408">
        <v>0</v>
      </c>
      <c r="AL156" s="408">
        <v>192.01414910225733</v>
      </c>
      <c r="AM156" s="408"/>
      <c r="AN156" s="408">
        <v>48.317812962203028</v>
      </c>
      <c r="AO156" s="408">
        <v>0</v>
      </c>
      <c r="AP156" s="408">
        <v>0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309.73692127435623</v>
      </c>
      <c r="BH156" s="408">
        <v>0</v>
      </c>
      <c r="BI156" s="408">
        <v>0</v>
      </c>
      <c r="BJ156" s="408">
        <v>0</v>
      </c>
      <c r="BK156" s="408">
        <v>0</v>
      </c>
      <c r="BL156" s="408">
        <v>0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5375.1267605141238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34484.187199999993</v>
      </c>
      <c r="CJ156" s="408">
        <v>-23621.585040000005</v>
      </c>
      <c r="CK156" s="408"/>
      <c r="CL156" s="408"/>
      <c r="CM156" s="408"/>
      <c r="CN156" s="408"/>
      <c r="CO156" s="408">
        <v>-23616.403019999998</v>
      </c>
      <c r="CP156" s="408">
        <v>0</v>
      </c>
      <c r="CQ156" s="408">
        <v>31</v>
      </c>
      <c r="CR156" s="408">
        <v>-71.25131642949782</v>
      </c>
      <c r="CS156" s="408">
        <v>0</v>
      </c>
      <c r="CT156" s="408">
        <v>0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-33.434544097390244</v>
      </c>
      <c r="DA156" s="408">
        <v>0</v>
      </c>
      <c r="DB156" s="408">
        <v>0</v>
      </c>
      <c r="DC156" s="408">
        <v>-7.1013528213370591E-7</v>
      </c>
      <c r="DD156" s="408">
        <v>0</v>
      </c>
      <c r="DE156" s="408">
        <v>0</v>
      </c>
      <c r="DF156" s="408">
        <v>0</v>
      </c>
      <c r="DG156" s="408">
        <v>-4.3423426632216433E-8</v>
      </c>
      <c r="DH156" s="408">
        <v>0</v>
      </c>
      <c r="DI156" s="408">
        <v>-31.423939905652105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-4.8238013620301672</v>
      </c>
      <c r="DP156" s="408">
        <v>-1.5690303108663812</v>
      </c>
      <c r="DQ156" s="408">
        <v>0</v>
      </c>
      <c r="DR156" s="408">
        <v>0</v>
      </c>
      <c r="DS156" s="408"/>
      <c r="DT156" s="408"/>
      <c r="DU156" s="408"/>
      <c r="DV156" s="408">
        <v>38400.510312282917</v>
      </c>
      <c r="DW156" s="408">
        <v>0</v>
      </c>
      <c r="DX156" s="408">
        <v>0</v>
      </c>
      <c r="DY156" s="408">
        <v>-23616.403020000002</v>
      </c>
      <c r="DZ156" s="408">
        <v>0</v>
      </c>
      <c r="EA156" s="408">
        <v>0</v>
      </c>
      <c r="EB156" s="408">
        <v>0</v>
      </c>
      <c r="EC156" s="408">
        <v>-23545.085573175653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265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163</v>
      </c>
      <c r="B157" s="408" t="s">
        <v>1031</v>
      </c>
      <c r="C157" s="408" t="s">
        <v>2235</v>
      </c>
      <c r="D157" s="408" t="s">
        <v>596</v>
      </c>
      <c r="E157" s="408" t="s">
        <v>965</v>
      </c>
      <c r="F157" s="408" t="s">
        <v>1317</v>
      </c>
      <c r="G157" s="408" t="s">
        <v>1317</v>
      </c>
      <c r="H157" s="408" t="s">
        <v>1317</v>
      </c>
      <c r="I157" s="408" t="s">
        <v>2236</v>
      </c>
      <c r="J157" s="408" t="s">
        <v>2228</v>
      </c>
      <c r="K157" s="828">
        <v>44470</v>
      </c>
      <c r="L157" s="408">
        <v>0</v>
      </c>
      <c r="M157" s="408">
        <v>0</v>
      </c>
      <c r="N157" s="408">
        <v>412.01</v>
      </c>
      <c r="O157" s="408">
        <v>412.01</v>
      </c>
      <c r="P157" s="408">
        <v>412.01</v>
      </c>
      <c r="Q157" s="408">
        <v>412.01</v>
      </c>
      <c r="R157" s="408"/>
      <c r="S157" s="408">
        <v>81.2</v>
      </c>
      <c r="T157" s="408">
        <v>252.22</v>
      </c>
      <c r="U157" s="408"/>
      <c r="V157" s="408">
        <v>137372.37419999999</v>
      </c>
      <c r="W157" s="408">
        <v>137372.37419999999</v>
      </c>
      <c r="X157" s="408">
        <v>136597.7954</v>
      </c>
      <c r="Y157" s="408">
        <v>0</v>
      </c>
      <c r="Z157" s="408">
        <v>22171.183582556303</v>
      </c>
      <c r="AA157" s="408">
        <v>0</v>
      </c>
      <c r="AB157" s="408">
        <v>0</v>
      </c>
      <c r="AC157" s="408">
        <v>0</v>
      </c>
      <c r="AD157" s="408">
        <v>0</v>
      </c>
      <c r="AE157" s="408">
        <v>0</v>
      </c>
      <c r="AF157" s="408">
        <v>103918.30242818188</v>
      </c>
      <c r="AG157" s="408">
        <v>0</v>
      </c>
      <c r="AH157" s="408">
        <v>0</v>
      </c>
      <c r="AI157" s="408">
        <v>0</v>
      </c>
      <c r="AJ157" s="408">
        <v>0</v>
      </c>
      <c r="AK157" s="408">
        <v>0</v>
      </c>
      <c r="AL157" s="408">
        <v>3939.2396340995392</v>
      </c>
      <c r="AM157" s="408"/>
      <c r="AN157" s="408">
        <v>991.25738776862374</v>
      </c>
      <c r="AO157" s="408">
        <v>0</v>
      </c>
      <c r="AP157" s="408">
        <v>0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6354.3648326568509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110272.66726083873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136597.7954</v>
      </c>
      <c r="CJ157" s="408">
        <v>-774.60879999998724</v>
      </c>
      <c r="CK157" s="408"/>
      <c r="CL157" s="408"/>
      <c r="CM157" s="408"/>
      <c r="CN157" s="408"/>
      <c r="CO157" s="408">
        <v>-774.57880000000398</v>
      </c>
      <c r="CP157" s="408">
        <v>0</v>
      </c>
      <c r="CQ157" s="408">
        <v>31</v>
      </c>
      <c r="CR157" s="408">
        <v>-775.82474573279615</v>
      </c>
      <c r="CS157" s="408">
        <v>0</v>
      </c>
      <c r="CT157" s="408">
        <v>0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0</v>
      </c>
      <c r="DA157" s="408">
        <v>0</v>
      </c>
      <c r="DB157" s="408">
        <v>0</v>
      </c>
      <c r="DC157" s="408">
        <v>-1.456867903470993E-5</v>
      </c>
      <c r="DD157" s="408">
        <v>0</v>
      </c>
      <c r="DE157" s="408">
        <v>0</v>
      </c>
      <c r="DF157" s="408">
        <v>0</v>
      </c>
      <c r="DG157" s="408">
        <v>-8.9084824139717966E-7</v>
      </c>
      <c r="DH157" s="408">
        <v>0</v>
      </c>
      <c r="DI157" s="408">
        <v>-644.67347908817464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-98.962027544193916</v>
      </c>
      <c r="DP157" s="408">
        <v>-32.189223640893147</v>
      </c>
      <c r="DQ157" s="408">
        <v>0</v>
      </c>
      <c r="DR157" s="408">
        <v>0</v>
      </c>
      <c r="DS157" s="408"/>
      <c r="DT157" s="408"/>
      <c r="DU157" s="408"/>
      <c r="DV157" s="408">
        <v>0</v>
      </c>
      <c r="DW157" s="408">
        <v>0</v>
      </c>
      <c r="DX157" s="408">
        <v>0</v>
      </c>
      <c r="DY157" s="408">
        <v>-774.57880000000296</v>
      </c>
      <c r="DZ157" s="408">
        <v>0</v>
      </c>
      <c r="EA157" s="408">
        <v>0</v>
      </c>
      <c r="EB157" s="408">
        <v>0</v>
      </c>
      <c r="EC157" s="408">
        <v>0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265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164</v>
      </c>
      <c r="B158" s="408" t="s">
        <v>1031</v>
      </c>
      <c r="C158" s="408" t="s">
        <v>2235</v>
      </c>
      <c r="D158" s="408" t="s">
        <v>596</v>
      </c>
      <c r="E158" s="408" t="s">
        <v>965</v>
      </c>
      <c r="F158" s="408" t="s">
        <v>1317</v>
      </c>
      <c r="G158" s="408" t="s">
        <v>1317</v>
      </c>
      <c r="H158" s="408" t="s">
        <v>1317</v>
      </c>
      <c r="I158" s="408" t="s">
        <v>1317</v>
      </c>
      <c r="J158" s="408" t="s">
        <v>2228</v>
      </c>
      <c r="K158" s="828">
        <v>44470</v>
      </c>
      <c r="L158" s="408">
        <v>1914</v>
      </c>
      <c r="M158" s="408">
        <v>1914</v>
      </c>
      <c r="N158" s="408">
        <v>0</v>
      </c>
      <c r="O158" s="408">
        <v>0</v>
      </c>
      <c r="P158" s="408">
        <v>0</v>
      </c>
      <c r="Q158" s="408">
        <v>0</v>
      </c>
      <c r="R158" s="408">
        <v>74.44</v>
      </c>
      <c r="S158" s="408"/>
      <c r="T158" s="408"/>
      <c r="U158" s="408">
        <v>142478.16</v>
      </c>
      <c r="V158" s="408"/>
      <c r="W158" s="408">
        <v>142478.16</v>
      </c>
      <c r="X158" s="408">
        <v>86933.88</v>
      </c>
      <c r="Y158" s="408">
        <v>0</v>
      </c>
      <c r="Z158" s="408">
        <v>0</v>
      </c>
      <c r="AA158" s="408">
        <v>0</v>
      </c>
      <c r="AB158" s="408">
        <v>0</v>
      </c>
      <c r="AC158" s="408">
        <v>0</v>
      </c>
      <c r="AD158" s="408">
        <v>52093.51510328475</v>
      </c>
      <c r="AE158" s="408">
        <v>90382.023606017072</v>
      </c>
      <c r="AF158" s="408"/>
      <c r="AG158" s="408"/>
      <c r="AH158" s="408"/>
      <c r="AI158" s="408">
        <v>0</v>
      </c>
      <c r="AJ158" s="408">
        <v>0</v>
      </c>
      <c r="AK158" s="408">
        <v>0</v>
      </c>
      <c r="AL158" s="408">
        <v>0</v>
      </c>
      <c r="AM158" s="408"/>
      <c r="AN158" s="408">
        <v>0</v>
      </c>
      <c r="AO158" s="408">
        <v>0</v>
      </c>
      <c r="AP158" s="408">
        <v>0</v>
      </c>
      <c r="AQ158" s="408">
        <v>0</v>
      </c>
      <c r="AR158" s="408">
        <v>0</v>
      </c>
      <c r="AS158" s="408"/>
      <c r="AT158" s="408"/>
      <c r="AU158" s="408">
        <v>0</v>
      </c>
      <c r="AV158" s="408">
        <v>0</v>
      </c>
      <c r="AW158" s="408">
        <v>0</v>
      </c>
      <c r="AX158" s="408"/>
      <c r="AY158" s="408"/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/>
      <c r="BG158" s="408">
        <v>0</v>
      </c>
      <c r="BH158" s="408">
        <v>0</v>
      </c>
      <c r="BI158" s="408">
        <v>0</v>
      </c>
      <c r="BJ158" s="408">
        <v>0</v>
      </c>
      <c r="BK158" s="408">
        <v>67746.8</v>
      </c>
      <c r="BL158" s="408">
        <v>9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0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86933.88</v>
      </c>
      <c r="CJ158" s="408">
        <v>-55544.310000000027</v>
      </c>
      <c r="CK158" s="408"/>
      <c r="CL158" s="408"/>
      <c r="CM158" s="408"/>
      <c r="CN158" s="408"/>
      <c r="CO158" s="408">
        <v>-55544.279999999992</v>
      </c>
      <c r="CP158" s="408">
        <v>0</v>
      </c>
      <c r="CQ158" s="408">
        <v>31</v>
      </c>
      <c r="CR158" s="408">
        <v>-133.88492127120116</v>
      </c>
      <c r="CS158" s="408">
        <v>0</v>
      </c>
      <c r="CT158" s="408">
        <v>0</v>
      </c>
      <c r="CU158" s="408">
        <v>0</v>
      </c>
      <c r="CV158" s="408">
        <v>0</v>
      </c>
      <c r="CW158" s="408"/>
      <c r="CX158" s="408"/>
      <c r="CY158" s="408"/>
      <c r="CZ158" s="408">
        <v>-133.88492127120116</v>
      </c>
      <c r="DA158" s="408">
        <v>0</v>
      </c>
      <c r="DB158" s="408">
        <v>0</v>
      </c>
      <c r="DC158" s="408"/>
      <c r="DD158" s="408"/>
      <c r="DE158" s="408">
        <v>0</v>
      </c>
      <c r="DF158" s="408">
        <v>0</v>
      </c>
      <c r="DG158" s="408">
        <v>0</v>
      </c>
      <c r="DH158" s="408">
        <v>0</v>
      </c>
      <c r="DI158" s="408">
        <v>0</v>
      </c>
      <c r="DJ158" s="408"/>
      <c r="DK158" s="408">
        <v>0</v>
      </c>
      <c r="DL158" s="408">
        <v>0</v>
      </c>
      <c r="DM158" s="408"/>
      <c r="DN158" s="408">
        <v>0</v>
      </c>
      <c r="DO158" s="408">
        <v>0</v>
      </c>
      <c r="DP158" s="408">
        <v>0</v>
      </c>
      <c r="DQ158" s="408">
        <v>0</v>
      </c>
      <c r="DR158" s="408">
        <v>0</v>
      </c>
      <c r="DS158" s="408"/>
      <c r="DT158" s="408"/>
      <c r="DU158" s="408">
        <v>90382.023606017072</v>
      </c>
      <c r="DV158" s="408"/>
      <c r="DW158" s="408">
        <v>0</v>
      </c>
      <c r="DX158" s="408">
        <v>0</v>
      </c>
      <c r="DY158" s="408">
        <v>-55544.28</v>
      </c>
      <c r="DZ158" s="408"/>
      <c r="EA158" s="408">
        <v>0</v>
      </c>
      <c r="EB158" s="408"/>
      <c r="EC158" s="408">
        <v>-55417.29687378063</v>
      </c>
      <c r="ED158" s="408"/>
      <c r="EE158" s="408">
        <v>0</v>
      </c>
      <c r="EF158" s="408">
        <v>0</v>
      </c>
      <c r="EG158" s="408"/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/>
      <c r="EN158" s="408"/>
      <c r="EO158" s="408">
        <v>0</v>
      </c>
      <c r="EP158" s="408">
        <v>0</v>
      </c>
      <c r="EQ158" s="408"/>
      <c r="ER158" s="408">
        <v>0</v>
      </c>
      <c r="ES158" s="408"/>
      <c r="ET158" s="408">
        <v>0</v>
      </c>
      <c r="EU158" s="408"/>
      <c r="EV158" s="408">
        <v>265</v>
      </c>
      <c r="EW158" s="408"/>
      <c r="EX158" s="408"/>
      <c r="EY158" s="408"/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165</v>
      </c>
      <c r="B159" s="408" t="s">
        <v>1031</v>
      </c>
      <c r="C159" s="408" t="s">
        <v>2227</v>
      </c>
      <c r="D159" s="408" t="s">
        <v>1952</v>
      </c>
      <c r="E159" s="408" t="s">
        <v>993</v>
      </c>
      <c r="F159" s="408" t="s">
        <v>1317</v>
      </c>
      <c r="G159" s="408" t="s">
        <v>1317</v>
      </c>
      <c r="H159" s="408" t="s">
        <v>1317</v>
      </c>
      <c r="I159" s="408" t="s">
        <v>1317</v>
      </c>
      <c r="J159" s="408" t="s">
        <v>2228</v>
      </c>
      <c r="K159" s="828">
        <v>44470</v>
      </c>
      <c r="L159" s="408">
        <v>0</v>
      </c>
      <c r="M159" s="408">
        <v>0</v>
      </c>
      <c r="N159" s="408">
        <v>355.59399999999999</v>
      </c>
      <c r="O159" s="408">
        <v>355.59399999999999</v>
      </c>
      <c r="P159" s="408">
        <v>355.59399999999999</v>
      </c>
      <c r="Q159" s="408">
        <v>355.59399999999999</v>
      </c>
      <c r="R159" s="408"/>
      <c r="S159" s="408">
        <v>739.04</v>
      </c>
      <c r="T159" s="408">
        <v>252.22</v>
      </c>
      <c r="U159" s="408"/>
      <c r="V159" s="408">
        <v>352486.10843999998</v>
      </c>
      <c r="W159" s="408">
        <v>352486.10843999998</v>
      </c>
      <c r="X159" s="408">
        <v>241082.06417999999</v>
      </c>
      <c r="Y159" s="408">
        <v>0</v>
      </c>
      <c r="Z159" s="408">
        <v>21994.61137634347</v>
      </c>
      <c r="AA159" s="408">
        <v>0</v>
      </c>
      <c r="AB159" s="408">
        <v>0</v>
      </c>
      <c r="AC159" s="408">
        <v>0</v>
      </c>
      <c r="AD159" s="408">
        <v>43914.998781215785</v>
      </c>
      <c r="AE159" s="408">
        <v>180281.8091044146</v>
      </c>
      <c r="AF159" s="408">
        <v>89688.902778201766</v>
      </c>
      <c r="AG159" s="408">
        <v>0</v>
      </c>
      <c r="AH159" s="408">
        <v>0</v>
      </c>
      <c r="AI159" s="408">
        <v>0</v>
      </c>
      <c r="AJ159" s="408">
        <v>0</v>
      </c>
      <c r="AK159" s="408">
        <v>0</v>
      </c>
      <c r="AL159" s="408">
        <v>3399.8446116550367</v>
      </c>
      <c r="AM159" s="408"/>
      <c r="AN159" s="408">
        <v>833.26290074228939</v>
      </c>
      <c r="AO159" s="408">
        <v>0</v>
      </c>
      <c r="AP159" s="408">
        <v>0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>
        <v>0</v>
      </c>
      <c r="BG159" s="408">
        <v>12372.625809645884</v>
      </c>
      <c r="BH159" s="408">
        <v>0</v>
      </c>
      <c r="BI159" s="408">
        <v>0</v>
      </c>
      <c r="BJ159" s="408">
        <v>0</v>
      </c>
      <c r="BK159" s="408">
        <v>124951.74</v>
      </c>
      <c r="BL159" s="408">
        <v>835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102061.52858784766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241079.35229999997</v>
      </c>
      <c r="CJ159" s="408">
        <v>-111406.78614000004</v>
      </c>
      <c r="CK159" s="408"/>
      <c r="CL159" s="408"/>
      <c r="CM159" s="408"/>
      <c r="CN159" s="408"/>
      <c r="CO159" s="408">
        <v>-111404.04425999998</v>
      </c>
      <c r="CP159" s="408">
        <v>0</v>
      </c>
      <c r="CQ159" s="408">
        <v>31</v>
      </c>
      <c r="CR159" s="408">
        <v>-864.87463512987597</v>
      </c>
      <c r="CS159" s="408">
        <v>0</v>
      </c>
      <c r="CT159" s="408">
        <v>0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-112.86541410740028</v>
      </c>
      <c r="DA159" s="408">
        <v>0</v>
      </c>
      <c r="DB159" s="408">
        <v>0</v>
      </c>
      <c r="DC159" s="408">
        <v>-1.2573815183714032E-5</v>
      </c>
      <c r="DD159" s="408">
        <v>0</v>
      </c>
      <c r="DE159" s="408">
        <v>0</v>
      </c>
      <c r="DF159" s="408">
        <v>0</v>
      </c>
      <c r="DG159" s="408">
        <v>-1.7345537344226614E-6</v>
      </c>
      <c r="DH159" s="408">
        <v>0</v>
      </c>
      <c r="DI159" s="408">
        <v>-639.53927332664534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-85.411284246863488</v>
      </c>
      <c r="DP159" s="408">
        <v>-27.058649140591569</v>
      </c>
      <c r="DQ159" s="408">
        <v>0</v>
      </c>
      <c r="DR159" s="408">
        <v>0</v>
      </c>
      <c r="DS159" s="408"/>
      <c r="DT159" s="408"/>
      <c r="DU159" s="408"/>
      <c r="DV159" s="408">
        <v>180281.8091044146</v>
      </c>
      <c r="DW159" s="408">
        <v>0</v>
      </c>
      <c r="DX159" s="408">
        <v>0</v>
      </c>
      <c r="DY159" s="408">
        <v>-111404.04426</v>
      </c>
      <c r="DZ159" s="408">
        <v>0</v>
      </c>
      <c r="EA159" s="408">
        <v>0</v>
      </c>
      <c r="EB159" s="408">
        <v>0</v>
      </c>
      <c r="EC159" s="408">
        <v>-110538.91180432099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265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166</v>
      </c>
      <c r="B160" s="408" t="s">
        <v>2230</v>
      </c>
      <c r="C160" s="408" t="s">
        <v>2227</v>
      </c>
      <c r="D160" s="408" t="s">
        <v>1952</v>
      </c>
      <c r="E160" s="408" t="s">
        <v>993</v>
      </c>
      <c r="F160" s="408" t="s">
        <v>1317</v>
      </c>
      <c r="G160" s="408" t="s">
        <v>1317</v>
      </c>
      <c r="H160" s="408" t="s">
        <v>1317</v>
      </c>
      <c r="I160" s="408" t="s">
        <v>1317</v>
      </c>
      <c r="J160" s="408" t="s">
        <v>2228</v>
      </c>
      <c r="K160" s="828">
        <v>44470</v>
      </c>
      <c r="L160" s="408">
        <v>0</v>
      </c>
      <c r="M160" s="408">
        <v>0</v>
      </c>
      <c r="N160" s="408">
        <v>46.7</v>
      </c>
      <c r="O160" s="408">
        <v>46.7</v>
      </c>
      <c r="P160" s="408">
        <v>46.7</v>
      </c>
      <c r="Q160" s="408">
        <v>46.7</v>
      </c>
      <c r="R160" s="408"/>
      <c r="S160" s="408">
        <v>739.04</v>
      </c>
      <c r="T160" s="408">
        <v>252.22</v>
      </c>
      <c r="U160" s="408"/>
      <c r="V160" s="408">
        <v>46291.841999999997</v>
      </c>
      <c r="W160" s="408">
        <v>46291.841999999997</v>
      </c>
      <c r="X160" s="408">
        <v>31661.199000000001</v>
      </c>
      <c r="Y160" s="408">
        <v>0</v>
      </c>
      <c r="Z160" s="408">
        <v>2888.5424143130649</v>
      </c>
      <c r="AA160" s="408">
        <v>0</v>
      </c>
      <c r="AB160" s="408">
        <v>0</v>
      </c>
      <c r="AC160" s="408">
        <v>0</v>
      </c>
      <c r="AD160" s="408">
        <v>5767.3370278541743</v>
      </c>
      <c r="AE160" s="408">
        <v>23676.328861499805</v>
      </c>
      <c r="AF160" s="408">
        <v>11778.803241173986</v>
      </c>
      <c r="AG160" s="408">
        <v>0</v>
      </c>
      <c r="AH160" s="408">
        <v>0</v>
      </c>
      <c r="AI160" s="408">
        <v>0</v>
      </c>
      <c r="AJ160" s="408">
        <v>0</v>
      </c>
      <c r="AK160" s="408">
        <v>0</v>
      </c>
      <c r="AL160" s="408">
        <v>446.50006289276598</v>
      </c>
      <c r="AM160" s="408"/>
      <c r="AN160" s="408">
        <v>109.43204177985264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1624.8913798052351</v>
      </c>
      <c r="BH160" s="408">
        <v>0</v>
      </c>
      <c r="BI160" s="408">
        <v>0</v>
      </c>
      <c r="BJ160" s="408">
        <v>0</v>
      </c>
      <c r="BK160" s="408">
        <v>29338.09</v>
      </c>
      <c r="BL160" s="408">
        <v>117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13403.69462097922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31661.199000000001</v>
      </c>
      <c r="CJ160" s="408">
        <v>-14630.673000000003</v>
      </c>
      <c r="CK160" s="408"/>
      <c r="CL160" s="408"/>
      <c r="CM160" s="408"/>
      <c r="CN160" s="408"/>
      <c r="CO160" s="408">
        <v>-14630.643</v>
      </c>
      <c r="CP160" s="408">
        <v>0</v>
      </c>
      <c r="CQ160" s="408">
        <v>31</v>
      </c>
      <c r="CR160" s="408">
        <v>-113.58359663145166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-14.822564044430692</v>
      </c>
      <c r="DA160" s="408">
        <v>0</v>
      </c>
      <c r="DB160" s="408">
        <v>0</v>
      </c>
      <c r="DC160" s="408">
        <v>-1.6513131413375959E-6</v>
      </c>
      <c r="DD160" s="408">
        <v>0</v>
      </c>
      <c r="DE160" s="408">
        <v>0</v>
      </c>
      <c r="DF160" s="408">
        <v>0</v>
      </c>
      <c r="DG160" s="408">
        <v>-2.2779818209528457E-7</v>
      </c>
      <c r="DH160" s="408">
        <v>0</v>
      </c>
      <c r="DI160" s="408">
        <v>-83.990404968459188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-11.217025524414112</v>
      </c>
      <c r="DP160" s="408">
        <v>-3.5536002150363402</v>
      </c>
      <c r="DQ160" s="408">
        <v>0</v>
      </c>
      <c r="DR160" s="408">
        <v>0</v>
      </c>
      <c r="DS160" s="408"/>
      <c r="DT160" s="408"/>
      <c r="DU160" s="408"/>
      <c r="DV160" s="408">
        <v>23676.328861499805</v>
      </c>
      <c r="DW160" s="408">
        <v>0</v>
      </c>
      <c r="DX160" s="408">
        <v>0</v>
      </c>
      <c r="DY160" s="408">
        <v>-14630.642999999996</v>
      </c>
      <c r="DZ160" s="408">
        <v>0</v>
      </c>
      <c r="EA160" s="408">
        <v>0</v>
      </c>
      <c r="EB160" s="408">
        <v>0</v>
      </c>
      <c r="EC160" s="408">
        <v>-14517.02554391185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265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167</v>
      </c>
      <c r="B161" s="408" t="s">
        <v>1031</v>
      </c>
      <c r="C161" s="408" t="s">
        <v>2235</v>
      </c>
      <c r="D161" s="408" t="s">
        <v>596</v>
      </c>
      <c r="E161" s="408" t="s">
        <v>993</v>
      </c>
      <c r="F161" s="408" t="s">
        <v>1317</v>
      </c>
      <c r="G161" s="408" t="s">
        <v>1317</v>
      </c>
      <c r="H161" s="408" t="s">
        <v>1317</v>
      </c>
      <c r="I161" s="408" t="s">
        <v>968</v>
      </c>
      <c r="J161" s="408" t="s">
        <v>2228</v>
      </c>
      <c r="K161" s="828">
        <v>44470</v>
      </c>
      <c r="L161" s="408">
        <v>0</v>
      </c>
      <c r="M161" s="408">
        <v>0</v>
      </c>
      <c r="N161" s="408">
        <v>8.2110000000000003</v>
      </c>
      <c r="O161" s="408">
        <v>8.2110000000000003</v>
      </c>
      <c r="P161" s="408">
        <v>8.2110000000000003</v>
      </c>
      <c r="Q161" s="408">
        <v>8.2110000000000003</v>
      </c>
      <c r="R161" s="408"/>
      <c r="S161" s="408">
        <v>2641.06</v>
      </c>
      <c r="T161" s="408">
        <v>252.22</v>
      </c>
      <c r="U161" s="408"/>
      <c r="V161" s="408">
        <v>23756.72208</v>
      </c>
      <c r="W161" s="408">
        <v>23756.72208</v>
      </c>
      <c r="X161" s="408">
        <v>14101.078739999999</v>
      </c>
      <c r="Y161" s="408">
        <v>0</v>
      </c>
      <c r="Z161" s="408">
        <v>441.8523540602651</v>
      </c>
      <c r="AA161" s="408">
        <v>0</v>
      </c>
      <c r="AB161" s="408">
        <v>0</v>
      </c>
      <c r="AC161" s="408">
        <v>0</v>
      </c>
      <c r="AD161" s="408">
        <v>5318.8147593176755</v>
      </c>
      <c r="AE161" s="408">
        <v>15700.173787489672</v>
      </c>
      <c r="AF161" s="408">
        <v>2071.0011437533103</v>
      </c>
      <c r="AG161" s="408">
        <v>0</v>
      </c>
      <c r="AH161" s="408">
        <v>0</v>
      </c>
      <c r="AI161" s="408">
        <v>0</v>
      </c>
      <c r="AJ161" s="408">
        <v>0</v>
      </c>
      <c r="AK161" s="408">
        <v>0</v>
      </c>
      <c r="AL161" s="408">
        <v>78.505610629818008</v>
      </c>
      <c r="AM161" s="408"/>
      <c r="AN161" s="408">
        <v>19.754895296153418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126.63694968798185</v>
      </c>
      <c r="BH161" s="408">
        <v>0</v>
      </c>
      <c r="BI161" s="408">
        <v>0</v>
      </c>
      <c r="BJ161" s="408">
        <v>0</v>
      </c>
      <c r="BK161" s="408">
        <v>0</v>
      </c>
      <c r="BL161" s="408">
        <v>0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2197.6380934412923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14099.361400000002</v>
      </c>
      <c r="CJ161" s="408">
        <v>-9657.3906799999932</v>
      </c>
      <c r="CK161" s="408"/>
      <c r="CL161" s="408"/>
      <c r="CM161" s="408"/>
      <c r="CN161" s="408"/>
      <c r="CO161" s="408">
        <v>-9655.6433400000005</v>
      </c>
      <c r="CP161" s="408">
        <v>0</v>
      </c>
      <c r="CQ161" s="408">
        <v>31</v>
      </c>
      <c r="CR161" s="408">
        <v>-29.131332928477605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-13.669822316570389</v>
      </c>
      <c r="DA161" s="408">
        <v>0</v>
      </c>
      <c r="DB161" s="408">
        <v>0</v>
      </c>
      <c r="DC161" s="408">
        <v>-2.903407221310772E-7</v>
      </c>
      <c r="DD161" s="408">
        <v>0</v>
      </c>
      <c r="DE161" s="408">
        <v>0</v>
      </c>
      <c r="DF161" s="408">
        <v>0</v>
      </c>
      <c r="DG161" s="408">
        <v>-1.7753819747667876E-8</v>
      </c>
      <c r="DH161" s="408">
        <v>0</v>
      </c>
      <c r="DI161" s="408">
        <v>-12.847780240268435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-1.9722269075152923</v>
      </c>
      <c r="DP161" s="408">
        <v>-0.64150315602867281</v>
      </c>
      <c r="DQ161" s="408">
        <v>0</v>
      </c>
      <c r="DR161" s="408">
        <v>0</v>
      </c>
      <c r="DS161" s="408"/>
      <c r="DT161" s="408"/>
      <c r="DU161" s="408"/>
      <c r="DV161" s="408">
        <v>15700.173787489672</v>
      </c>
      <c r="DW161" s="408">
        <v>0</v>
      </c>
      <c r="DX161" s="408">
        <v>0</v>
      </c>
      <c r="DY161" s="408">
        <v>-9655.6433400000005</v>
      </c>
      <c r="DZ161" s="408">
        <v>0</v>
      </c>
      <c r="EA161" s="408">
        <v>0</v>
      </c>
      <c r="EB161" s="408">
        <v>0</v>
      </c>
      <c r="EC161" s="408">
        <v>-9626.4849694440727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265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168</v>
      </c>
      <c r="B162" s="408" t="s">
        <v>1031</v>
      </c>
      <c r="C162" s="408" t="s">
        <v>2235</v>
      </c>
      <c r="D162" s="408" t="s">
        <v>596</v>
      </c>
      <c r="E162" s="408" t="s">
        <v>993</v>
      </c>
      <c r="F162" s="408" t="s">
        <v>1317</v>
      </c>
      <c r="G162" s="408" t="s">
        <v>1317</v>
      </c>
      <c r="H162" s="408" t="s">
        <v>1317</v>
      </c>
      <c r="I162" s="408" t="s">
        <v>2236</v>
      </c>
      <c r="J162" s="408" t="s">
        <v>2228</v>
      </c>
      <c r="K162" s="828">
        <v>44470</v>
      </c>
      <c r="L162" s="408">
        <v>0</v>
      </c>
      <c r="M162" s="408">
        <v>0</v>
      </c>
      <c r="N162" s="408">
        <v>227.18100000000001</v>
      </c>
      <c r="O162" s="408">
        <v>227.18100000000001</v>
      </c>
      <c r="P162" s="408">
        <v>227.18100000000001</v>
      </c>
      <c r="Q162" s="408">
        <v>227.18100000000001</v>
      </c>
      <c r="R162" s="408"/>
      <c r="S162" s="408">
        <v>81.2</v>
      </c>
      <c r="T162" s="408">
        <v>252.22</v>
      </c>
      <c r="U162" s="408"/>
      <c r="V162" s="408">
        <v>75746.689020000005</v>
      </c>
      <c r="W162" s="408">
        <v>75746.689020000005</v>
      </c>
      <c r="X162" s="408">
        <v>75319.588740000007</v>
      </c>
      <c r="Y162" s="408">
        <v>0</v>
      </c>
      <c r="Z162" s="408">
        <v>12225.119918129958</v>
      </c>
      <c r="AA162" s="408">
        <v>0</v>
      </c>
      <c r="AB162" s="408">
        <v>0</v>
      </c>
      <c r="AC162" s="408">
        <v>0</v>
      </c>
      <c r="AD162" s="408">
        <v>0</v>
      </c>
      <c r="AE162" s="408">
        <v>0</v>
      </c>
      <c r="AF162" s="408">
        <v>57300.220538183028</v>
      </c>
      <c r="AG162" s="408">
        <v>0</v>
      </c>
      <c r="AH162" s="408">
        <v>0</v>
      </c>
      <c r="AI162" s="408">
        <v>0</v>
      </c>
      <c r="AJ162" s="408">
        <v>0</v>
      </c>
      <c r="AK162" s="408">
        <v>0</v>
      </c>
      <c r="AL162" s="408">
        <v>2172.0841710501386</v>
      </c>
      <c r="AM162" s="408"/>
      <c r="AN162" s="408">
        <v>546.57616225495428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3503.7765031135559</v>
      </c>
      <c r="BH162" s="408">
        <v>0</v>
      </c>
      <c r="BI162" s="408">
        <v>0</v>
      </c>
      <c r="BJ162" s="408">
        <v>0</v>
      </c>
      <c r="BK162" s="408">
        <v>0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60803.997041296585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75319.257199999993</v>
      </c>
      <c r="CJ162" s="408">
        <v>-427.46181999999681</v>
      </c>
      <c r="CK162" s="408"/>
      <c r="CL162" s="408"/>
      <c r="CM162" s="408"/>
      <c r="CN162" s="408"/>
      <c r="CO162" s="408">
        <v>-427.10028000000221</v>
      </c>
      <c r="CP162" s="408">
        <v>0</v>
      </c>
      <c r="CQ162" s="408">
        <v>31</v>
      </c>
      <c r="CR162" s="408">
        <v>-427.787290503431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</v>
      </c>
      <c r="DA162" s="408">
        <v>0</v>
      </c>
      <c r="DB162" s="408">
        <v>0</v>
      </c>
      <c r="DC162" s="408">
        <v>-8.0331228673458099E-6</v>
      </c>
      <c r="DD162" s="408">
        <v>0</v>
      </c>
      <c r="DE162" s="408">
        <v>0</v>
      </c>
      <c r="DF162" s="408">
        <v>0</v>
      </c>
      <c r="DG162" s="408">
        <v>-4.9121081246994436E-7</v>
      </c>
      <c r="DH162" s="408">
        <v>0</v>
      </c>
      <c r="DI162" s="408">
        <v>-355.4709003488515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-54.567346373917189</v>
      </c>
      <c r="DP162" s="408">
        <v>-17.749035256332945</v>
      </c>
      <c r="DQ162" s="408">
        <v>0</v>
      </c>
      <c r="DR162" s="408">
        <v>0</v>
      </c>
      <c r="DS162" s="408"/>
      <c r="DT162" s="408"/>
      <c r="DU162" s="408"/>
      <c r="DV162" s="408">
        <v>0</v>
      </c>
      <c r="DW162" s="408">
        <v>0</v>
      </c>
      <c r="DX162" s="408">
        <v>0</v>
      </c>
      <c r="DY162" s="408">
        <v>-427.10028000000239</v>
      </c>
      <c r="DZ162" s="408">
        <v>0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265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169</v>
      </c>
      <c r="B163" s="408" t="s">
        <v>1031</v>
      </c>
      <c r="C163" s="408" t="s">
        <v>2235</v>
      </c>
      <c r="D163" s="408" t="s">
        <v>596</v>
      </c>
      <c r="E163" s="408" t="s">
        <v>993</v>
      </c>
      <c r="F163" s="408" t="s">
        <v>1317</v>
      </c>
      <c r="G163" s="408" t="s">
        <v>1317</v>
      </c>
      <c r="H163" s="408" t="s">
        <v>1317</v>
      </c>
      <c r="I163" s="408" t="s">
        <v>1317</v>
      </c>
      <c r="J163" s="408" t="s">
        <v>2228</v>
      </c>
      <c r="K163" s="828">
        <v>44470</v>
      </c>
      <c r="L163" s="408">
        <v>1947</v>
      </c>
      <c r="M163" s="408">
        <v>1947</v>
      </c>
      <c r="N163" s="408">
        <v>0</v>
      </c>
      <c r="O163" s="408">
        <v>0</v>
      </c>
      <c r="P163" s="408">
        <v>0</v>
      </c>
      <c r="Q163" s="408">
        <v>0</v>
      </c>
      <c r="R163" s="408">
        <v>74.44</v>
      </c>
      <c r="S163" s="408"/>
      <c r="T163" s="408"/>
      <c r="U163" s="408">
        <v>144934.68</v>
      </c>
      <c r="V163" s="408"/>
      <c r="W163" s="408">
        <v>144934.68</v>
      </c>
      <c r="X163" s="408">
        <v>88432.74</v>
      </c>
      <c r="Y163" s="408">
        <v>0</v>
      </c>
      <c r="Z163" s="408">
        <v>0</v>
      </c>
      <c r="AA163" s="408">
        <v>0</v>
      </c>
      <c r="AB163" s="408">
        <v>0</v>
      </c>
      <c r="AC163" s="408">
        <v>0</v>
      </c>
      <c r="AD163" s="408">
        <v>52991.679156789658</v>
      </c>
      <c r="AE163" s="408">
        <v>91940.334357844957</v>
      </c>
      <c r="AF163" s="408"/>
      <c r="AG163" s="408"/>
      <c r="AH163" s="408"/>
      <c r="AI163" s="408">
        <v>0</v>
      </c>
      <c r="AJ163" s="408">
        <v>0</v>
      </c>
      <c r="AK163" s="408">
        <v>0</v>
      </c>
      <c r="AL163" s="408">
        <v>0</v>
      </c>
      <c r="AM163" s="408"/>
      <c r="AN163" s="408">
        <v>0</v>
      </c>
      <c r="AO163" s="408">
        <v>0</v>
      </c>
      <c r="AP163" s="408">
        <v>0</v>
      </c>
      <c r="AQ163" s="408">
        <v>0</v>
      </c>
      <c r="AR163" s="408">
        <v>0</v>
      </c>
      <c r="AS163" s="408"/>
      <c r="AT163" s="408"/>
      <c r="AU163" s="408">
        <v>0</v>
      </c>
      <c r="AV163" s="408">
        <v>0</v>
      </c>
      <c r="AW163" s="408">
        <v>0</v>
      </c>
      <c r="AX163" s="408"/>
      <c r="AY163" s="408"/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/>
      <c r="BG163" s="408">
        <v>0</v>
      </c>
      <c r="BH163" s="408">
        <v>0</v>
      </c>
      <c r="BI163" s="408">
        <v>0</v>
      </c>
      <c r="BJ163" s="408">
        <v>0</v>
      </c>
      <c r="BK163" s="408">
        <v>90547.94</v>
      </c>
      <c r="BL163" s="408">
        <v>15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0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88432.74</v>
      </c>
      <c r="CJ163" s="408">
        <v>-56501.970000000016</v>
      </c>
      <c r="CK163" s="408"/>
      <c r="CL163" s="408"/>
      <c r="CM163" s="408"/>
      <c r="CN163" s="408"/>
      <c r="CO163" s="408">
        <v>-56501.939999999995</v>
      </c>
      <c r="CP163" s="408">
        <v>0</v>
      </c>
      <c r="CQ163" s="408">
        <v>31</v>
      </c>
      <c r="CR163" s="408">
        <v>-136.19328198277071</v>
      </c>
      <c r="CS163" s="408">
        <v>0</v>
      </c>
      <c r="CT163" s="408">
        <v>0</v>
      </c>
      <c r="CU163" s="408">
        <v>0</v>
      </c>
      <c r="CV163" s="408">
        <v>0</v>
      </c>
      <c r="CW163" s="408"/>
      <c r="CX163" s="408"/>
      <c r="CY163" s="408"/>
      <c r="CZ163" s="408">
        <v>-136.19328198277071</v>
      </c>
      <c r="DA163" s="408">
        <v>0</v>
      </c>
      <c r="DB163" s="408">
        <v>0</v>
      </c>
      <c r="DC163" s="408"/>
      <c r="DD163" s="408"/>
      <c r="DE163" s="408">
        <v>0</v>
      </c>
      <c r="DF163" s="408">
        <v>0</v>
      </c>
      <c r="DG163" s="408">
        <v>0</v>
      </c>
      <c r="DH163" s="408">
        <v>0</v>
      </c>
      <c r="DI163" s="408">
        <v>0</v>
      </c>
      <c r="DJ163" s="408"/>
      <c r="DK163" s="408">
        <v>0</v>
      </c>
      <c r="DL163" s="408">
        <v>0</v>
      </c>
      <c r="DM163" s="408"/>
      <c r="DN163" s="408">
        <v>0</v>
      </c>
      <c r="DO163" s="408">
        <v>0</v>
      </c>
      <c r="DP163" s="408">
        <v>0</v>
      </c>
      <c r="DQ163" s="408">
        <v>0</v>
      </c>
      <c r="DR163" s="408">
        <v>0</v>
      </c>
      <c r="DS163" s="408"/>
      <c r="DT163" s="408"/>
      <c r="DU163" s="408">
        <v>91940.334357844957</v>
      </c>
      <c r="DV163" s="408"/>
      <c r="DW163" s="408">
        <v>0</v>
      </c>
      <c r="DX163" s="408">
        <v>0</v>
      </c>
      <c r="DY163" s="408">
        <v>-56501.939999999988</v>
      </c>
      <c r="DZ163" s="408"/>
      <c r="EA163" s="408">
        <v>0</v>
      </c>
      <c r="EB163" s="408"/>
      <c r="EC163" s="408">
        <v>-56372.767509535472</v>
      </c>
      <c r="ED163" s="408"/>
      <c r="EE163" s="408">
        <v>0</v>
      </c>
      <c r="EF163" s="408">
        <v>0</v>
      </c>
      <c r="EG163" s="408"/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/>
      <c r="EN163" s="408"/>
      <c r="EO163" s="408">
        <v>0</v>
      </c>
      <c r="EP163" s="408">
        <v>0</v>
      </c>
      <c r="EQ163" s="408"/>
      <c r="ER163" s="408">
        <v>0</v>
      </c>
      <c r="ES163" s="408"/>
      <c r="ET163" s="408">
        <v>0</v>
      </c>
      <c r="EU163" s="408"/>
      <c r="EV163" s="408">
        <v>265</v>
      </c>
      <c r="EW163" s="408"/>
      <c r="EX163" s="408"/>
      <c r="EY163" s="408"/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170</v>
      </c>
      <c r="B164" s="408" t="s">
        <v>2230</v>
      </c>
      <c r="C164" s="408" t="s">
        <v>2235</v>
      </c>
      <c r="D164" s="408" t="s">
        <v>596</v>
      </c>
      <c r="E164" s="408" t="s">
        <v>993</v>
      </c>
      <c r="F164" s="408" t="s">
        <v>1317</v>
      </c>
      <c r="G164" s="408" t="s">
        <v>1317</v>
      </c>
      <c r="H164" s="408" t="s">
        <v>1317</v>
      </c>
      <c r="I164" s="408" t="s">
        <v>1317</v>
      </c>
      <c r="J164" s="408" t="s">
        <v>2228</v>
      </c>
      <c r="K164" s="828">
        <v>44470</v>
      </c>
      <c r="L164" s="408">
        <v>122</v>
      </c>
      <c r="M164" s="408">
        <v>122</v>
      </c>
      <c r="N164" s="408">
        <v>0</v>
      </c>
      <c r="O164" s="408">
        <v>0</v>
      </c>
      <c r="P164" s="408">
        <v>0</v>
      </c>
      <c r="Q164" s="408">
        <v>0</v>
      </c>
      <c r="R164" s="408">
        <v>74.44</v>
      </c>
      <c r="S164" s="408"/>
      <c r="T164" s="408"/>
      <c r="U164" s="408">
        <v>9081.68</v>
      </c>
      <c r="V164" s="408"/>
      <c r="W164" s="408">
        <v>9081.68</v>
      </c>
      <c r="X164" s="408">
        <v>5541.24</v>
      </c>
      <c r="Y164" s="408">
        <v>0</v>
      </c>
      <c r="Z164" s="408">
        <v>0</v>
      </c>
      <c r="AA164" s="408">
        <v>0</v>
      </c>
      <c r="AB164" s="408">
        <v>0</v>
      </c>
      <c r="AC164" s="408">
        <v>0</v>
      </c>
      <c r="AD164" s="408">
        <v>3320.4852887151196</v>
      </c>
      <c r="AE164" s="408">
        <v>5761.0276279697409</v>
      </c>
      <c r="AF164" s="408"/>
      <c r="AG164" s="408"/>
      <c r="AH164" s="408"/>
      <c r="AI164" s="408">
        <v>0</v>
      </c>
      <c r="AJ164" s="408">
        <v>0</v>
      </c>
      <c r="AK164" s="408">
        <v>0</v>
      </c>
      <c r="AL164" s="408">
        <v>0</v>
      </c>
      <c r="AM164" s="408"/>
      <c r="AN164" s="408">
        <v>0</v>
      </c>
      <c r="AO164" s="408">
        <v>0</v>
      </c>
      <c r="AP164" s="408">
        <v>0</v>
      </c>
      <c r="AQ164" s="408">
        <v>0</v>
      </c>
      <c r="AR164" s="408">
        <v>0</v>
      </c>
      <c r="AS164" s="408"/>
      <c r="AT164" s="408"/>
      <c r="AU164" s="408">
        <v>0</v>
      </c>
      <c r="AV164" s="408">
        <v>0</v>
      </c>
      <c r="AW164" s="408">
        <v>0</v>
      </c>
      <c r="AX164" s="408"/>
      <c r="AY164" s="408"/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/>
      <c r="BG164" s="408">
        <v>0</v>
      </c>
      <c r="BH164" s="408">
        <v>0</v>
      </c>
      <c r="BI164" s="408">
        <v>0</v>
      </c>
      <c r="BJ164" s="408">
        <v>0</v>
      </c>
      <c r="BK164" s="408">
        <v>3136.01</v>
      </c>
      <c r="BL164" s="408">
        <v>1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0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5541.24</v>
      </c>
      <c r="CJ164" s="408">
        <v>-3540.4700000000012</v>
      </c>
      <c r="CK164" s="408"/>
      <c r="CL164" s="408"/>
      <c r="CM164" s="408"/>
      <c r="CN164" s="408"/>
      <c r="CO164" s="408">
        <v>-3540.4399999999996</v>
      </c>
      <c r="CP164" s="408">
        <v>0</v>
      </c>
      <c r="CQ164" s="408">
        <v>31</v>
      </c>
      <c r="CR164" s="408">
        <v>-8.5339396003582806</v>
      </c>
      <c r="CS164" s="408">
        <v>0</v>
      </c>
      <c r="CT164" s="408">
        <v>0</v>
      </c>
      <c r="CU164" s="408">
        <v>0</v>
      </c>
      <c r="CV164" s="408">
        <v>0</v>
      </c>
      <c r="CW164" s="408"/>
      <c r="CX164" s="408"/>
      <c r="CY164" s="408"/>
      <c r="CZ164" s="408">
        <v>-8.5339396003582806</v>
      </c>
      <c r="DA164" s="408">
        <v>0</v>
      </c>
      <c r="DB164" s="408">
        <v>0</v>
      </c>
      <c r="DC164" s="408"/>
      <c r="DD164" s="408"/>
      <c r="DE164" s="408">
        <v>0</v>
      </c>
      <c r="DF164" s="408">
        <v>0</v>
      </c>
      <c r="DG164" s="408">
        <v>0</v>
      </c>
      <c r="DH164" s="408">
        <v>0</v>
      </c>
      <c r="DI164" s="408">
        <v>0</v>
      </c>
      <c r="DJ164" s="408"/>
      <c r="DK164" s="408">
        <v>0</v>
      </c>
      <c r="DL164" s="408">
        <v>0</v>
      </c>
      <c r="DM164" s="408"/>
      <c r="DN164" s="408">
        <v>0</v>
      </c>
      <c r="DO164" s="408">
        <v>0</v>
      </c>
      <c r="DP164" s="408">
        <v>0</v>
      </c>
      <c r="DQ164" s="408">
        <v>0</v>
      </c>
      <c r="DR164" s="408">
        <v>0</v>
      </c>
      <c r="DS164" s="408"/>
      <c r="DT164" s="408"/>
      <c r="DU164" s="408">
        <v>5761.0276279697409</v>
      </c>
      <c r="DV164" s="408"/>
      <c r="DW164" s="408">
        <v>0</v>
      </c>
      <c r="DX164" s="408">
        <v>0</v>
      </c>
      <c r="DY164" s="408">
        <v>-3540.4400000000005</v>
      </c>
      <c r="DZ164" s="408"/>
      <c r="EA164" s="408">
        <v>0</v>
      </c>
      <c r="EB164" s="408"/>
      <c r="EC164" s="408">
        <v>-3532.3459867300098</v>
      </c>
      <c r="ED164" s="408"/>
      <c r="EE164" s="408">
        <v>0</v>
      </c>
      <c r="EF164" s="408">
        <v>0</v>
      </c>
      <c r="EG164" s="408"/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/>
      <c r="EN164" s="408"/>
      <c r="EO164" s="408">
        <v>0</v>
      </c>
      <c r="EP164" s="408">
        <v>0</v>
      </c>
      <c r="EQ164" s="408"/>
      <c r="ER164" s="408">
        <v>0</v>
      </c>
      <c r="ES164" s="408"/>
      <c r="ET164" s="408">
        <v>0</v>
      </c>
      <c r="EU164" s="408"/>
      <c r="EV164" s="408">
        <v>265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171</v>
      </c>
      <c r="B165" s="408" t="s">
        <v>1031</v>
      </c>
      <c r="C165" s="408" t="s">
        <v>2227</v>
      </c>
      <c r="D165" s="408" t="s">
        <v>2237</v>
      </c>
      <c r="E165" s="408" t="s">
        <v>969</v>
      </c>
      <c r="F165" s="408" t="s">
        <v>1317</v>
      </c>
      <c r="G165" s="408" t="s">
        <v>1317</v>
      </c>
      <c r="H165" s="408" t="s">
        <v>1317</v>
      </c>
      <c r="I165" s="408" t="s">
        <v>1317</v>
      </c>
      <c r="J165" s="408" t="s">
        <v>2228</v>
      </c>
      <c r="K165" s="828">
        <v>44470</v>
      </c>
      <c r="L165" s="408">
        <v>0</v>
      </c>
      <c r="M165" s="408">
        <v>0</v>
      </c>
      <c r="N165" s="408">
        <v>2682.5039999999999</v>
      </c>
      <c r="O165" s="408">
        <v>2682.5039999999999</v>
      </c>
      <c r="P165" s="408">
        <v>2682.5039999999999</v>
      </c>
      <c r="Q165" s="408">
        <v>2682.5039999999999</v>
      </c>
      <c r="R165" s="408"/>
      <c r="S165" s="408">
        <v>739.04</v>
      </c>
      <c r="T165" s="408">
        <v>252.22</v>
      </c>
      <c r="U165" s="408"/>
      <c r="V165" s="408">
        <v>2659058.9150399999</v>
      </c>
      <c r="W165" s="408">
        <v>2659058.9150399999</v>
      </c>
      <c r="X165" s="408">
        <v>1818657.23688</v>
      </c>
      <c r="Y165" s="408">
        <v>0</v>
      </c>
      <c r="Z165" s="408">
        <v>165921.34005491337</v>
      </c>
      <c r="AA165" s="408">
        <v>0</v>
      </c>
      <c r="AB165" s="408">
        <v>0</v>
      </c>
      <c r="AC165" s="408">
        <v>0</v>
      </c>
      <c r="AD165" s="408">
        <v>331282.75474447396</v>
      </c>
      <c r="AE165" s="408">
        <v>1359996.7211196718</v>
      </c>
      <c r="AF165" s="408">
        <v>676588.58264801244</v>
      </c>
      <c r="AG165" s="408">
        <v>0</v>
      </c>
      <c r="AH165" s="408">
        <v>0</v>
      </c>
      <c r="AI165" s="408">
        <v>0</v>
      </c>
      <c r="AJ165" s="408">
        <v>0</v>
      </c>
      <c r="AK165" s="408">
        <v>0</v>
      </c>
      <c r="AL165" s="408">
        <v>25647.499030194776</v>
      </c>
      <c r="AM165" s="408"/>
      <c r="AN165" s="408">
        <v>6285.9077045529293</v>
      </c>
      <c r="AO165" s="408">
        <v>0</v>
      </c>
      <c r="AP165" s="408">
        <v>0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93335.709333898543</v>
      </c>
      <c r="BH165" s="408">
        <v>0</v>
      </c>
      <c r="BI165" s="408">
        <v>0</v>
      </c>
      <c r="BJ165" s="408">
        <v>0</v>
      </c>
      <c r="BK165" s="408">
        <v>120712.65</v>
      </c>
      <c r="BL165" s="408">
        <v>12094</v>
      </c>
      <c r="BM165" s="408"/>
      <c r="BN165" s="408"/>
      <c r="BO165" s="408"/>
      <c r="BP165" s="408"/>
      <c r="BQ165" s="408"/>
      <c r="BR165" s="408">
        <v>218221.70039999991</v>
      </c>
      <c r="BS165" s="408"/>
      <c r="BT165" s="408"/>
      <c r="BU165" s="408"/>
      <c r="BV165" s="408">
        <v>769924.29198191094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1600433.1500000001</v>
      </c>
      <c r="CJ165" s="408">
        <v>-739541.94423999987</v>
      </c>
      <c r="CK165" s="408"/>
      <c r="CL165" s="408"/>
      <c r="CM165" s="408"/>
      <c r="CN165" s="408"/>
      <c r="CO165" s="408">
        <v>-840401.67815999989</v>
      </c>
      <c r="CP165" s="408">
        <v>0</v>
      </c>
      <c r="CQ165" s="408">
        <v>31</v>
      </c>
      <c r="CR165" s="408">
        <v>-6524.3779935385101</v>
      </c>
      <c r="CS165" s="408">
        <v>0</v>
      </c>
      <c r="CT165" s="408">
        <v>0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-851.42585309303831</v>
      </c>
      <c r="DA165" s="408">
        <v>0</v>
      </c>
      <c r="DB165" s="408">
        <v>0</v>
      </c>
      <c r="DC165" s="408">
        <v>-9.4853457994759083E-5</v>
      </c>
      <c r="DD165" s="408">
        <v>0</v>
      </c>
      <c r="DE165" s="408">
        <v>0</v>
      </c>
      <c r="DF165" s="408">
        <v>0</v>
      </c>
      <c r="DG165" s="408">
        <v>-1.3084994861856103E-5</v>
      </c>
      <c r="DH165" s="408">
        <v>0</v>
      </c>
      <c r="DI165" s="408">
        <v>-4824.5095779339026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-644.31939694524408</v>
      </c>
      <c r="DP165" s="408">
        <v>-204.12305762817596</v>
      </c>
      <c r="DQ165" s="408">
        <v>0</v>
      </c>
      <c r="DR165" s="408">
        <v>0</v>
      </c>
      <c r="DS165" s="408"/>
      <c r="DT165" s="408"/>
      <c r="DU165" s="408"/>
      <c r="DV165" s="408">
        <v>1359996.7211196718</v>
      </c>
      <c r="DW165" s="408">
        <v>0</v>
      </c>
      <c r="DX165" s="408">
        <v>0</v>
      </c>
      <c r="DY165" s="408">
        <v>-840401.67815999989</v>
      </c>
      <c r="DZ165" s="408">
        <v>0</v>
      </c>
      <c r="EA165" s="408">
        <v>0</v>
      </c>
      <c r="EB165" s="408">
        <v>0</v>
      </c>
      <c r="EC165" s="408">
        <v>-833875.35523866629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265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172</v>
      </c>
      <c r="B166" s="408" t="s">
        <v>2229</v>
      </c>
      <c r="C166" s="408" t="s">
        <v>2227</v>
      </c>
      <c r="D166" s="408" t="s">
        <v>2237</v>
      </c>
      <c r="E166" s="408" t="s">
        <v>969</v>
      </c>
      <c r="F166" s="408" t="s">
        <v>1317</v>
      </c>
      <c r="G166" s="408" t="s">
        <v>1317</v>
      </c>
      <c r="H166" s="408" t="s">
        <v>1317</v>
      </c>
      <c r="I166" s="408" t="s">
        <v>1317</v>
      </c>
      <c r="J166" s="408" t="s">
        <v>2228</v>
      </c>
      <c r="K166" s="828">
        <v>44470</v>
      </c>
      <c r="L166" s="408">
        <v>0</v>
      </c>
      <c r="M166" s="408">
        <v>0</v>
      </c>
      <c r="N166" s="408">
        <v>-3.08</v>
      </c>
      <c r="O166" s="408">
        <v>-3.08</v>
      </c>
      <c r="P166" s="408">
        <v>-3.08</v>
      </c>
      <c r="Q166" s="408">
        <v>-3.08</v>
      </c>
      <c r="R166" s="408"/>
      <c r="S166" s="408">
        <v>739.04</v>
      </c>
      <c r="T166" s="408">
        <v>252.22</v>
      </c>
      <c r="U166" s="408"/>
      <c r="V166" s="408">
        <v>-3053.0807999999997</v>
      </c>
      <c r="W166" s="408">
        <v>-3053.0807999999997</v>
      </c>
      <c r="X166" s="408">
        <v>-2088.1476000000002</v>
      </c>
      <c r="Y166" s="408">
        <v>0</v>
      </c>
      <c r="Z166" s="408">
        <v>-190.50772240009078</v>
      </c>
      <c r="AA166" s="408">
        <v>0</v>
      </c>
      <c r="AB166" s="408">
        <v>0</v>
      </c>
      <c r="AC166" s="408">
        <v>0</v>
      </c>
      <c r="AD166" s="408">
        <v>-380.37254916040376</v>
      </c>
      <c r="AE166" s="408">
        <v>-1561.5223317648695</v>
      </c>
      <c r="AF166" s="408">
        <v>-776.84612382903379</v>
      </c>
      <c r="AG166" s="408">
        <v>0</v>
      </c>
      <c r="AH166" s="408">
        <v>0</v>
      </c>
      <c r="AI166" s="408">
        <v>0</v>
      </c>
      <c r="AJ166" s="408">
        <v>0</v>
      </c>
      <c r="AK166" s="408">
        <v>0</v>
      </c>
      <c r="AL166" s="408">
        <v>-29.447969886717754</v>
      </c>
      <c r="AM166" s="408"/>
      <c r="AN166" s="408">
        <v>-7.2173595006840712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-107.16628372163007</v>
      </c>
      <c r="BH166" s="408">
        <v>0</v>
      </c>
      <c r="BI166" s="408">
        <v>0</v>
      </c>
      <c r="BJ166" s="408">
        <v>0</v>
      </c>
      <c r="BK166" s="408">
        <v>-26.87</v>
      </c>
      <c r="BL166" s="408">
        <v>0</v>
      </c>
      <c r="BM166" s="408"/>
      <c r="BN166" s="408"/>
      <c r="BO166" s="408"/>
      <c r="BP166" s="408"/>
      <c r="BQ166" s="408"/>
      <c r="BR166" s="408">
        <v>-250.55799999999988</v>
      </c>
      <c r="BS166" s="408"/>
      <c r="BT166" s="408"/>
      <c r="BU166" s="408"/>
      <c r="BV166" s="408">
        <v>-884.01240755066385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-1837.5896</v>
      </c>
      <c r="CJ166" s="408">
        <v>849.09519999999998</v>
      </c>
      <c r="CK166" s="408"/>
      <c r="CL166" s="408"/>
      <c r="CM166" s="408"/>
      <c r="CN166" s="408"/>
      <c r="CO166" s="408">
        <v>964.93319999999994</v>
      </c>
      <c r="CP166" s="408">
        <v>0</v>
      </c>
      <c r="CQ166" s="408">
        <v>31</v>
      </c>
      <c r="CR166" s="408">
        <v>7.491166544429916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0.97759094768412069</v>
      </c>
      <c r="DA166" s="408">
        <v>0</v>
      </c>
      <c r="DB166" s="408">
        <v>0</v>
      </c>
      <c r="DC166" s="408">
        <v>1.0890892099268967E-7</v>
      </c>
      <c r="DD166" s="408">
        <v>0</v>
      </c>
      <c r="DE166" s="408">
        <v>0</v>
      </c>
      <c r="DF166" s="408">
        <v>0</v>
      </c>
      <c r="DG166" s="408">
        <v>1.5023942978587002E-8</v>
      </c>
      <c r="DH166" s="408">
        <v>0</v>
      </c>
      <c r="DI166" s="408">
        <v>5.5394100064850988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0.7397952594260282</v>
      </c>
      <c r="DP166" s="408">
        <v>0.2343702069017537</v>
      </c>
      <c r="DQ166" s="408">
        <v>0</v>
      </c>
      <c r="DR166" s="408">
        <v>0</v>
      </c>
      <c r="DS166" s="408"/>
      <c r="DT166" s="408"/>
      <c r="DU166" s="408"/>
      <c r="DV166" s="408">
        <v>-1561.5223317648695</v>
      </c>
      <c r="DW166" s="408">
        <v>0</v>
      </c>
      <c r="DX166" s="408">
        <v>0</v>
      </c>
      <c r="DY166" s="408">
        <v>964.93319999999994</v>
      </c>
      <c r="DZ166" s="408">
        <v>0</v>
      </c>
      <c r="EA166" s="408">
        <v>0</v>
      </c>
      <c r="EB166" s="408">
        <v>0</v>
      </c>
      <c r="EC166" s="408">
        <v>957.43980032652041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265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173</v>
      </c>
      <c r="B167" s="408" t="s">
        <v>2230</v>
      </c>
      <c r="C167" s="408" t="s">
        <v>2227</v>
      </c>
      <c r="D167" s="408" t="s">
        <v>2237</v>
      </c>
      <c r="E167" s="408" t="s">
        <v>969</v>
      </c>
      <c r="F167" s="408" t="s">
        <v>1317</v>
      </c>
      <c r="G167" s="408" t="s">
        <v>1317</v>
      </c>
      <c r="H167" s="408" t="s">
        <v>1317</v>
      </c>
      <c r="I167" s="408" t="s">
        <v>1317</v>
      </c>
      <c r="J167" s="408" t="s">
        <v>2228</v>
      </c>
      <c r="K167" s="828">
        <v>44470</v>
      </c>
      <c r="L167" s="408">
        <v>0</v>
      </c>
      <c r="M167" s="408">
        <v>0</v>
      </c>
      <c r="N167" s="408">
        <v>83.722999999999999</v>
      </c>
      <c r="O167" s="408">
        <v>83.722999999999999</v>
      </c>
      <c r="P167" s="408">
        <v>83.722999999999999</v>
      </c>
      <c r="Q167" s="408">
        <v>83.722999999999999</v>
      </c>
      <c r="R167" s="408"/>
      <c r="S167" s="408">
        <v>739.04</v>
      </c>
      <c r="T167" s="408">
        <v>252.22</v>
      </c>
      <c r="U167" s="408"/>
      <c r="V167" s="408">
        <v>82991.260979999992</v>
      </c>
      <c r="W167" s="408">
        <v>82991.260979999992</v>
      </c>
      <c r="X167" s="408">
        <v>56761.682310000004</v>
      </c>
      <c r="Y167" s="408">
        <v>0</v>
      </c>
      <c r="Z167" s="408">
        <v>5178.5318319814287</v>
      </c>
      <c r="AA167" s="408">
        <v>0</v>
      </c>
      <c r="AB167" s="408">
        <v>0</v>
      </c>
      <c r="AC167" s="408">
        <v>0</v>
      </c>
      <c r="AD167" s="408">
        <v>10339.587965375482</v>
      </c>
      <c r="AE167" s="408">
        <v>42446.537072191612</v>
      </c>
      <c r="AF167" s="408">
        <v>21116.84676147344</v>
      </c>
      <c r="AG167" s="408">
        <v>0</v>
      </c>
      <c r="AH167" s="408">
        <v>0</v>
      </c>
      <c r="AI167" s="408">
        <v>0</v>
      </c>
      <c r="AJ167" s="408">
        <v>0</v>
      </c>
      <c r="AK167" s="408">
        <v>0</v>
      </c>
      <c r="AL167" s="408">
        <v>800.47804637197089</v>
      </c>
      <c r="AM167" s="408"/>
      <c r="AN167" s="408">
        <v>196.18798359603002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2913.0788220863747</v>
      </c>
      <c r="BH167" s="408">
        <v>0</v>
      </c>
      <c r="BI167" s="408">
        <v>0</v>
      </c>
      <c r="BJ167" s="408">
        <v>0</v>
      </c>
      <c r="BK167" s="408">
        <v>8232.81</v>
      </c>
      <c r="BL167" s="408">
        <v>843</v>
      </c>
      <c r="BM167" s="408"/>
      <c r="BN167" s="408"/>
      <c r="BO167" s="408"/>
      <c r="BP167" s="408"/>
      <c r="BQ167" s="408"/>
      <c r="BR167" s="408">
        <v>6810.8660499999969</v>
      </c>
      <c r="BS167" s="408"/>
      <c r="BT167" s="408"/>
      <c r="BU167" s="408"/>
      <c r="BV167" s="408">
        <v>24029.925583559816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49949.026400000002</v>
      </c>
      <c r="CJ167" s="408">
        <v>-23083.41373</v>
      </c>
      <c r="CK167" s="408"/>
      <c r="CL167" s="408"/>
      <c r="CM167" s="408"/>
      <c r="CN167" s="408"/>
      <c r="CO167" s="408">
        <v>-26229.578669999995</v>
      </c>
      <c r="CP167" s="408">
        <v>0</v>
      </c>
      <c r="CQ167" s="408">
        <v>31</v>
      </c>
      <c r="CR167" s="408">
        <v>-203.63082357119129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-26.573651595115734</v>
      </c>
      <c r="DA167" s="408">
        <v>0</v>
      </c>
      <c r="DB167" s="408">
        <v>0</v>
      </c>
      <c r="DC167" s="408">
        <v>-2.9604489100165665E-6</v>
      </c>
      <c r="DD167" s="408">
        <v>0</v>
      </c>
      <c r="DE167" s="408">
        <v>0</v>
      </c>
      <c r="DF167" s="408">
        <v>0</v>
      </c>
      <c r="DG167" s="408">
        <v>-4.083926796738524E-7</v>
      </c>
      <c r="DH167" s="408">
        <v>0</v>
      </c>
      <c r="DI167" s="408">
        <v>-150.57663116005006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-20.109700813287418</v>
      </c>
      <c r="DP167" s="408">
        <v>-6.3708366339076576</v>
      </c>
      <c r="DQ167" s="408">
        <v>0</v>
      </c>
      <c r="DR167" s="408">
        <v>0</v>
      </c>
      <c r="DS167" s="408"/>
      <c r="DT167" s="408"/>
      <c r="DU167" s="408"/>
      <c r="DV167" s="408">
        <v>42446.537072191612</v>
      </c>
      <c r="DW167" s="408">
        <v>0</v>
      </c>
      <c r="DX167" s="408">
        <v>0</v>
      </c>
      <c r="DY167" s="408">
        <v>-26229.578669999995</v>
      </c>
      <c r="DZ167" s="408">
        <v>0</v>
      </c>
      <c r="EA167" s="408">
        <v>0</v>
      </c>
      <c r="EB167" s="408">
        <v>0</v>
      </c>
      <c r="EC167" s="408">
        <v>-26025.887143745866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265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174</v>
      </c>
      <c r="B168" s="408" t="s">
        <v>1031</v>
      </c>
      <c r="C168" s="408" t="s">
        <v>2235</v>
      </c>
      <c r="D168" s="408" t="s">
        <v>596</v>
      </c>
      <c r="E168" s="408" t="s">
        <v>969</v>
      </c>
      <c r="F168" s="408" t="s">
        <v>1317</v>
      </c>
      <c r="G168" s="408" t="s">
        <v>1317</v>
      </c>
      <c r="H168" s="408" t="s">
        <v>1317</v>
      </c>
      <c r="I168" s="408" t="s">
        <v>968</v>
      </c>
      <c r="J168" s="408" t="s">
        <v>2228</v>
      </c>
      <c r="K168" s="828">
        <v>44470</v>
      </c>
      <c r="L168" s="408">
        <v>0</v>
      </c>
      <c r="M168" s="408">
        <v>0</v>
      </c>
      <c r="N168" s="408">
        <v>2.9790000000000001</v>
      </c>
      <c r="O168" s="408">
        <v>2.8598400000000002</v>
      </c>
      <c r="P168" s="408">
        <v>2.9790000000000001</v>
      </c>
      <c r="Q168" s="408">
        <v>2.8598400000000002</v>
      </c>
      <c r="R168" s="408"/>
      <c r="S168" s="408">
        <v>2641.06</v>
      </c>
      <c r="T168" s="408">
        <v>252.22</v>
      </c>
      <c r="U168" s="408"/>
      <c r="V168" s="408">
        <v>8619.0811200000007</v>
      </c>
      <c r="W168" s="408">
        <v>8619.0811200000007</v>
      </c>
      <c r="X168" s="408">
        <v>5115.95586</v>
      </c>
      <c r="Y168" s="408">
        <v>0</v>
      </c>
      <c r="Z168" s="408">
        <v>160.30668161558029</v>
      </c>
      <c r="AA168" s="408">
        <v>0</v>
      </c>
      <c r="AB168" s="408">
        <v>0</v>
      </c>
      <c r="AC168" s="408">
        <v>0</v>
      </c>
      <c r="AD168" s="408">
        <v>1929.697864816387</v>
      </c>
      <c r="AE168" s="408">
        <v>5696.1171249460149</v>
      </c>
      <c r="AF168" s="408">
        <v>751.37162431386093</v>
      </c>
      <c r="AG168" s="408">
        <v>0</v>
      </c>
      <c r="AH168" s="408">
        <v>0</v>
      </c>
      <c r="AI168" s="408">
        <v>0</v>
      </c>
      <c r="AJ168" s="408">
        <v>0</v>
      </c>
      <c r="AK168" s="408">
        <v>0</v>
      </c>
      <c r="AL168" s="408">
        <v>28.482305939133827</v>
      </c>
      <c r="AM168" s="408"/>
      <c r="AN168" s="408">
        <v>7.1671943840264323</v>
      </c>
      <c r="AO168" s="408">
        <v>0</v>
      </c>
      <c r="AP168" s="408">
        <v>0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45.94464415059042</v>
      </c>
      <c r="BH168" s="408">
        <v>0</v>
      </c>
      <c r="BI168" s="408">
        <v>0</v>
      </c>
      <c r="BJ168" s="408">
        <v>0</v>
      </c>
      <c r="BK168" s="408">
        <v>0</v>
      </c>
      <c r="BL168" s="408">
        <v>0</v>
      </c>
      <c r="BM168" s="408"/>
      <c r="BN168" s="408"/>
      <c r="BO168" s="408"/>
      <c r="BP168" s="408"/>
      <c r="BQ168" s="408"/>
      <c r="BR168" s="408">
        <v>204.63823439999987</v>
      </c>
      <c r="BS168" s="408"/>
      <c r="BT168" s="408"/>
      <c r="BU168" s="408"/>
      <c r="BV168" s="408">
        <v>797.31626846445135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4911.5923999999995</v>
      </c>
      <c r="CJ168" s="408">
        <v>-3362.7554752000015</v>
      </c>
      <c r="CK168" s="408"/>
      <c r="CL168" s="408"/>
      <c r="CM168" s="408"/>
      <c r="CN168" s="408"/>
      <c r="CO168" s="408">
        <v>-3503.1252600000003</v>
      </c>
      <c r="CP168" s="408">
        <v>0</v>
      </c>
      <c r="CQ168" s="408">
        <v>31</v>
      </c>
      <c r="CR168" s="408">
        <v>-10.569022140291509</v>
      </c>
      <c r="CS168" s="408">
        <v>0</v>
      </c>
      <c r="CT168" s="408">
        <v>0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-4.9594934455074053</v>
      </c>
      <c r="DA168" s="408">
        <v>0</v>
      </c>
      <c r="DB168" s="408">
        <v>0</v>
      </c>
      <c r="DC168" s="408">
        <v>-1.0533756267250283E-7</v>
      </c>
      <c r="DD168" s="408">
        <v>0</v>
      </c>
      <c r="DE168" s="408">
        <v>0</v>
      </c>
      <c r="DF168" s="408">
        <v>0</v>
      </c>
      <c r="DG168" s="408">
        <v>-6.4411906919303874E-9</v>
      </c>
      <c r="DH168" s="408">
        <v>0</v>
      </c>
      <c r="DI168" s="408">
        <v>-4.6612516545804112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-0.7155357395552393</v>
      </c>
      <c r="DP168" s="408">
        <v>-0.23274118886973838</v>
      </c>
      <c r="DQ168" s="408">
        <v>0</v>
      </c>
      <c r="DR168" s="408">
        <v>0</v>
      </c>
      <c r="DS168" s="408"/>
      <c r="DT168" s="408"/>
      <c r="DU168" s="408"/>
      <c r="DV168" s="408">
        <v>5696.1171249460149</v>
      </c>
      <c r="DW168" s="408">
        <v>0</v>
      </c>
      <c r="DX168" s="408">
        <v>0</v>
      </c>
      <c r="DY168" s="408">
        <v>-3503.1252599999998</v>
      </c>
      <c r="DZ168" s="408">
        <v>0</v>
      </c>
      <c r="EA168" s="408">
        <v>0</v>
      </c>
      <c r="EB168" s="408">
        <v>0</v>
      </c>
      <c r="EC168" s="408">
        <v>-3492.5464284464606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265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175</v>
      </c>
      <c r="B169" s="408" t="s">
        <v>1031</v>
      </c>
      <c r="C169" s="408" t="s">
        <v>2235</v>
      </c>
      <c r="D169" s="408" t="s">
        <v>596</v>
      </c>
      <c r="E169" s="408" t="s">
        <v>969</v>
      </c>
      <c r="F169" s="408" t="s">
        <v>1317</v>
      </c>
      <c r="G169" s="408" t="s">
        <v>1317</v>
      </c>
      <c r="H169" s="408" t="s">
        <v>1317</v>
      </c>
      <c r="I169" s="408" t="s">
        <v>2236</v>
      </c>
      <c r="J169" s="408" t="s">
        <v>2228</v>
      </c>
      <c r="K169" s="828">
        <v>44470</v>
      </c>
      <c r="L169" s="408">
        <v>0</v>
      </c>
      <c r="M169" s="408">
        <v>0</v>
      </c>
      <c r="N169" s="408">
        <v>28.277999999999999</v>
      </c>
      <c r="O169" s="408">
        <v>27.146879999999999</v>
      </c>
      <c r="P169" s="408">
        <v>28.277999999999999</v>
      </c>
      <c r="Q169" s="408">
        <v>27.146879999999999</v>
      </c>
      <c r="R169" s="408"/>
      <c r="S169" s="408">
        <v>81.2</v>
      </c>
      <c r="T169" s="408">
        <v>252.22</v>
      </c>
      <c r="U169" s="408"/>
      <c r="V169" s="408">
        <v>9428.4507599999997</v>
      </c>
      <c r="W169" s="408">
        <v>9428.4507599999997</v>
      </c>
      <c r="X169" s="408">
        <v>9375.2881199999993</v>
      </c>
      <c r="Y169" s="408">
        <v>0</v>
      </c>
      <c r="Z169" s="408">
        <v>1521.7026998071094</v>
      </c>
      <c r="AA169" s="408">
        <v>0</v>
      </c>
      <c r="AB169" s="408">
        <v>0</v>
      </c>
      <c r="AC169" s="408">
        <v>0</v>
      </c>
      <c r="AD169" s="408">
        <v>0</v>
      </c>
      <c r="AE169" s="408">
        <v>0</v>
      </c>
      <c r="AF169" s="408">
        <v>7132.3554187134469</v>
      </c>
      <c r="AG169" s="408">
        <v>0</v>
      </c>
      <c r="AH169" s="408">
        <v>0</v>
      </c>
      <c r="AI169" s="408">
        <v>0</v>
      </c>
      <c r="AJ169" s="408">
        <v>0</v>
      </c>
      <c r="AK169" s="408">
        <v>0</v>
      </c>
      <c r="AL169" s="408">
        <v>270.36678326513135</v>
      </c>
      <c r="AM169" s="408"/>
      <c r="AN169" s="408">
        <v>68.034213760154216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436.12710550197914</v>
      </c>
      <c r="BH169" s="408">
        <v>0</v>
      </c>
      <c r="BI169" s="408">
        <v>0</v>
      </c>
      <c r="BJ169" s="408">
        <v>0</v>
      </c>
      <c r="BK169" s="408">
        <v>0</v>
      </c>
      <c r="BL169" s="408">
        <v>0</v>
      </c>
      <c r="BM169" s="408"/>
      <c r="BN169" s="408"/>
      <c r="BO169" s="408"/>
      <c r="BP169" s="408"/>
      <c r="BQ169" s="408"/>
      <c r="BR169" s="408">
        <v>375.01152479999973</v>
      </c>
      <c r="BS169" s="408"/>
      <c r="BT169" s="408"/>
      <c r="BU169" s="408"/>
      <c r="BV169" s="408">
        <v>7568.4825242154257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9001.3109999999979</v>
      </c>
      <c r="CJ169" s="408">
        <v>-50.031729600003018</v>
      </c>
      <c r="CK169" s="408"/>
      <c r="CL169" s="408"/>
      <c r="CM169" s="408"/>
      <c r="CN169" s="408"/>
      <c r="CO169" s="408">
        <v>-53.162640000000273</v>
      </c>
      <c r="CP169" s="408">
        <v>0</v>
      </c>
      <c r="CQ169" s="408">
        <v>31</v>
      </c>
      <c r="CR169" s="408">
        <v>-53.248154558947135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0</v>
      </c>
      <c r="DA169" s="408">
        <v>0</v>
      </c>
      <c r="DB169" s="408">
        <v>0</v>
      </c>
      <c r="DC169" s="408">
        <v>-9.9991120805498213E-7</v>
      </c>
      <c r="DD169" s="408">
        <v>0</v>
      </c>
      <c r="DE169" s="408">
        <v>0</v>
      </c>
      <c r="DF169" s="408">
        <v>0</v>
      </c>
      <c r="DG169" s="408">
        <v>-6.1142714002926368E-8</v>
      </c>
      <c r="DH169" s="408">
        <v>0</v>
      </c>
      <c r="DI169" s="408">
        <v>-44.246684890307051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-6.7921851772886725</v>
      </c>
      <c r="DP169" s="408">
        <v>-2.2092834302982283</v>
      </c>
      <c r="DQ169" s="408">
        <v>0</v>
      </c>
      <c r="DR169" s="408">
        <v>0</v>
      </c>
      <c r="DS169" s="408"/>
      <c r="DT169" s="408"/>
      <c r="DU169" s="408"/>
      <c r="DV169" s="408">
        <v>0</v>
      </c>
      <c r="DW169" s="408">
        <v>0</v>
      </c>
      <c r="DX169" s="408">
        <v>0</v>
      </c>
      <c r="DY169" s="408">
        <v>-53.162640000000465</v>
      </c>
      <c r="DZ169" s="408">
        <v>0</v>
      </c>
      <c r="EA169" s="408">
        <v>0</v>
      </c>
      <c r="EB169" s="408">
        <v>0</v>
      </c>
      <c r="EC169" s="408">
        <v>0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265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176</v>
      </c>
      <c r="B170" s="408" t="s">
        <v>1031</v>
      </c>
      <c r="C170" s="408" t="s">
        <v>2235</v>
      </c>
      <c r="D170" s="408" t="s">
        <v>596</v>
      </c>
      <c r="E170" s="408" t="s">
        <v>969</v>
      </c>
      <c r="F170" s="408" t="s">
        <v>1317</v>
      </c>
      <c r="G170" s="408" t="s">
        <v>1317</v>
      </c>
      <c r="H170" s="408" t="s">
        <v>1317</v>
      </c>
      <c r="I170" s="408" t="s">
        <v>1317</v>
      </c>
      <c r="J170" s="408" t="s">
        <v>2228</v>
      </c>
      <c r="K170" s="828">
        <v>44470</v>
      </c>
      <c r="L170" s="408">
        <v>176</v>
      </c>
      <c r="M170" s="408">
        <v>168.96</v>
      </c>
      <c r="N170" s="408">
        <v>0</v>
      </c>
      <c r="O170" s="408">
        <v>0</v>
      </c>
      <c r="P170" s="408">
        <v>0</v>
      </c>
      <c r="Q170" s="408">
        <v>0</v>
      </c>
      <c r="R170" s="408">
        <v>74.44</v>
      </c>
      <c r="S170" s="408"/>
      <c r="T170" s="408"/>
      <c r="U170" s="408">
        <v>13101.439999999999</v>
      </c>
      <c r="V170" s="408"/>
      <c r="W170" s="408">
        <v>13101.439999999999</v>
      </c>
      <c r="X170" s="408">
        <v>7993.92</v>
      </c>
      <c r="Y170" s="408">
        <v>0</v>
      </c>
      <c r="Z170" s="408">
        <v>0</v>
      </c>
      <c r="AA170" s="408">
        <v>0</v>
      </c>
      <c r="AB170" s="408">
        <v>0</v>
      </c>
      <c r="AC170" s="408">
        <v>0</v>
      </c>
      <c r="AD170" s="408">
        <v>4790.2082853595166</v>
      </c>
      <c r="AE170" s="408">
        <v>8310.9906764153639</v>
      </c>
      <c r="AF170" s="408"/>
      <c r="AG170" s="408"/>
      <c r="AH170" s="408"/>
      <c r="AI170" s="408">
        <v>0</v>
      </c>
      <c r="AJ170" s="408">
        <v>0</v>
      </c>
      <c r="AK170" s="408">
        <v>0</v>
      </c>
      <c r="AL170" s="408">
        <v>0</v>
      </c>
      <c r="AM170" s="408"/>
      <c r="AN170" s="408">
        <v>0</v>
      </c>
      <c r="AO170" s="408">
        <v>0</v>
      </c>
      <c r="AP170" s="408">
        <v>0</v>
      </c>
      <c r="AQ170" s="408">
        <v>0</v>
      </c>
      <c r="AR170" s="408">
        <v>0</v>
      </c>
      <c r="AS170" s="408"/>
      <c r="AT170" s="408"/>
      <c r="AU170" s="408">
        <v>0</v>
      </c>
      <c r="AV170" s="408">
        <v>0</v>
      </c>
      <c r="AW170" s="408">
        <v>0</v>
      </c>
      <c r="AX170" s="408"/>
      <c r="AY170" s="408"/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/>
      <c r="BG170" s="408">
        <v>0</v>
      </c>
      <c r="BH170" s="408">
        <v>0</v>
      </c>
      <c r="BI170" s="408">
        <v>0</v>
      </c>
      <c r="BJ170" s="408">
        <v>0</v>
      </c>
      <c r="BK170" s="408">
        <v>16.489999999999998</v>
      </c>
      <c r="BL170" s="408">
        <v>2</v>
      </c>
      <c r="BM170" s="408"/>
      <c r="BN170" s="408"/>
      <c r="BO170" s="408"/>
      <c r="BP170" s="408"/>
      <c r="BQ170" s="408"/>
      <c r="BR170" s="408">
        <v>319.75679999999966</v>
      </c>
      <c r="BS170" s="408"/>
      <c r="BT170" s="408"/>
      <c r="BU170" s="408"/>
      <c r="BV170" s="408">
        <v>0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7674.1632000000009</v>
      </c>
      <c r="CJ170" s="408">
        <v>-4903.2492000000002</v>
      </c>
      <c r="CK170" s="408"/>
      <c r="CL170" s="408"/>
      <c r="CM170" s="408"/>
      <c r="CN170" s="408"/>
      <c r="CO170" s="408">
        <v>-5107.5199999999995</v>
      </c>
      <c r="CP170" s="408">
        <v>0</v>
      </c>
      <c r="CQ170" s="408">
        <v>31</v>
      </c>
      <c r="CR170" s="408">
        <v>-12.311257128385478</v>
      </c>
      <c r="CS170" s="408">
        <v>0</v>
      </c>
      <c r="CT170" s="408">
        <v>0</v>
      </c>
      <c r="CU170" s="408">
        <v>0</v>
      </c>
      <c r="CV170" s="408">
        <v>0</v>
      </c>
      <c r="CW170" s="408"/>
      <c r="CX170" s="408"/>
      <c r="CY170" s="408"/>
      <c r="CZ170" s="408">
        <v>-12.311257128385478</v>
      </c>
      <c r="DA170" s="408">
        <v>0</v>
      </c>
      <c r="DB170" s="408">
        <v>0</v>
      </c>
      <c r="DC170" s="408"/>
      <c r="DD170" s="408"/>
      <c r="DE170" s="408">
        <v>0</v>
      </c>
      <c r="DF170" s="408">
        <v>0</v>
      </c>
      <c r="DG170" s="408">
        <v>0</v>
      </c>
      <c r="DH170" s="408">
        <v>0</v>
      </c>
      <c r="DI170" s="408">
        <v>0</v>
      </c>
      <c r="DJ170" s="408"/>
      <c r="DK170" s="408">
        <v>0</v>
      </c>
      <c r="DL170" s="408">
        <v>0</v>
      </c>
      <c r="DM170" s="408"/>
      <c r="DN170" s="408">
        <v>0</v>
      </c>
      <c r="DO170" s="408">
        <v>0</v>
      </c>
      <c r="DP170" s="408">
        <v>0</v>
      </c>
      <c r="DQ170" s="408">
        <v>0</v>
      </c>
      <c r="DR170" s="408">
        <v>0</v>
      </c>
      <c r="DS170" s="408"/>
      <c r="DT170" s="408"/>
      <c r="DU170" s="408">
        <v>8310.9906764153639</v>
      </c>
      <c r="DV170" s="408"/>
      <c r="DW170" s="408">
        <v>0</v>
      </c>
      <c r="DX170" s="408">
        <v>0</v>
      </c>
      <c r="DY170" s="408">
        <v>-5107.5199999999986</v>
      </c>
      <c r="DZ170" s="408"/>
      <c r="EA170" s="408">
        <v>0</v>
      </c>
      <c r="EB170" s="408"/>
      <c r="EC170" s="408">
        <v>-5095.8433906924729</v>
      </c>
      <c r="ED170" s="408"/>
      <c r="EE170" s="408">
        <v>0</v>
      </c>
      <c r="EF170" s="408">
        <v>0</v>
      </c>
      <c r="EG170" s="408"/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/>
      <c r="EN170" s="408"/>
      <c r="EO170" s="408">
        <v>0</v>
      </c>
      <c r="EP170" s="408">
        <v>0</v>
      </c>
      <c r="EQ170" s="408"/>
      <c r="ER170" s="408">
        <v>0</v>
      </c>
      <c r="ES170" s="408"/>
      <c r="ET170" s="408">
        <v>0</v>
      </c>
      <c r="EU170" s="408"/>
      <c r="EV170" s="408">
        <v>265</v>
      </c>
      <c r="EW170" s="408"/>
      <c r="EX170" s="408"/>
      <c r="EY170" s="408"/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177</v>
      </c>
      <c r="B171" s="408" t="s">
        <v>2230</v>
      </c>
      <c r="C171" s="408" t="s">
        <v>2235</v>
      </c>
      <c r="D171" s="408" t="s">
        <v>596</v>
      </c>
      <c r="E171" s="408" t="s">
        <v>969</v>
      </c>
      <c r="F171" s="408" t="s">
        <v>1317</v>
      </c>
      <c r="G171" s="408" t="s">
        <v>1317</v>
      </c>
      <c r="H171" s="408" t="s">
        <v>1317</v>
      </c>
      <c r="I171" s="408" t="s">
        <v>1317</v>
      </c>
      <c r="J171" s="408" t="s">
        <v>2228</v>
      </c>
      <c r="K171" s="828">
        <v>44470</v>
      </c>
      <c r="L171" s="408">
        <v>491</v>
      </c>
      <c r="M171" s="408">
        <v>471.35999999999996</v>
      </c>
      <c r="N171" s="408">
        <v>0</v>
      </c>
      <c r="O171" s="408">
        <v>0</v>
      </c>
      <c r="P171" s="408">
        <v>0</v>
      </c>
      <c r="Q171" s="408">
        <v>0</v>
      </c>
      <c r="R171" s="408">
        <v>74.44</v>
      </c>
      <c r="S171" s="408"/>
      <c r="T171" s="408"/>
      <c r="U171" s="408">
        <v>36550.04</v>
      </c>
      <c r="V171" s="408"/>
      <c r="W171" s="408">
        <v>36550.04</v>
      </c>
      <c r="X171" s="408">
        <v>22301.22</v>
      </c>
      <c r="Y171" s="408">
        <v>0</v>
      </c>
      <c r="Z171" s="408">
        <v>0</v>
      </c>
      <c r="AA171" s="408">
        <v>0</v>
      </c>
      <c r="AB171" s="408">
        <v>0</v>
      </c>
      <c r="AC171" s="408">
        <v>0</v>
      </c>
      <c r="AD171" s="408">
        <v>13363.592432451835</v>
      </c>
      <c r="AE171" s="408">
        <v>23185.775125681495</v>
      </c>
      <c r="AF171" s="408"/>
      <c r="AG171" s="408"/>
      <c r="AH171" s="408"/>
      <c r="AI171" s="408">
        <v>0</v>
      </c>
      <c r="AJ171" s="408">
        <v>0</v>
      </c>
      <c r="AK171" s="408">
        <v>0</v>
      </c>
      <c r="AL171" s="408">
        <v>0</v>
      </c>
      <c r="AM171" s="408"/>
      <c r="AN171" s="408">
        <v>0</v>
      </c>
      <c r="AO171" s="408">
        <v>0</v>
      </c>
      <c r="AP171" s="408">
        <v>0</v>
      </c>
      <c r="AQ171" s="408">
        <v>0</v>
      </c>
      <c r="AR171" s="408">
        <v>0</v>
      </c>
      <c r="AS171" s="408"/>
      <c r="AT171" s="408"/>
      <c r="AU171" s="408">
        <v>0</v>
      </c>
      <c r="AV171" s="408">
        <v>0</v>
      </c>
      <c r="AW171" s="408">
        <v>0</v>
      </c>
      <c r="AX171" s="408"/>
      <c r="AY171" s="408"/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/>
      <c r="BG171" s="408">
        <v>0</v>
      </c>
      <c r="BH171" s="408">
        <v>0</v>
      </c>
      <c r="BI171" s="408">
        <v>0</v>
      </c>
      <c r="BJ171" s="408">
        <v>0</v>
      </c>
      <c r="BK171" s="408">
        <v>11.36</v>
      </c>
      <c r="BL171" s="408">
        <v>4</v>
      </c>
      <c r="BM171" s="408"/>
      <c r="BN171" s="408"/>
      <c r="BO171" s="408"/>
      <c r="BP171" s="408"/>
      <c r="BQ171" s="408"/>
      <c r="BR171" s="408">
        <v>892.04880000000196</v>
      </c>
      <c r="BS171" s="408"/>
      <c r="BT171" s="408"/>
      <c r="BU171" s="408"/>
      <c r="BV171" s="408">
        <v>0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21409.171200000001</v>
      </c>
      <c r="CJ171" s="408">
        <v>-13678.897200000003</v>
      </c>
      <c r="CK171" s="408"/>
      <c r="CL171" s="408"/>
      <c r="CM171" s="408"/>
      <c r="CN171" s="408"/>
      <c r="CO171" s="408">
        <v>-14248.819999999998</v>
      </c>
      <c r="CP171" s="408">
        <v>0</v>
      </c>
      <c r="CQ171" s="408">
        <v>31</v>
      </c>
      <c r="CR171" s="408">
        <v>-34.345609375213826</v>
      </c>
      <c r="CS171" s="408">
        <v>0</v>
      </c>
      <c r="CT171" s="408">
        <v>0</v>
      </c>
      <c r="CU171" s="408">
        <v>0</v>
      </c>
      <c r="CV171" s="408">
        <v>0</v>
      </c>
      <c r="CW171" s="408"/>
      <c r="CX171" s="408"/>
      <c r="CY171" s="408"/>
      <c r="CZ171" s="408">
        <v>-34.345609375213826</v>
      </c>
      <c r="DA171" s="408">
        <v>0</v>
      </c>
      <c r="DB171" s="408">
        <v>0</v>
      </c>
      <c r="DC171" s="408"/>
      <c r="DD171" s="408"/>
      <c r="DE171" s="408">
        <v>0</v>
      </c>
      <c r="DF171" s="408">
        <v>0</v>
      </c>
      <c r="DG171" s="408">
        <v>0</v>
      </c>
      <c r="DH171" s="408">
        <v>0</v>
      </c>
      <c r="DI171" s="408">
        <v>0</v>
      </c>
      <c r="DJ171" s="408"/>
      <c r="DK171" s="408">
        <v>0</v>
      </c>
      <c r="DL171" s="408">
        <v>0</v>
      </c>
      <c r="DM171" s="408"/>
      <c r="DN171" s="408">
        <v>0</v>
      </c>
      <c r="DO171" s="408">
        <v>0</v>
      </c>
      <c r="DP171" s="408">
        <v>0</v>
      </c>
      <c r="DQ171" s="408">
        <v>0</v>
      </c>
      <c r="DR171" s="408">
        <v>0</v>
      </c>
      <c r="DS171" s="408"/>
      <c r="DT171" s="408"/>
      <c r="DU171" s="408">
        <v>23185.775125681495</v>
      </c>
      <c r="DV171" s="408"/>
      <c r="DW171" s="408">
        <v>0</v>
      </c>
      <c r="DX171" s="408">
        <v>0</v>
      </c>
      <c r="DY171" s="408">
        <v>-14248.82</v>
      </c>
      <c r="DZ171" s="408"/>
      <c r="EA171" s="408">
        <v>0</v>
      </c>
      <c r="EB171" s="408"/>
      <c r="EC171" s="408">
        <v>-14216.244913806839</v>
      </c>
      <c r="ED171" s="408"/>
      <c r="EE171" s="408">
        <v>0</v>
      </c>
      <c r="EF171" s="408">
        <v>0</v>
      </c>
      <c r="EG171" s="408"/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/>
      <c r="EN171" s="408"/>
      <c r="EO171" s="408">
        <v>0</v>
      </c>
      <c r="EP171" s="408">
        <v>0</v>
      </c>
      <c r="EQ171" s="408"/>
      <c r="ER171" s="408">
        <v>0</v>
      </c>
      <c r="ES171" s="408"/>
      <c r="ET171" s="408">
        <v>0</v>
      </c>
      <c r="EU171" s="408"/>
      <c r="EV171" s="408">
        <v>265</v>
      </c>
      <c r="EW171" s="408"/>
      <c r="EX171" s="408"/>
      <c r="EY171" s="408"/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178</v>
      </c>
      <c r="B172" s="408" t="s">
        <v>1031</v>
      </c>
      <c r="C172" s="408" t="s">
        <v>2227</v>
      </c>
      <c r="D172" s="408" t="s">
        <v>1952</v>
      </c>
      <c r="E172" s="408" t="s">
        <v>2238</v>
      </c>
      <c r="F172" s="408" t="s">
        <v>1317</v>
      </c>
      <c r="G172" s="408" t="s">
        <v>1317</v>
      </c>
      <c r="H172" s="408" t="s">
        <v>1317</v>
      </c>
      <c r="I172" s="408" t="s">
        <v>1317</v>
      </c>
      <c r="J172" s="408" t="s">
        <v>2228</v>
      </c>
      <c r="K172" s="828">
        <v>44470</v>
      </c>
      <c r="L172" s="408">
        <v>0</v>
      </c>
      <c r="M172" s="408">
        <v>0</v>
      </c>
      <c r="N172" s="408">
        <v>156.93600000000001</v>
      </c>
      <c r="O172" s="408">
        <v>156.93600000000001</v>
      </c>
      <c r="P172" s="408">
        <v>156.93600000000001</v>
      </c>
      <c r="Q172" s="408">
        <v>156.93600000000001</v>
      </c>
      <c r="R172" s="408"/>
      <c r="S172" s="408">
        <v>739.04</v>
      </c>
      <c r="T172" s="408">
        <v>252.22</v>
      </c>
      <c r="U172" s="408"/>
      <c r="V172" s="408">
        <v>155564.37936000002</v>
      </c>
      <c r="W172" s="408">
        <v>155564.37936000002</v>
      </c>
      <c r="X172" s="408">
        <v>106397.89992000001</v>
      </c>
      <c r="Y172" s="408">
        <v>0</v>
      </c>
      <c r="Z172" s="408">
        <v>9706.9869878508598</v>
      </c>
      <c r="AA172" s="408">
        <v>0</v>
      </c>
      <c r="AB172" s="408">
        <v>0</v>
      </c>
      <c r="AC172" s="408">
        <v>0</v>
      </c>
      <c r="AD172" s="408">
        <v>19381.216355531535</v>
      </c>
      <c r="AE172" s="408">
        <v>79564.632681120638</v>
      </c>
      <c r="AF172" s="408">
        <v>39582.832236764043</v>
      </c>
      <c r="AG172" s="408">
        <v>0</v>
      </c>
      <c r="AH172" s="408">
        <v>0</v>
      </c>
      <c r="AI172" s="408">
        <v>0</v>
      </c>
      <c r="AJ172" s="408">
        <v>0</v>
      </c>
      <c r="AK172" s="408">
        <v>0</v>
      </c>
      <c r="AL172" s="408">
        <v>1500.4696760201095</v>
      </c>
      <c r="AM172" s="408"/>
      <c r="AN172" s="408">
        <v>367.74789954524522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5460.4700980966682</v>
      </c>
      <c r="BH172" s="408">
        <v>0</v>
      </c>
      <c r="BI172" s="408">
        <v>0</v>
      </c>
      <c r="BJ172" s="408">
        <v>0</v>
      </c>
      <c r="BK172" s="408">
        <v>50683.91</v>
      </c>
      <c r="BL172" s="408">
        <v>365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45043.302334860709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106400.6118</v>
      </c>
      <c r="CJ172" s="408">
        <v>-49163.797559999992</v>
      </c>
      <c r="CK172" s="408"/>
      <c r="CL172" s="408"/>
      <c r="CM172" s="408"/>
      <c r="CN172" s="408"/>
      <c r="CO172" s="408">
        <v>-49166.479439999996</v>
      </c>
      <c r="CP172" s="408">
        <v>0</v>
      </c>
      <c r="CQ172" s="408">
        <v>31</v>
      </c>
      <c r="CR172" s="408">
        <v>-381.69925740797771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-49.811432781087206</v>
      </c>
      <c r="DA172" s="408">
        <v>0</v>
      </c>
      <c r="DB172" s="408">
        <v>0</v>
      </c>
      <c r="DC172" s="408">
        <v>-5.5492637329734862E-6</v>
      </c>
      <c r="DD172" s="408">
        <v>0</v>
      </c>
      <c r="DE172" s="408">
        <v>0</v>
      </c>
      <c r="DF172" s="408">
        <v>0</v>
      </c>
      <c r="DG172" s="408">
        <v>-7.6551896199816838E-7</v>
      </c>
      <c r="DH172" s="408">
        <v>0</v>
      </c>
      <c r="DI172" s="408">
        <v>-282.25092492783915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-37.694970400416423</v>
      </c>
      <c r="DP172" s="408">
        <v>-11.94192298387452</v>
      </c>
      <c r="DQ172" s="408">
        <v>0</v>
      </c>
      <c r="DR172" s="408">
        <v>0</v>
      </c>
      <c r="DS172" s="408"/>
      <c r="DT172" s="408"/>
      <c r="DU172" s="408"/>
      <c r="DV172" s="408">
        <v>79564.632681120638</v>
      </c>
      <c r="DW172" s="408">
        <v>0</v>
      </c>
      <c r="DX172" s="408">
        <v>0</v>
      </c>
      <c r="DY172" s="408">
        <v>-49166.479439999996</v>
      </c>
      <c r="DZ172" s="408">
        <v>0</v>
      </c>
      <c r="EA172" s="408">
        <v>0</v>
      </c>
      <c r="EB172" s="408">
        <v>0</v>
      </c>
      <c r="EC172" s="408">
        <v>-48784.666397416499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265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179</v>
      </c>
      <c r="B173" s="408" t="s">
        <v>2230</v>
      </c>
      <c r="C173" s="408" t="s">
        <v>2227</v>
      </c>
      <c r="D173" s="408" t="s">
        <v>1952</v>
      </c>
      <c r="E173" s="408" t="s">
        <v>2238</v>
      </c>
      <c r="F173" s="408" t="s">
        <v>1317</v>
      </c>
      <c r="G173" s="408" t="s">
        <v>1317</v>
      </c>
      <c r="H173" s="408" t="s">
        <v>1317</v>
      </c>
      <c r="I173" s="408" t="s">
        <v>1317</v>
      </c>
      <c r="J173" s="408" t="s">
        <v>2228</v>
      </c>
      <c r="K173" s="828">
        <v>44470</v>
      </c>
      <c r="L173" s="408">
        <v>0</v>
      </c>
      <c r="M173" s="408">
        <v>0</v>
      </c>
      <c r="N173" s="408">
        <v>0.39100000000000001</v>
      </c>
      <c r="O173" s="408">
        <v>0.39100000000000001</v>
      </c>
      <c r="P173" s="408">
        <v>0.39100000000000001</v>
      </c>
      <c r="Q173" s="408">
        <v>0.39100000000000001</v>
      </c>
      <c r="R173" s="408"/>
      <c r="S173" s="408">
        <v>739.04</v>
      </c>
      <c r="T173" s="408">
        <v>252.22</v>
      </c>
      <c r="U173" s="408"/>
      <c r="V173" s="408">
        <v>387.58265999999998</v>
      </c>
      <c r="W173" s="408">
        <v>387.58265999999998</v>
      </c>
      <c r="X173" s="408">
        <v>265.08627000000001</v>
      </c>
      <c r="Y173" s="408">
        <v>0</v>
      </c>
      <c r="Z173" s="408">
        <v>24.184584239751786</v>
      </c>
      <c r="AA173" s="408">
        <v>0</v>
      </c>
      <c r="AB173" s="408">
        <v>0</v>
      </c>
      <c r="AC173" s="408">
        <v>0</v>
      </c>
      <c r="AD173" s="408">
        <v>48.287554130427885</v>
      </c>
      <c r="AE173" s="408">
        <v>198.23221809092985</v>
      </c>
      <c r="AF173" s="408">
        <v>98.619102083490972</v>
      </c>
      <c r="AG173" s="408">
        <v>0</v>
      </c>
      <c r="AH173" s="408">
        <v>0</v>
      </c>
      <c r="AI173" s="408">
        <v>0</v>
      </c>
      <c r="AJ173" s="408">
        <v>0</v>
      </c>
      <c r="AK173" s="408">
        <v>0</v>
      </c>
      <c r="AL173" s="408">
        <v>3.738362410943715</v>
      </c>
      <c r="AM173" s="408"/>
      <c r="AN173" s="408">
        <v>0.91622972882060771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13.604550952973169</v>
      </c>
      <c r="BH173" s="408">
        <v>0</v>
      </c>
      <c r="BI173" s="408">
        <v>0</v>
      </c>
      <c r="BJ173" s="408">
        <v>0</v>
      </c>
      <c r="BK173" s="408">
        <v>204.52</v>
      </c>
      <c r="BL173" s="408">
        <v>2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112.22365303646414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264.40830000000005</v>
      </c>
      <c r="CJ173" s="408">
        <v>-123.20435999999989</v>
      </c>
      <c r="CK173" s="408"/>
      <c r="CL173" s="408"/>
      <c r="CM173" s="408"/>
      <c r="CN173" s="408"/>
      <c r="CO173" s="408">
        <v>-122.49638999999999</v>
      </c>
      <c r="CP173" s="408">
        <v>0</v>
      </c>
      <c r="CQ173" s="408">
        <v>31</v>
      </c>
      <c r="CR173" s="408">
        <v>-0.95098899963375061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-0.12410326641055036</v>
      </c>
      <c r="DA173" s="408">
        <v>0</v>
      </c>
      <c r="DB173" s="408">
        <v>0</v>
      </c>
      <c r="DC173" s="408">
        <v>-1.382576897412946E-8</v>
      </c>
      <c r="DD173" s="408">
        <v>0</v>
      </c>
      <c r="DE173" s="408">
        <v>0</v>
      </c>
      <c r="DF173" s="408">
        <v>0</v>
      </c>
      <c r="DG173" s="408">
        <v>-1.9072619039661731E-9</v>
      </c>
      <c r="DH173" s="408">
        <v>0</v>
      </c>
      <c r="DI173" s="408">
        <v>-0.70321730926482928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-9.391556702453796E-2</v>
      </c>
      <c r="DP173" s="408">
        <v>-2.9752841200839542E-2</v>
      </c>
      <c r="DQ173" s="408">
        <v>0</v>
      </c>
      <c r="DR173" s="408">
        <v>0</v>
      </c>
      <c r="DS173" s="408"/>
      <c r="DT173" s="408"/>
      <c r="DU173" s="408"/>
      <c r="DV173" s="408">
        <v>198.23221809092985</v>
      </c>
      <c r="DW173" s="408">
        <v>0</v>
      </c>
      <c r="DX173" s="408">
        <v>0</v>
      </c>
      <c r="DY173" s="408">
        <v>-122.49638999999996</v>
      </c>
      <c r="DZ173" s="408">
        <v>0</v>
      </c>
      <c r="EA173" s="408">
        <v>0</v>
      </c>
      <c r="EB173" s="408">
        <v>0</v>
      </c>
      <c r="EC173" s="408">
        <v>-121.54511750898358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265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180</v>
      </c>
      <c r="B174" s="408" t="s">
        <v>1031</v>
      </c>
      <c r="C174" s="408" t="s">
        <v>2227</v>
      </c>
      <c r="D174" s="408" t="s">
        <v>2240</v>
      </c>
      <c r="E174" s="408" t="s">
        <v>2241</v>
      </c>
      <c r="F174" s="408" t="s">
        <v>2242</v>
      </c>
      <c r="G174" s="408" t="s">
        <v>1317</v>
      </c>
      <c r="H174" s="408" t="s">
        <v>1317</v>
      </c>
      <c r="I174" s="408" t="s">
        <v>1317</v>
      </c>
      <c r="J174" s="408" t="s">
        <v>2228</v>
      </c>
      <c r="K174" s="828">
        <v>44470</v>
      </c>
      <c r="L174" s="408">
        <v>0</v>
      </c>
      <c r="M174" s="408">
        <v>0</v>
      </c>
      <c r="N174" s="408">
        <v>378.35599999999999</v>
      </c>
      <c r="O174" s="408">
        <v>378.35599999999999</v>
      </c>
      <c r="P174" s="408">
        <v>378.35599999999999</v>
      </c>
      <c r="Q174" s="408">
        <v>378.35599999999999</v>
      </c>
      <c r="R174" s="408"/>
      <c r="S174" s="408">
        <v>406.47</v>
      </c>
      <c r="T174" s="408">
        <v>138.72</v>
      </c>
      <c r="U174" s="408"/>
      <c r="V174" s="408">
        <v>206275.90763999999</v>
      </c>
      <c r="W174" s="408">
        <v>206275.90763999999</v>
      </c>
      <c r="X174" s="408">
        <v>141081.38527999999</v>
      </c>
      <c r="Y174" s="408">
        <v>0</v>
      </c>
      <c r="Z174" s="408">
        <v>12871.382110072969</v>
      </c>
      <c r="AA174" s="408">
        <v>0</v>
      </c>
      <c r="AB174" s="408">
        <v>0</v>
      </c>
      <c r="AC174" s="408">
        <v>0</v>
      </c>
      <c r="AD174" s="408">
        <v>25699.327894666836</v>
      </c>
      <c r="AE174" s="408">
        <v>105502.02559950517</v>
      </c>
      <c r="AF174" s="408">
        <v>52486.498576331593</v>
      </c>
      <c r="AG174" s="408">
        <v>0</v>
      </c>
      <c r="AH174" s="408">
        <v>0</v>
      </c>
      <c r="AI174" s="408">
        <v>0</v>
      </c>
      <c r="AJ174" s="408">
        <v>0</v>
      </c>
      <c r="AK174" s="408">
        <v>0</v>
      </c>
      <c r="AL174" s="408">
        <v>1989.610016867676</v>
      </c>
      <c r="AM174" s="408"/>
      <c r="AN174" s="408">
        <v>487.63058415014802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7240.5368649608999</v>
      </c>
      <c r="BH174" s="408">
        <v>0</v>
      </c>
      <c r="BI174" s="408">
        <v>0</v>
      </c>
      <c r="BJ174" s="408">
        <v>0</v>
      </c>
      <c r="BK174" s="408">
        <v>48701.45</v>
      </c>
      <c r="BL174" s="408">
        <v>66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59727.035441292493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141082.8768</v>
      </c>
      <c r="CJ174" s="408">
        <v>-65193.06084000002</v>
      </c>
      <c r="CK174" s="408"/>
      <c r="CL174" s="408"/>
      <c r="CM174" s="408"/>
      <c r="CN174" s="408"/>
      <c r="CO174" s="408">
        <v>-65194.52236000001</v>
      </c>
      <c r="CP174" s="408">
        <v>0</v>
      </c>
      <c r="CQ174" s="408">
        <v>31</v>
      </c>
      <c r="CR174" s="408">
        <v>-506.12996590755938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-66.049535821839527</v>
      </c>
      <c r="DA174" s="408">
        <v>0</v>
      </c>
      <c r="DB174" s="408">
        <v>0</v>
      </c>
      <c r="DC174" s="408">
        <v>-7.3578848969191313E-6</v>
      </c>
      <c r="DD174" s="408">
        <v>0</v>
      </c>
      <c r="DE174" s="408">
        <v>0</v>
      </c>
      <c r="DF174" s="408">
        <v>0</v>
      </c>
      <c r="DG174" s="408">
        <v>-1.0150533853447996E-6</v>
      </c>
      <c r="DH174" s="408">
        <v>0</v>
      </c>
      <c r="DI174" s="408">
        <v>-374.2623236452946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-49.983209852750633</v>
      </c>
      <c r="DP174" s="408">
        <v>-15.834888214736679</v>
      </c>
      <c r="DQ174" s="408">
        <v>0</v>
      </c>
      <c r="DR174" s="408">
        <v>0</v>
      </c>
      <c r="DS174" s="408"/>
      <c r="DT174" s="408"/>
      <c r="DU174" s="408"/>
      <c r="DV174" s="408">
        <v>105502.02559950517</v>
      </c>
      <c r="DW174" s="408">
        <v>0</v>
      </c>
      <c r="DX174" s="408">
        <v>0</v>
      </c>
      <c r="DY174" s="408">
        <v>-65194.522360000003</v>
      </c>
      <c r="DZ174" s="408">
        <v>0</v>
      </c>
      <c r="EA174" s="408">
        <v>0</v>
      </c>
      <c r="EB174" s="408">
        <v>0</v>
      </c>
      <c r="EC174" s="408">
        <v>-64688.052337917994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265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181</v>
      </c>
      <c r="B175" s="408" t="s">
        <v>1031</v>
      </c>
      <c r="C175" s="408" t="s">
        <v>2227</v>
      </c>
      <c r="D175" s="408" t="s">
        <v>1952</v>
      </c>
      <c r="E175" s="408" t="s">
        <v>996</v>
      </c>
      <c r="F175" s="408" t="s">
        <v>2243</v>
      </c>
      <c r="G175" s="408" t="s">
        <v>1317</v>
      </c>
      <c r="H175" s="408" t="s">
        <v>1317</v>
      </c>
      <c r="I175" s="408" t="s">
        <v>1317</v>
      </c>
      <c r="J175" s="408" t="s">
        <v>2228</v>
      </c>
      <c r="K175" s="828">
        <v>44470</v>
      </c>
      <c r="L175" s="408">
        <v>0</v>
      </c>
      <c r="M175" s="408">
        <v>0</v>
      </c>
      <c r="N175" s="408">
        <v>77.802999999999997</v>
      </c>
      <c r="O175" s="408">
        <v>73.134820000000005</v>
      </c>
      <c r="P175" s="408">
        <v>77.802999999999997</v>
      </c>
      <c r="Q175" s="408">
        <v>73.134820000000005</v>
      </c>
      <c r="R175" s="408"/>
      <c r="S175" s="408">
        <v>739.04</v>
      </c>
      <c r="T175" s="408">
        <v>252.22</v>
      </c>
      <c r="U175" s="408"/>
      <c r="V175" s="408">
        <v>77123.001779999991</v>
      </c>
      <c r="W175" s="408">
        <v>77123.001779999991</v>
      </c>
      <c r="X175" s="408">
        <v>52748.099909999997</v>
      </c>
      <c r="Y175" s="408">
        <v>0</v>
      </c>
      <c r="Z175" s="408">
        <v>4812.3611447708645</v>
      </c>
      <c r="AA175" s="408">
        <v>0</v>
      </c>
      <c r="AB175" s="408">
        <v>0</v>
      </c>
      <c r="AC175" s="408">
        <v>0</v>
      </c>
      <c r="AD175" s="408">
        <v>9608.4822864697708</v>
      </c>
      <c r="AE175" s="408">
        <v>39445.169473474714</v>
      </c>
      <c r="AF175" s="408">
        <v>19623.687978009842</v>
      </c>
      <c r="AG175" s="408">
        <v>0</v>
      </c>
      <c r="AH175" s="408">
        <v>0</v>
      </c>
      <c r="AI175" s="408">
        <v>0</v>
      </c>
      <c r="AJ175" s="408">
        <v>0</v>
      </c>
      <c r="AK175" s="408">
        <v>0</v>
      </c>
      <c r="AL175" s="408">
        <v>743.8767536026952</v>
      </c>
      <c r="AM175" s="408"/>
      <c r="AN175" s="408">
        <v>182.31565624406582</v>
      </c>
      <c r="AO175" s="408">
        <v>0</v>
      </c>
      <c r="AP175" s="408">
        <v>0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>
        <v>0</v>
      </c>
      <c r="BG175" s="408">
        <v>2707.0968741538909</v>
      </c>
      <c r="BH175" s="408">
        <v>0</v>
      </c>
      <c r="BI175" s="408">
        <v>0</v>
      </c>
      <c r="BJ175" s="408">
        <v>0</v>
      </c>
      <c r="BK175" s="408">
        <v>27335.69</v>
      </c>
      <c r="BL175" s="408">
        <v>28</v>
      </c>
      <c r="BM175" s="408"/>
      <c r="BN175" s="408"/>
      <c r="BO175" s="408"/>
      <c r="BP175" s="408"/>
      <c r="BQ175" s="408">
        <v>3164.8859945999948</v>
      </c>
      <c r="BR175" s="408"/>
      <c r="BS175" s="408"/>
      <c r="BT175" s="408"/>
      <c r="BU175" s="408"/>
      <c r="BV175" s="408">
        <v>22330.784852163735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49579.946100000001</v>
      </c>
      <c r="CJ175" s="408">
        <v>-22915.705573200001</v>
      </c>
      <c r="CK175" s="408"/>
      <c r="CL175" s="408"/>
      <c r="CM175" s="408"/>
      <c r="CN175" s="408"/>
      <c r="CO175" s="408">
        <v>-24374.901869999998</v>
      </c>
      <c r="CP175" s="408">
        <v>0</v>
      </c>
      <c r="CQ175" s="408">
        <v>31</v>
      </c>
      <c r="CR175" s="408">
        <v>-189.23221774553531</v>
      </c>
      <c r="CS175" s="408">
        <v>0</v>
      </c>
      <c r="CT175" s="408">
        <v>0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-24.694645617748392</v>
      </c>
      <c r="DA175" s="408">
        <v>0</v>
      </c>
      <c r="DB175" s="408">
        <v>0</v>
      </c>
      <c r="DC175" s="408">
        <v>-2.7511159714777023E-6</v>
      </c>
      <c r="DD175" s="408">
        <v>0</v>
      </c>
      <c r="DE175" s="408">
        <v>0</v>
      </c>
      <c r="DF175" s="408">
        <v>0</v>
      </c>
      <c r="DG175" s="408">
        <v>-3.7951576814521104E-7</v>
      </c>
      <c r="DH175" s="408">
        <v>0</v>
      </c>
      <c r="DI175" s="408">
        <v>-139.929453485247</v>
      </c>
      <c r="DJ175" s="408"/>
      <c r="DK175" s="408">
        <v>0</v>
      </c>
      <c r="DL175" s="408">
        <v>0</v>
      </c>
      <c r="DM175" s="408">
        <v>0</v>
      </c>
      <c r="DN175" s="408">
        <v>0</v>
      </c>
      <c r="DO175" s="408">
        <v>-18.687756678286746</v>
      </c>
      <c r="DP175" s="408">
        <v>-5.9203588336289386</v>
      </c>
      <c r="DQ175" s="408">
        <v>0</v>
      </c>
      <c r="DR175" s="408">
        <v>0</v>
      </c>
      <c r="DS175" s="408"/>
      <c r="DT175" s="408"/>
      <c r="DU175" s="408"/>
      <c r="DV175" s="408">
        <v>39445.169473474714</v>
      </c>
      <c r="DW175" s="408">
        <v>0</v>
      </c>
      <c r="DX175" s="408">
        <v>0</v>
      </c>
      <c r="DY175" s="408">
        <v>-24374.901869999994</v>
      </c>
      <c r="DZ175" s="408">
        <v>0</v>
      </c>
      <c r="EA175" s="408">
        <v>0</v>
      </c>
      <c r="EB175" s="408">
        <v>0</v>
      </c>
      <c r="EC175" s="408">
        <v>-24185.613241819563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0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265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182</v>
      </c>
      <c r="B176" s="408" t="s">
        <v>1031</v>
      </c>
      <c r="C176" s="408" t="s">
        <v>2227</v>
      </c>
      <c r="D176" s="408" t="s">
        <v>1952</v>
      </c>
      <c r="E176" s="408" t="s">
        <v>2244</v>
      </c>
      <c r="F176" s="408" t="s">
        <v>1317</v>
      </c>
      <c r="G176" s="408" t="s">
        <v>1317</v>
      </c>
      <c r="H176" s="408" t="s">
        <v>1317</v>
      </c>
      <c r="I176" s="408" t="s">
        <v>1317</v>
      </c>
      <c r="J176" s="408" t="s">
        <v>2228</v>
      </c>
      <c r="K176" s="828">
        <v>44470</v>
      </c>
      <c r="L176" s="408">
        <v>0</v>
      </c>
      <c r="M176" s="408">
        <v>0</v>
      </c>
      <c r="N176" s="408">
        <v>5.7320000000000002</v>
      </c>
      <c r="O176" s="408">
        <v>5.7320000000000002</v>
      </c>
      <c r="P176" s="408">
        <v>5.7320000000000002</v>
      </c>
      <c r="Q176" s="408">
        <v>5.7320000000000002</v>
      </c>
      <c r="R176" s="408"/>
      <c r="S176" s="408">
        <v>739.04</v>
      </c>
      <c r="T176" s="408">
        <v>252.22</v>
      </c>
      <c r="U176" s="408"/>
      <c r="V176" s="408">
        <v>5681.9023200000001</v>
      </c>
      <c r="W176" s="408">
        <v>5681.9023200000001</v>
      </c>
      <c r="X176" s="408">
        <v>3886.1240399999997</v>
      </c>
      <c r="Y176" s="408">
        <v>0</v>
      </c>
      <c r="Z176" s="408">
        <v>354.54229376536375</v>
      </c>
      <c r="AA176" s="408">
        <v>0</v>
      </c>
      <c r="AB176" s="408">
        <v>0</v>
      </c>
      <c r="AC176" s="408">
        <v>0</v>
      </c>
      <c r="AD176" s="408">
        <v>707.88813369721902</v>
      </c>
      <c r="AE176" s="408">
        <v>2906.0538979468283</v>
      </c>
      <c r="AF176" s="408">
        <v>1445.7409031779291</v>
      </c>
      <c r="AG176" s="408">
        <v>0</v>
      </c>
      <c r="AH176" s="408">
        <v>0</v>
      </c>
      <c r="AI176" s="408">
        <v>0</v>
      </c>
      <c r="AJ176" s="408">
        <v>0</v>
      </c>
      <c r="AK176" s="408">
        <v>0</v>
      </c>
      <c r="AL176" s="408">
        <v>54.803819282683818</v>
      </c>
      <c r="AM176" s="408"/>
      <c r="AN176" s="408">
        <v>13.431787226597757</v>
      </c>
      <c r="AO176" s="408">
        <v>0</v>
      </c>
      <c r="AP176" s="408">
        <v>0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199.44062931570895</v>
      </c>
      <c r="BH176" s="408">
        <v>0</v>
      </c>
      <c r="BI176" s="408">
        <v>0</v>
      </c>
      <c r="BJ176" s="408">
        <v>0</v>
      </c>
      <c r="BK176" s="408">
        <v>2014.21</v>
      </c>
      <c r="BL176" s="408">
        <v>11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1645.1815324936381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3884.7681000000002</v>
      </c>
      <c r="CJ176" s="408">
        <v>-1797.1642200000006</v>
      </c>
      <c r="CK176" s="408"/>
      <c r="CL176" s="408"/>
      <c r="CM176" s="408"/>
      <c r="CN176" s="408"/>
      <c r="CO176" s="408">
        <v>-1795.7782799999998</v>
      </c>
      <c r="CP176" s="408">
        <v>0</v>
      </c>
      <c r="CQ176" s="408">
        <v>31</v>
      </c>
      <c r="CR176" s="408">
        <v>-13.9413528028158</v>
      </c>
      <c r="CS176" s="408">
        <v>0</v>
      </c>
      <c r="CT176" s="408">
        <v>0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-1.8193348415991295</v>
      </c>
      <c r="DA176" s="408">
        <v>0</v>
      </c>
      <c r="DB176" s="408">
        <v>0</v>
      </c>
      <c r="DC176" s="408">
        <v>-2.0268362277420238E-7</v>
      </c>
      <c r="DD176" s="408">
        <v>0</v>
      </c>
      <c r="DE176" s="408">
        <v>0</v>
      </c>
      <c r="DF176" s="408">
        <v>0</v>
      </c>
      <c r="DG176" s="408">
        <v>-2.7960140869254246E-8</v>
      </c>
      <c r="DH176" s="408">
        <v>0</v>
      </c>
      <c r="DI176" s="408">
        <v>-10.309057843237838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-1.3767878009837631</v>
      </c>
      <c r="DP176" s="408">
        <v>-0.43617208635092553</v>
      </c>
      <c r="DQ176" s="408">
        <v>0</v>
      </c>
      <c r="DR176" s="408">
        <v>0</v>
      </c>
      <c r="DS176" s="408"/>
      <c r="DT176" s="408"/>
      <c r="DU176" s="408"/>
      <c r="DV176" s="408">
        <v>2906.0538979468283</v>
      </c>
      <c r="DW176" s="408">
        <v>0</v>
      </c>
      <c r="DX176" s="408">
        <v>0</v>
      </c>
      <c r="DY176" s="408">
        <v>-1795.77828</v>
      </c>
      <c r="DZ176" s="408">
        <v>0</v>
      </c>
      <c r="EA176" s="408">
        <v>0</v>
      </c>
      <c r="EB176" s="408">
        <v>0</v>
      </c>
      <c r="EC176" s="408">
        <v>-1781.8327712570176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265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183</v>
      </c>
      <c r="B177" s="408" t="s">
        <v>1031</v>
      </c>
      <c r="C177" s="408" t="s">
        <v>2227</v>
      </c>
      <c r="D177" s="408" t="s">
        <v>2237</v>
      </c>
      <c r="E177" s="408" t="s">
        <v>969</v>
      </c>
      <c r="F177" s="408" t="s">
        <v>2245</v>
      </c>
      <c r="G177" s="408" t="s">
        <v>2246</v>
      </c>
      <c r="H177" s="408" t="s">
        <v>1317</v>
      </c>
      <c r="I177" s="408" t="s">
        <v>1317</v>
      </c>
      <c r="J177" s="408" t="s">
        <v>2228</v>
      </c>
      <c r="K177" s="828">
        <v>44470</v>
      </c>
      <c r="L177" s="408">
        <v>0</v>
      </c>
      <c r="M177" s="408">
        <v>0</v>
      </c>
      <c r="N177" s="408">
        <v>0</v>
      </c>
      <c r="O177" s="408">
        <v>0</v>
      </c>
      <c r="P177" s="408">
        <v>0</v>
      </c>
      <c r="Q177" s="408">
        <v>0</v>
      </c>
      <c r="R177" s="408"/>
      <c r="S177" s="408"/>
      <c r="T177" s="408"/>
      <c r="U177" s="408"/>
      <c r="V177" s="408"/>
      <c r="W177" s="408"/>
      <c r="X177" s="408"/>
      <c r="Y177" s="408"/>
      <c r="Z177" s="408"/>
      <c r="AA177" s="408">
        <v>0</v>
      </c>
      <c r="AB177" s="408"/>
      <c r="AC177" s="408"/>
      <c r="AD177" s="408"/>
      <c r="AE177" s="408"/>
      <c r="AF177" s="408"/>
      <c r="AG177" s="408"/>
      <c r="AH177" s="408"/>
      <c r="AI177" s="408"/>
      <c r="AJ177" s="408"/>
      <c r="AK177" s="408"/>
      <c r="AL177" s="408"/>
      <c r="AM177" s="408"/>
      <c r="AN177" s="408"/>
      <c r="AO177" s="408"/>
      <c r="AP177" s="408"/>
      <c r="AQ177" s="408"/>
      <c r="AR177" s="408"/>
      <c r="AS177" s="408"/>
      <c r="AT177" s="408"/>
      <c r="AU177" s="408"/>
      <c r="AV177" s="408"/>
      <c r="AW177" s="408"/>
      <c r="AX177" s="408"/>
      <c r="AY177" s="408"/>
      <c r="AZ177" s="408">
        <v>0</v>
      </c>
      <c r="BA177" s="408"/>
      <c r="BB177" s="408"/>
      <c r="BC177" s="408"/>
      <c r="BD177" s="408"/>
      <c r="BE177" s="408"/>
      <c r="BF177" s="408"/>
      <c r="BG177" s="408"/>
      <c r="BH177" s="408"/>
      <c r="BI177" s="408">
        <v>0</v>
      </c>
      <c r="BJ177" s="408">
        <v>0</v>
      </c>
      <c r="BK177" s="408">
        <v>268.08</v>
      </c>
      <c r="BL177" s="408">
        <v>25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/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/>
      <c r="CJ177" s="408">
        <v>-0.03</v>
      </c>
      <c r="CK177" s="408"/>
      <c r="CL177" s="408"/>
      <c r="CM177" s="408"/>
      <c r="CN177" s="408"/>
      <c r="CO177" s="408">
        <v>0</v>
      </c>
      <c r="CP177" s="408">
        <v>0</v>
      </c>
      <c r="CQ177" s="408">
        <v>31</v>
      </c>
      <c r="CR177" s="408"/>
      <c r="CS177" s="408"/>
      <c r="CT177" s="408"/>
      <c r="CU177" s="408"/>
      <c r="CV177" s="408"/>
      <c r="CW177" s="408"/>
      <c r="CX177" s="408"/>
      <c r="CY177" s="408"/>
      <c r="CZ177" s="408"/>
      <c r="DA177" s="408"/>
      <c r="DB177" s="408"/>
      <c r="DC177" s="408"/>
      <c r="DD177" s="408"/>
      <c r="DE177" s="408"/>
      <c r="DF177" s="408"/>
      <c r="DG177" s="408"/>
      <c r="DH177" s="408"/>
      <c r="DI177" s="408"/>
      <c r="DJ177" s="408"/>
      <c r="DK177" s="408">
        <v>0</v>
      </c>
      <c r="DL177" s="408"/>
      <c r="DM177" s="408"/>
      <c r="DN177" s="408"/>
      <c r="DO177" s="408"/>
      <c r="DP177" s="408"/>
      <c r="DQ177" s="408"/>
      <c r="DR177" s="408"/>
      <c r="DS177" s="408"/>
      <c r="DT177" s="408"/>
      <c r="DU177" s="408"/>
      <c r="DV177" s="408"/>
      <c r="DW177" s="408"/>
      <c r="DX177" s="408"/>
      <c r="DY177" s="408"/>
      <c r="DZ177" s="408"/>
      <c r="EA177" s="408"/>
      <c r="EB177" s="408"/>
      <c r="EC177" s="408"/>
      <c r="ED177" s="408"/>
      <c r="EE177" s="408"/>
      <c r="EF177" s="408"/>
      <c r="EG177" s="408"/>
      <c r="EH177" s="408"/>
      <c r="EI177" s="408"/>
      <c r="EJ177" s="408"/>
      <c r="EK177" s="408"/>
      <c r="EL177" s="408"/>
      <c r="EM177" s="408"/>
      <c r="EN177" s="408"/>
      <c r="EO177" s="408"/>
      <c r="EP177" s="408"/>
      <c r="EQ177" s="408"/>
      <c r="ER177" s="408"/>
      <c r="ES177" s="408"/>
      <c r="ET177" s="408"/>
      <c r="EU177" s="408"/>
      <c r="EV177" s="408">
        <v>265</v>
      </c>
      <c r="EW177" s="408"/>
      <c r="EX177" s="408"/>
      <c r="EY177" s="408"/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184</v>
      </c>
      <c r="B178" s="408" t="s">
        <v>2230</v>
      </c>
      <c r="C178" s="408" t="s">
        <v>2227</v>
      </c>
      <c r="D178" s="408" t="s">
        <v>2237</v>
      </c>
      <c r="E178" s="408" t="s">
        <v>969</v>
      </c>
      <c r="F178" s="408" t="s">
        <v>2245</v>
      </c>
      <c r="G178" s="408" t="s">
        <v>2246</v>
      </c>
      <c r="H178" s="408" t="s">
        <v>1317</v>
      </c>
      <c r="I178" s="408" t="s">
        <v>1317</v>
      </c>
      <c r="J178" s="408" t="s">
        <v>2228</v>
      </c>
      <c r="K178" s="828">
        <v>44470</v>
      </c>
      <c r="L178" s="408">
        <v>0</v>
      </c>
      <c r="M178" s="408">
        <v>0</v>
      </c>
      <c r="N178" s="408">
        <v>0</v>
      </c>
      <c r="O178" s="408">
        <v>0</v>
      </c>
      <c r="P178" s="408">
        <v>0</v>
      </c>
      <c r="Q178" s="408">
        <v>0</v>
      </c>
      <c r="R178" s="408"/>
      <c r="S178" s="408"/>
      <c r="T178" s="408"/>
      <c r="U178" s="408"/>
      <c r="V178" s="408"/>
      <c r="W178" s="408"/>
      <c r="X178" s="408"/>
      <c r="Y178" s="408"/>
      <c r="Z178" s="408"/>
      <c r="AA178" s="408">
        <v>0</v>
      </c>
      <c r="AB178" s="408"/>
      <c r="AC178" s="408"/>
      <c r="AD178" s="408"/>
      <c r="AE178" s="408"/>
      <c r="AF178" s="408"/>
      <c r="AG178" s="408"/>
      <c r="AH178" s="408"/>
      <c r="AI178" s="408"/>
      <c r="AJ178" s="408"/>
      <c r="AK178" s="408"/>
      <c r="AL178" s="408"/>
      <c r="AM178" s="408"/>
      <c r="AN178" s="408"/>
      <c r="AO178" s="408"/>
      <c r="AP178" s="408"/>
      <c r="AQ178" s="408"/>
      <c r="AR178" s="408"/>
      <c r="AS178" s="408"/>
      <c r="AT178" s="408"/>
      <c r="AU178" s="408"/>
      <c r="AV178" s="408"/>
      <c r="AW178" s="408"/>
      <c r="AX178" s="408"/>
      <c r="AY178" s="408"/>
      <c r="AZ178" s="408">
        <v>0</v>
      </c>
      <c r="BA178" s="408"/>
      <c r="BB178" s="408"/>
      <c r="BC178" s="408"/>
      <c r="BD178" s="408"/>
      <c r="BE178" s="408"/>
      <c r="BF178" s="408"/>
      <c r="BG178" s="408"/>
      <c r="BH178" s="408"/>
      <c r="BI178" s="408">
        <v>0</v>
      </c>
      <c r="BJ178" s="408">
        <v>0</v>
      </c>
      <c r="BK178" s="408">
        <v>22.34</v>
      </c>
      <c r="BL178" s="408">
        <v>2</v>
      </c>
      <c r="BM178" s="408"/>
      <c r="BN178" s="408"/>
      <c r="BO178" s="408"/>
      <c r="BP178" s="408"/>
      <c r="BQ178" s="408"/>
      <c r="BR178" s="408"/>
      <c r="BS178" s="408"/>
      <c r="BT178" s="408"/>
      <c r="BU178" s="408"/>
      <c r="BV178" s="408"/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/>
      <c r="CJ178" s="408">
        <v>-0.03</v>
      </c>
      <c r="CK178" s="408"/>
      <c r="CL178" s="408"/>
      <c r="CM178" s="408"/>
      <c r="CN178" s="408"/>
      <c r="CO178" s="408">
        <v>0</v>
      </c>
      <c r="CP178" s="408">
        <v>0</v>
      </c>
      <c r="CQ178" s="408">
        <v>31</v>
      </c>
      <c r="CR178" s="408"/>
      <c r="CS178" s="408"/>
      <c r="CT178" s="408"/>
      <c r="CU178" s="408"/>
      <c r="CV178" s="408"/>
      <c r="CW178" s="408"/>
      <c r="CX178" s="408"/>
      <c r="CY178" s="408"/>
      <c r="CZ178" s="408"/>
      <c r="DA178" s="408"/>
      <c r="DB178" s="408"/>
      <c r="DC178" s="408"/>
      <c r="DD178" s="408"/>
      <c r="DE178" s="408"/>
      <c r="DF178" s="408"/>
      <c r="DG178" s="408"/>
      <c r="DH178" s="408"/>
      <c r="DI178" s="408"/>
      <c r="DJ178" s="408"/>
      <c r="DK178" s="408">
        <v>0</v>
      </c>
      <c r="DL178" s="408"/>
      <c r="DM178" s="408"/>
      <c r="DN178" s="408"/>
      <c r="DO178" s="408"/>
      <c r="DP178" s="408"/>
      <c r="DQ178" s="408"/>
      <c r="DR178" s="408"/>
      <c r="DS178" s="408"/>
      <c r="DT178" s="408"/>
      <c r="DU178" s="408"/>
      <c r="DV178" s="408"/>
      <c r="DW178" s="408"/>
      <c r="DX178" s="408"/>
      <c r="DY178" s="408"/>
      <c r="DZ178" s="408"/>
      <c r="EA178" s="408"/>
      <c r="EB178" s="408"/>
      <c r="EC178" s="408"/>
      <c r="ED178" s="408"/>
      <c r="EE178" s="408"/>
      <c r="EF178" s="408"/>
      <c r="EG178" s="408"/>
      <c r="EH178" s="408"/>
      <c r="EI178" s="408"/>
      <c r="EJ178" s="408"/>
      <c r="EK178" s="408"/>
      <c r="EL178" s="408"/>
      <c r="EM178" s="408"/>
      <c r="EN178" s="408"/>
      <c r="EO178" s="408"/>
      <c r="EP178" s="408"/>
      <c r="EQ178" s="408"/>
      <c r="ER178" s="408"/>
      <c r="ES178" s="408"/>
      <c r="ET178" s="408"/>
      <c r="EU178" s="408"/>
      <c r="EV178" s="408">
        <v>265</v>
      </c>
      <c r="EW178" s="408"/>
      <c r="EX178" s="408"/>
      <c r="EY178" s="408"/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185</v>
      </c>
      <c r="B179" s="408" t="s">
        <v>1031</v>
      </c>
      <c r="C179" s="408" t="s">
        <v>2227</v>
      </c>
      <c r="D179" s="408" t="s">
        <v>2237</v>
      </c>
      <c r="E179" s="408" t="s">
        <v>969</v>
      </c>
      <c r="F179" s="408" t="s">
        <v>2245</v>
      </c>
      <c r="G179" s="408" t="s">
        <v>2246</v>
      </c>
      <c r="H179" s="408" t="s">
        <v>1317</v>
      </c>
      <c r="I179" s="408" t="s">
        <v>1317</v>
      </c>
      <c r="J179" s="408" t="s">
        <v>2228</v>
      </c>
      <c r="K179" s="828">
        <v>44470</v>
      </c>
      <c r="L179" s="408">
        <v>0</v>
      </c>
      <c r="M179" s="408">
        <v>0</v>
      </c>
      <c r="N179" s="408">
        <v>11.356999999999999</v>
      </c>
      <c r="O179" s="408">
        <v>11.356999999999999</v>
      </c>
      <c r="P179" s="408">
        <v>11.356999999999999</v>
      </c>
      <c r="Q179" s="408">
        <v>11.356999999999999</v>
      </c>
      <c r="R179" s="408"/>
      <c r="S179" s="408">
        <v>739.04</v>
      </c>
      <c r="T179" s="408">
        <v>252.22</v>
      </c>
      <c r="U179" s="408"/>
      <c r="V179" s="408">
        <v>11257.739819999999</v>
      </c>
      <c r="W179" s="408">
        <v>11257.739819999999</v>
      </c>
      <c r="X179" s="408">
        <v>7699.7052899999999</v>
      </c>
      <c r="Y179" s="408">
        <v>0</v>
      </c>
      <c r="Z179" s="408">
        <v>702.46629977202304</v>
      </c>
      <c r="AA179" s="408">
        <v>0</v>
      </c>
      <c r="AB179" s="408">
        <v>0</v>
      </c>
      <c r="AC179" s="408">
        <v>0</v>
      </c>
      <c r="AD179" s="408">
        <v>1402.5620262385407</v>
      </c>
      <c r="AE179" s="408">
        <v>5757.8601044979287</v>
      </c>
      <c r="AF179" s="408">
        <v>2864.4939702358233</v>
      </c>
      <c r="AG179" s="408">
        <v>0</v>
      </c>
      <c r="AH179" s="408">
        <v>0</v>
      </c>
      <c r="AI179" s="408">
        <v>0</v>
      </c>
      <c r="AJ179" s="408">
        <v>0</v>
      </c>
      <c r="AK179" s="408">
        <v>0</v>
      </c>
      <c r="AL179" s="408">
        <v>108.58460844267971</v>
      </c>
      <c r="AM179" s="408"/>
      <c r="AN179" s="408">
        <v>26.612841509502918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395.15827409953005</v>
      </c>
      <c r="BH179" s="408">
        <v>0</v>
      </c>
      <c r="BI179" s="408">
        <v>0</v>
      </c>
      <c r="BJ179" s="408">
        <v>0</v>
      </c>
      <c r="BK179" s="408">
        <v>0</v>
      </c>
      <c r="BL179" s="408">
        <v>0</v>
      </c>
      <c r="BM179" s="408"/>
      <c r="BN179" s="408"/>
      <c r="BO179" s="408"/>
      <c r="BP179" s="408"/>
      <c r="BQ179" s="408"/>
      <c r="BR179" s="408">
        <v>923.89194999999961</v>
      </c>
      <c r="BS179" s="408"/>
      <c r="BT179" s="408"/>
      <c r="BU179" s="408"/>
      <c r="BV179" s="408">
        <v>3259.6522443353533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6777.6031999999996</v>
      </c>
      <c r="CJ179" s="408">
        <v>-3129.2514700000011</v>
      </c>
      <c r="CK179" s="408"/>
      <c r="CL179" s="408"/>
      <c r="CM179" s="408"/>
      <c r="CN179" s="408"/>
      <c r="CO179" s="408">
        <v>-3558.0345299999994</v>
      </c>
      <c r="CP179" s="408">
        <v>0</v>
      </c>
      <c r="CQ179" s="408">
        <v>31</v>
      </c>
      <c r="CR179" s="408">
        <v>-27.622460534118545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-3.6047079197560379</v>
      </c>
      <c r="DA179" s="408">
        <v>0</v>
      </c>
      <c r="DB179" s="408">
        <v>0</v>
      </c>
      <c r="DC179" s="408">
        <v>-4.0158374758902937E-7</v>
      </c>
      <c r="DD179" s="408">
        <v>0</v>
      </c>
      <c r="DE179" s="408">
        <v>0</v>
      </c>
      <c r="DF179" s="408">
        <v>0</v>
      </c>
      <c r="DG179" s="408">
        <v>-5.5398345466528554E-8</v>
      </c>
      <c r="DH179" s="408">
        <v>0</v>
      </c>
      <c r="DI179" s="408">
        <v>-20.425675144042657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-2.7278749225004475</v>
      </c>
      <c r="DP179" s="408">
        <v>-0.86420209083870603</v>
      </c>
      <c r="DQ179" s="408">
        <v>0</v>
      </c>
      <c r="DR179" s="408">
        <v>0</v>
      </c>
      <c r="DS179" s="408"/>
      <c r="DT179" s="408"/>
      <c r="DU179" s="408"/>
      <c r="DV179" s="408">
        <v>5757.8601044979287</v>
      </c>
      <c r="DW179" s="408">
        <v>0</v>
      </c>
      <c r="DX179" s="408">
        <v>0</v>
      </c>
      <c r="DY179" s="408">
        <v>-3558.034529999999</v>
      </c>
      <c r="DZ179" s="408">
        <v>0</v>
      </c>
      <c r="EA179" s="408">
        <v>0</v>
      </c>
      <c r="EB179" s="408">
        <v>0</v>
      </c>
      <c r="EC179" s="408">
        <v>-3530.4038351650292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265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186</v>
      </c>
      <c r="B180" s="408" t="s">
        <v>2230</v>
      </c>
      <c r="C180" s="408" t="s">
        <v>2227</v>
      </c>
      <c r="D180" s="408" t="s">
        <v>2237</v>
      </c>
      <c r="E180" s="408" t="s">
        <v>969</v>
      </c>
      <c r="F180" s="408" t="s">
        <v>2245</v>
      </c>
      <c r="G180" s="408" t="s">
        <v>2246</v>
      </c>
      <c r="H180" s="408" t="s">
        <v>1317</v>
      </c>
      <c r="I180" s="408" t="s">
        <v>1317</v>
      </c>
      <c r="J180" s="408" t="s">
        <v>2228</v>
      </c>
      <c r="K180" s="828">
        <v>44470</v>
      </c>
      <c r="L180" s="408">
        <v>0</v>
      </c>
      <c r="M180" s="408">
        <v>0</v>
      </c>
      <c r="N180" s="408">
        <v>0.19</v>
      </c>
      <c r="O180" s="408">
        <v>0.19</v>
      </c>
      <c r="P180" s="408">
        <v>0.19</v>
      </c>
      <c r="Q180" s="408">
        <v>0.19</v>
      </c>
      <c r="R180" s="408"/>
      <c r="S180" s="408">
        <v>739.04</v>
      </c>
      <c r="T180" s="408">
        <v>252.22</v>
      </c>
      <c r="U180" s="408"/>
      <c r="V180" s="408">
        <v>188.33939999999998</v>
      </c>
      <c r="W180" s="408">
        <v>188.33939999999998</v>
      </c>
      <c r="X180" s="408">
        <v>128.8143</v>
      </c>
      <c r="Y180" s="408">
        <v>0</v>
      </c>
      <c r="Z180" s="408">
        <v>11.752099758447159</v>
      </c>
      <c r="AA180" s="408">
        <v>0</v>
      </c>
      <c r="AB180" s="408">
        <v>0</v>
      </c>
      <c r="AC180" s="408">
        <v>0</v>
      </c>
      <c r="AD180" s="408">
        <v>23.464540370284649</v>
      </c>
      <c r="AE180" s="408">
        <v>96.327676310170517</v>
      </c>
      <c r="AF180" s="408">
        <v>47.922325820622213</v>
      </c>
      <c r="AG180" s="408">
        <v>0</v>
      </c>
      <c r="AH180" s="408">
        <v>0</v>
      </c>
      <c r="AI180" s="408">
        <v>0</v>
      </c>
      <c r="AJ180" s="408">
        <v>0</v>
      </c>
      <c r="AK180" s="408">
        <v>0</v>
      </c>
      <c r="AL180" s="408">
        <v>1.8165955449598614</v>
      </c>
      <c r="AM180" s="408"/>
      <c r="AN180" s="408">
        <v>0.44522672244479655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6.6109071126979586</v>
      </c>
      <c r="BH180" s="408">
        <v>0</v>
      </c>
      <c r="BI180" s="408">
        <v>0</v>
      </c>
      <c r="BJ180" s="408">
        <v>0</v>
      </c>
      <c r="BK180" s="408">
        <v>0</v>
      </c>
      <c r="BL180" s="408">
        <v>0</v>
      </c>
      <c r="BM180" s="408"/>
      <c r="BN180" s="408"/>
      <c r="BO180" s="408"/>
      <c r="BP180" s="408"/>
      <c r="BQ180" s="408"/>
      <c r="BR180" s="408">
        <v>15.456499999999995</v>
      </c>
      <c r="BS180" s="408"/>
      <c r="BT180" s="408"/>
      <c r="BU180" s="408"/>
      <c r="BV180" s="408">
        <v>54.533232933320171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113.3578</v>
      </c>
      <c r="CJ180" s="408">
        <v>-52.411100000000005</v>
      </c>
      <c r="CK180" s="408"/>
      <c r="CL180" s="408"/>
      <c r="CM180" s="408"/>
      <c r="CN180" s="408"/>
      <c r="CO180" s="408">
        <v>-59.525099999999995</v>
      </c>
      <c r="CP180" s="408">
        <v>0</v>
      </c>
      <c r="CQ180" s="408">
        <v>31</v>
      </c>
      <c r="CR180" s="408">
        <v>-0.46211741670185802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-6.0305935084411288E-2</v>
      </c>
      <c r="DA180" s="408">
        <v>0</v>
      </c>
      <c r="DB180" s="408">
        <v>0</v>
      </c>
      <c r="DC180" s="408">
        <v>-6.7184018348598329E-9</v>
      </c>
      <c r="DD180" s="408">
        <v>0</v>
      </c>
      <c r="DE180" s="408">
        <v>0</v>
      </c>
      <c r="DF180" s="408">
        <v>0</v>
      </c>
      <c r="DG180" s="408">
        <v>-9.2680174645920488E-10</v>
      </c>
      <c r="DH180" s="408">
        <v>0</v>
      </c>
      <c r="DI180" s="408">
        <v>-0.34171685104940686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-4.5636720549008247E-2</v>
      </c>
      <c r="DP180" s="408">
        <v>-1.445790237380945E-2</v>
      </c>
      <c r="DQ180" s="408">
        <v>0</v>
      </c>
      <c r="DR180" s="408">
        <v>0</v>
      </c>
      <c r="DS180" s="408"/>
      <c r="DT180" s="408"/>
      <c r="DU180" s="408"/>
      <c r="DV180" s="408">
        <v>96.327676310170517</v>
      </c>
      <c r="DW180" s="408">
        <v>0</v>
      </c>
      <c r="DX180" s="408">
        <v>0</v>
      </c>
      <c r="DY180" s="408">
        <v>-59.525099999999995</v>
      </c>
      <c r="DZ180" s="408">
        <v>0</v>
      </c>
      <c r="EA180" s="408">
        <v>0</v>
      </c>
      <c r="EB180" s="408">
        <v>0</v>
      </c>
      <c r="EC180" s="408">
        <v>-59.062844825337294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265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187</v>
      </c>
      <c r="B181" s="408" t="s">
        <v>1031</v>
      </c>
      <c r="C181" s="408" t="s">
        <v>2227</v>
      </c>
      <c r="D181" s="408" t="s">
        <v>2237</v>
      </c>
      <c r="E181" s="408" t="s">
        <v>969</v>
      </c>
      <c r="F181" s="408" t="s">
        <v>2245</v>
      </c>
      <c r="G181" s="408" t="s">
        <v>2247</v>
      </c>
      <c r="H181" s="408" t="s">
        <v>1317</v>
      </c>
      <c r="I181" s="408" t="s">
        <v>1317</v>
      </c>
      <c r="J181" s="408" t="s">
        <v>2228</v>
      </c>
      <c r="K181" s="828">
        <v>44470</v>
      </c>
      <c r="L181" s="408">
        <v>0</v>
      </c>
      <c r="M181" s="408">
        <v>0</v>
      </c>
      <c r="N181" s="408">
        <v>19.593</v>
      </c>
      <c r="O181" s="408">
        <v>7.8372000000000002</v>
      </c>
      <c r="P181" s="408">
        <v>19.593</v>
      </c>
      <c r="Q181" s="408">
        <v>7.8372000000000002</v>
      </c>
      <c r="R181" s="408"/>
      <c r="S181" s="408">
        <v>739.04</v>
      </c>
      <c r="T181" s="408">
        <v>252.22</v>
      </c>
      <c r="U181" s="408"/>
      <c r="V181" s="408">
        <v>19421.757180000001</v>
      </c>
      <c r="W181" s="408">
        <v>19421.757180000001</v>
      </c>
      <c r="X181" s="408">
        <v>13283.466210000001</v>
      </c>
      <c r="Y181" s="408">
        <v>0</v>
      </c>
      <c r="Z181" s="408">
        <v>1211.8888977223958</v>
      </c>
      <c r="AA181" s="408">
        <v>0</v>
      </c>
      <c r="AB181" s="408">
        <v>0</v>
      </c>
      <c r="AC181" s="408">
        <v>0</v>
      </c>
      <c r="AD181" s="408">
        <v>2419.688102499932</v>
      </c>
      <c r="AE181" s="408">
        <v>9933.4113786587932</v>
      </c>
      <c r="AF181" s="408">
        <v>4941.8006831760576</v>
      </c>
      <c r="AG181" s="408">
        <v>0</v>
      </c>
      <c r="AH181" s="408">
        <v>0</v>
      </c>
      <c r="AI181" s="408">
        <v>0</v>
      </c>
      <c r="AJ181" s="408">
        <v>0</v>
      </c>
      <c r="AK181" s="408">
        <v>0</v>
      </c>
      <c r="AL181" s="408">
        <v>187.32924480209772</v>
      </c>
      <c r="AM181" s="408"/>
      <c r="AN181" s="408">
        <v>45.912248278215259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681.72370031100581</v>
      </c>
      <c r="BH181" s="408">
        <v>0</v>
      </c>
      <c r="BI181" s="408">
        <v>0</v>
      </c>
      <c r="BJ181" s="408">
        <v>0</v>
      </c>
      <c r="BK181" s="408">
        <v>0</v>
      </c>
      <c r="BL181" s="408">
        <v>0</v>
      </c>
      <c r="BM181" s="408"/>
      <c r="BN181" s="408"/>
      <c r="BO181" s="408"/>
      <c r="BP181" s="408"/>
      <c r="BQ181" s="408"/>
      <c r="BR181" s="408"/>
      <c r="BS181" s="408">
        <v>8607.6359459999985</v>
      </c>
      <c r="BT181" s="408"/>
      <c r="BU181" s="408"/>
      <c r="BV181" s="408">
        <v>5623.5243834870635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4677.5007999999998</v>
      </c>
      <c r="CJ181" s="408">
        <v>-2158.9971320000013</v>
      </c>
      <c r="CK181" s="408"/>
      <c r="CL181" s="408"/>
      <c r="CM181" s="408"/>
      <c r="CN181" s="408"/>
      <c r="CO181" s="408">
        <v>-6138.2909699999991</v>
      </c>
      <c r="CP181" s="408">
        <v>0</v>
      </c>
      <c r="CQ181" s="408">
        <v>31</v>
      </c>
      <c r="CR181" s="408">
        <v>-47.654034449680694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-6.2188115058356743</v>
      </c>
      <c r="DA181" s="408">
        <v>0</v>
      </c>
      <c r="DB181" s="408">
        <v>0</v>
      </c>
      <c r="DC181" s="408">
        <v>-6.9280849857022986E-7</v>
      </c>
      <c r="DD181" s="408">
        <v>0</v>
      </c>
      <c r="DE181" s="408">
        <v>0</v>
      </c>
      <c r="DF181" s="408">
        <v>0</v>
      </c>
      <c r="DG181" s="408">
        <v>-9.5572772806917783E-8</v>
      </c>
      <c r="DH181" s="408">
        <v>0</v>
      </c>
      <c r="DI181" s="408">
        <v>-35.238201382163425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-4.7061066616669507</v>
      </c>
      <c r="DP181" s="408">
        <v>-1.4909141116318381</v>
      </c>
      <c r="DQ181" s="408">
        <v>0</v>
      </c>
      <c r="DR181" s="408">
        <v>0</v>
      </c>
      <c r="DS181" s="408"/>
      <c r="DT181" s="408"/>
      <c r="DU181" s="408"/>
      <c r="DV181" s="408">
        <v>9933.4113786587932</v>
      </c>
      <c r="DW181" s="408">
        <v>0</v>
      </c>
      <c r="DX181" s="408">
        <v>0</v>
      </c>
      <c r="DY181" s="408">
        <v>-6138.2909699999982</v>
      </c>
      <c r="DZ181" s="408">
        <v>0</v>
      </c>
      <c r="EA181" s="408">
        <v>0</v>
      </c>
      <c r="EB181" s="408">
        <v>0</v>
      </c>
      <c r="EC181" s="408">
        <v>-6090.6227298043868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265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188</v>
      </c>
      <c r="B182" s="408" t="s">
        <v>2230</v>
      </c>
      <c r="C182" s="408" t="s">
        <v>2227</v>
      </c>
      <c r="D182" s="408" t="s">
        <v>2237</v>
      </c>
      <c r="E182" s="408" t="s">
        <v>969</v>
      </c>
      <c r="F182" s="408" t="s">
        <v>2245</v>
      </c>
      <c r="G182" s="408" t="s">
        <v>2247</v>
      </c>
      <c r="H182" s="408" t="s">
        <v>1317</v>
      </c>
      <c r="I182" s="408" t="s">
        <v>1317</v>
      </c>
      <c r="J182" s="408" t="s">
        <v>2228</v>
      </c>
      <c r="K182" s="828">
        <v>44470</v>
      </c>
      <c r="L182" s="408">
        <v>0</v>
      </c>
      <c r="M182" s="408">
        <v>0</v>
      </c>
      <c r="N182" s="408">
        <v>0.01</v>
      </c>
      <c r="O182" s="408">
        <v>0.01</v>
      </c>
      <c r="P182" s="408">
        <v>0.01</v>
      </c>
      <c r="Q182" s="408">
        <v>0.01</v>
      </c>
      <c r="R182" s="408"/>
      <c r="S182" s="408">
        <v>739.04</v>
      </c>
      <c r="T182" s="408">
        <v>252.22</v>
      </c>
      <c r="U182" s="408"/>
      <c r="V182" s="408">
        <v>9.9125999999999994</v>
      </c>
      <c r="W182" s="408">
        <v>9.9125999999999994</v>
      </c>
      <c r="X182" s="408">
        <v>6.7797000000000001</v>
      </c>
      <c r="Y182" s="408">
        <v>0</v>
      </c>
      <c r="Z182" s="408">
        <v>0.61853156623406103</v>
      </c>
      <c r="AA182" s="408">
        <v>0</v>
      </c>
      <c r="AB182" s="408">
        <v>0</v>
      </c>
      <c r="AC182" s="408">
        <v>0</v>
      </c>
      <c r="AD182" s="408">
        <v>1.2349758089623499</v>
      </c>
      <c r="AE182" s="408">
        <v>5.0698777005352902</v>
      </c>
      <c r="AF182" s="408">
        <v>2.52222767476959</v>
      </c>
      <c r="AG182" s="408">
        <v>0</v>
      </c>
      <c r="AH182" s="408">
        <v>0</v>
      </c>
      <c r="AI182" s="408">
        <v>0</v>
      </c>
      <c r="AJ182" s="408">
        <v>0</v>
      </c>
      <c r="AK182" s="408">
        <v>0</v>
      </c>
      <c r="AL182" s="408">
        <v>9.56102918399927E-2</v>
      </c>
      <c r="AM182" s="408"/>
      <c r="AN182" s="408">
        <v>2.3432985391831397E-2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0.34794247961568203</v>
      </c>
      <c r="BH182" s="408">
        <v>0</v>
      </c>
      <c r="BI182" s="408">
        <v>0</v>
      </c>
      <c r="BJ182" s="408">
        <v>0</v>
      </c>
      <c r="BK182" s="408">
        <v>0</v>
      </c>
      <c r="BL182" s="408">
        <v>0</v>
      </c>
      <c r="BM182" s="408"/>
      <c r="BN182" s="408"/>
      <c r="BO182" s="408"/>
      <c r="BP182" s="408"/>
      <c r="BQ182" s="408"/>
      <c r="BR182" s="408">
        <v>0.81349999999999967</v>
      </c>
      <c r="BS182" s="408"/>
      <c r="BT182" s="408"/>
      <c r="BU182" s="408"/>
      <c r="BV182" s="408">
        <v>2.870170154385272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5.9662000000000006</v>
      </c>
      <c r="CJ182" s="408">
        <v>-2.7868999999999993</v>
      </c>
      <c r="CK182" s="408"/>
      <c r="CL182" s="408"/>
      <c r="CM182" s="408"/>
      <c r="CN182" s="408"/>
      <c r="CO182" s="408">
        <v>-3.1328999999999998</v>
      </c>
      <c r="CP182" s="408">
        <v>0</v>
      </c>
      <c r="CQ182" s="408">
        <v>31</v>
      </c>
      <c r="CR182" s="408">
        <v>-2.4321969300096669E-2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-3.1739965833899042E-3</v>
      </c>
      <c r="DA182" s="408">
        <v>0</v>
      </c>
      <c r="DB182" s="408">
        <v>0</v>
      </c>
      <c r="DC182" s="408">
        <v>-3.5359981609417446E-10</v>
      </c>
      <c r="DD182" s="408">
        <v>0</v>
      </c>
      <c r="DE182" s="408">
        <v>0</v>
      </c>
      <c r="DF182" s="408">
        <v>0</v>
      </c>
      <c r="DG182" s="408">
        <v>-4.8779036365687034E-11</v>
      </c>
      <c r="DH182" s="408">
        <v>0</v>
      </c>
      <c r="DI182" s="408">
        <v>-1.7985097423652951E-2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-2.4019326604741015E-3</v>
      </c>
      <c r="DP182" s="408">
        <v>-7.6094223020049812E-4</v>
      </c>
      <c r="DQ182" s="408">
        <v>0</v>
      </c>
      <c r="DR182" s="408">
        <v>0</v>
      </c>
      <c r="DS182" s="408"/>
      <c r="DT182" s="408"/>
      <c r="DU182" s="408"/>
      <c r="DV182" s="408">
        <v>5.0698777005352902</v>
      </c>
      <c r="DW182" s="408">
        <v>0</v>
      </c>
      <c r="DX182" s="408">
        <v>0</v>
      </c>
      <c r="DY182" s="408">
        <v>-3.1328999999999994</v>
      </c>
      <c r="DZ182" s="408">
        <v>0</v>
      </c>
      <c r="EA182" s="408">
        <v>0</v>
      </c>
      <c r="EB182" s="408">
        <v>0</v>
      </c>
      <c r="EC182" s="408">
        <v>-3.1085707802809104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265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189</v>
      </c>
      <c r="B183" s="408" t="s">
        <v>1031</v>
      </c>
      <c r="C183" s="408" t="s">
        <v>2235</v>
      </c>
      <c r="D183" s="408" t="s">
        <v>596</v>
      </c>
      <c r="E183" s="408" t="s">
        <v>969</v>
      </c>
      <c r="F183" s="408" t="s">
        <v>2245</v>
      </c>
      <c r="G183" s="408" t="s">
        <v>1317</v>
      </c>
      <c r="H183" s="408" t="s">
        <v>1317</v>
      </c>
      <c r="I183" s="408" t="s">
        <v>968</v>
      </c>
      <c r="J183" s="408" t="s">
        <v>2228</v>
      </c>
      <c r="K183" s="828">
        <v>44470</v>
      </c>
      <c r="L183" s="408">
        <v>0</v>
      </c>
      <c r="M183" s="408">
        <v>0</v>
      </c>
      <c r="N183" s="408">
        <v>5.0190000000000001</v>
      </c>
      <c r="O183" s="408">
        <v>4.8182400000000003</v>
      </c>
      <c r="P183" s="408">
        <v>5.0190000000000001</v>
      </c>
      <c r="Q183" s="408">
        <v>4.8182400000000003</v>
      </c>
      <c r="R183" s="408"/>
      <c r="S183" s="408">
        <v>2641.06</v>
      </c>
      <c r="T183" s="408">
        <v>252.22</v>
      </c>
      <c r="U183" s="408"/>
      <c r="V183" s="408">
        <v>14521.37232</v>
      </c>
      <c r="W183" s="408">
        <v>14521.37232</v>
      </c>
      <c r="X183" s="408">
        <v>8619.329459999999</v>
      </c>
      <c r="Y183" s="408">
        <v>0</v>
      </c>
      <c r="Z183" s="408">
        <v>270.08366399080143</v>
      </c>
      <c r="AA183" s="408">
        <v>0</v>
      </c>
      <c r="AB183" s="408">
        <v>0</v>
      </c>
      <c r="AC183" s="408">
        <v>0</v>
      </c>
      <c r="AD183" s="408">
        <v>3251.1425255164304</v>
      </c>
      <c r="AE183" s="408">
        <v>9596.7814199745044</v>
      </c>
      <c r="AF183" s="408">
        <v>1265.9060699668573</v>
      </c>
      <c r="AG183" s="408">
        <v>0</v>
      </c>
      <c r="AH183" s="408">
        <v>0</v>
      </c>
      <c r="AI183" s="408">
        <v>0</v>
      </c>
      <c r="AJ183" s="408">
        <v>0</v>
      </c>
      <c r="AK183" s="408">
        <v>0</v>
      </c>
      <c r="AL183" s="408">
        <v>47.986805474492343</v>
      </c>
      <c r="AM183" s="408"/>
      <c r="AN183" s="408">
        <v>12.07524290480989</v>
      </c>
      <c r="AO183" s="408">
        <v>0</v>
      </c>
      <c r="AP183" s="408">
        <v>0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77.407240346362315</v>
      </c>
      <c r="BH183" s="408">
        <v>0</v>
      </c>
      <c r="BI183" s="408">
        <v>0</v>
      </c>
      <c r="BJ183" s="408">
        <v>0</v>
      </c>
      <c r="BK183" s="408">
        <v>0</v>
      </c>
      <c r="BL183" s="408">
        <v>0</v>
      </c>
      <c r="BM183" s="408"/>
      <c r="BN183" s="408"/>
      <c r="BO183" s="408"/>
      <c r="BP183" s="408"/>
      <c r="BQ183" s="408"/>
      <c r="BR183" s="408">
        <v>344.77317839999967</v>
      </c>
      <c r="BS183" s="408"/>
      <c r="BT183" s="408"/>
      <c r="BU183" s="408"/>
      <c r="BV183" s="408">
        <v>1343.3133103132197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8277.5787999999993</v>
      </c>
      <c r="CJ183" s="408">
        <v>-5662.9686272000017</v>
      </c>
      <c r="CK183" s="408"/>
      <c r="CL183" s="408"/>
      <c r="CM183" s="408"/>
      <c r="CN183" s="408"/>
      <c r="CO183" s="408">
        <v>-5902.0428600000005</v>
      </c>
      <c r="CP183" s="408">
        <v>0</v>
      </c>
      <c r="CQ183" s="408">
        <v>31</v>
      </c>
      <c r="CR183" s="408">
        <v>-17.806620383391419</v>
      </c>
      <c r="CS183" s="408">
        <v>0</v>
      </c>
      <c r="CT183" s="408">
        <v>0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-8.3557225924814702</v>
      </c>
      <c r="DA183" s="408">
        <v>0</v>
      </c>
      <c r="DB183" s="408">
        <v>0</v>
      </c>
      <c r="DC183" s="408">
        <v>-1.7747197489370592E-7</v>
      </c>
      <c r="DD183" s="408">
        <v>0</v>
      </c>
      <c r="DE183" s="408">
        <v>0</v>
      </c>
      <c r="DF183" s="408">
        <v>0</v>
      </c>
      <c r="DG183" s="408">
        <v>-1.085209078155458E-8</v>
      </c>
      <c r="DH183" s="408">
        <v>0</v>
      </c>
      <c r="DI183" s="408">
        <v>-7.8532467453302957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-1.2055300022919582</v>
      </c>
      <c r="DP183" s="408">
        <v>-0.3921208549638191</v>
      </c>
      <c r="DQ183" s="408">
        <v>0</v>
      </c>
      <c r="DR183" s="408">
        <v>0</v>
      </c>
      <c r="DS183" s="408"/>
      <c r="DT183" s="408"/>
      <c r="DU183" s="408"/>
      <c r="DV183" s="408">
        <v>9596.7814199745044</v>
      </c>
      <c r="DW183" s="408">
        <v>0</v>
      </c>
      <c r="DX183" s="408">
        <v>0</v>
      </c>
      <c r="DY183" s="408">
        <v>-5902.0428600000005</v>
      </c>
      <c r="DZ183" s="408">
        <v>0</v>
      </c>
      <c r="EA183" s="408">
        <v>0</v>
      </c>
      <c r="EB183" s="408">
        <v>0</v>
      </c>
      <c r="EC183" s="408">
        <v>-5884.219712780392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265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190</v>
      </c>
      <c r="B184" s="408" t="s">
        <v>1031</v>
      </c>
      <c r="C184" s="408" t="s">
        <v>2235</v>
      </c>
      <c r="D184" s="408" t="s">
        <v>596</v>
      </c>
      <c r="E184" s="408" t="s">
        <v>969</v>
      </c>
      <c r="F184" s="408" t="s">
        <v>2245</v>
      </c>
      <c r="G184" s="408" t="s">
        <v>1317</v>
      </c>
      <c r="H184" s="408" t="s">
        <v>1317</v>
      </c>
      <c r="I184" s="408" t="s">
        <v>2236</v>
      </c>
      <c r="J184" s="408" t="s">
        <v>2228</v>
      </c>
      <c r="K184" s="828">
        <v>44470</v>
      </c>
      <c r="L184" s="408">
        <v>0</v>
      </c>
      <c r="M184" s="408">
        <v>0</v>
      </c>
      <c r="N184" s="408">
        <v>47.811999999999998</v>
      </c>
      <c r="O184" s="408">
        <v>45.899520000000003</v>
      </c>
      <c r="P184" s="408">
        <v>47.811999999999998</v>
      </c>
      <c r="Q184" s="408">
        <v>45.899520000000003</v>
      </c>
      <c r="R184" s="408"/>
      <c r="S184" s="408">
        <v>81.2</v>
      </c>
      <c r="T184" s="408">
        <v>252.22</v>
      </c>
      <c r="U184" s="408"/>
      <c r="V184" s="408">
        <v>15941.47704</v>
      </c>
      <c r="W184" s="408">
        <v>15941.47704</v>
      </c>
      <c r="X184" s="408">
        <v>15851.590479999999</v>
      </c>
      <c r="Y184" s="408">
        <v>0</v>
      </c>
      <c r="Z184" s="408">
        <v>2572.8711182961142</v>
      </c>
      <c r="AA184" s="408">
        <v>0</v>
      </c>
      <c r="AB184" s="408">
        <v>0</v>
      </c>
      <c r="AC184" s="408">
        <v>0</v>
      </c>
      <c r="AD184" s="408">
        <v>0</v>
      </c>
      <c r="AE184" s="408">
        <v>0</v>
      </c>
      <c r="AF184" s="408">
        <v>12059.274958608363</v>
      </c>
      <c r="AG184" s="408">
        <v>0</v>
      </c>
      <c r="AH184" s="408">
        <v>0</v>
      </c>
      <c r="AI184" s="408">
        <v>0</v>
      </c>
      <c r="AJ184" s="408">
        <v>0</v>
      </c>
      <c r="AK184" s="408">
        <v>0</v>
      </c>
      <c r="AL184" s="408">
        <v>457.13192734537307</v>
      </c>
      <c r="AM184" s="408"/>
      <c r="AN184" s="408">
        <v>115.03118425279347</v>
      </c>
      <c r="AO184" s="408">
        <v>0</v>
      </c>
      <c r="AP184" s="408">
        <v>0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737.39688691776735</v>
      </c>
      <c r="BH184" s="408">
        <v>0</v>
      </c>
      <c r="BI184" s="408">
        <v>0</v>
      </c>
      <c r="BJ184" s="408">
        <v>0</v>
      </c>
      <c r="BK184" s="408">
        <v>0</v>
      </c>
      <c r="BL184" s="408">
        <v>0</v>
      </c>
      <c r="BM184" s="408"/>
      <c r="BN184" s="408"/>
      <c r="BO184" s="408"/>
      <c r="BP184" s="408"/>
      <c r="BQ184" s="408"/>
      <c r="BR184" s="408">
        <v>634.06361919999836</v>
      </c>
      <c r="BS184" s="408"/>
      <c r="BT184" s="408"/>
      <c r="BU184" s="408"/>
      <c r="BV184" s="408">
        <v>12796.671845526131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15217.685999999998</v>
      </c>
      <c r="CJ184" s="408">
        <v>-86.161958400003641</v>
      </c>
      <c r="CK184" s="408"/>
      <c r="CL184" s="408"/>
      <c r="CM184" s="408"/>
      <c r="CN184" s="408"/>
      <c r="CO184" s="408">
        <v>-89.886560000000458</v>
      </c>
      <c r="CP184" s="408">
        <v>0</v>
      </c>
      <c r="CQ184" s="408">
        <v>31</v>
      </c>
      <c r="CR184" s="408">
        <v>-90.031146678422374</v>
      </c>
      <c r="CS184" s="408">
        <v>0</v>
      </c>
      <c r="CT184" s="408">
        <v>0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0</v>
      </c>
      <c r="DA184" s="408">
        <v>0</v>
      </c>
      <c r="DB184" s="408">
        <v>0</v>
      </c>
      <c r="DC184" s="408">
        <v>-1.6906324162846431E-6</v>
      </c>
      <c r="DD184" s="408">
        <v>0</v>
      </c>
      <c r="DE184" s="408">
        <v>0</v>
      </c>
      <c r="DF184" s="408">
        <v>0</v>
      </c>
      <c r="DG184" s="408">
        <v>-1.0337907951907255E-7</v>
      </c>
      <c r="DH184" s="408">
        <v>0</v>
      </c>
      <c r="DI184" s="408">
        <v>-74.811602587713423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-11.48412043625882</v>
      </c>
      <c r="DP184" s="408">
        <v>-3.7354218604363467</v>
      </c>
      <c r="DQ184" s="408">
        <v>0</v>
      </c>
      <c r="DR184" s="408">
        <v>0</v>
      </c>
      <c r="DS184" s="408"/>
      <c r="DT184" s="408"/>
      <c r="DU184" s="408"/>
      <c r="DV184" s="408">
        <v>0</v>
      </c>
      <c r="DW184" s="408">
        <v>0</v>
      </c>
      <c r="DX184" s="408">
        <v>0</v>
      </c>
      <c r="DY184" s="408">
        <v>-89.886560000000372</v>
      </c>
      <c r="DZ184" s="408">
        <v>0</v>
      </c>
      <c r="EA184" s="408">
        <v>0</v>
      </c>
      <c r="EB184" s="408">
        <v>0</v>
      </c>
      <c r="EC184" s="408">
        <v>0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265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191</v>
      </c>
      <c r="B185" s="408" t="s">
        <v>1031</v>
      </c>
      <c r="C185" s="408" t="s">
        <v>2235</v>
      </c>
      <c r="D185" s="408" t="s">
        <v>596</v>
      </c>
      <c r="E185" s="408" t="s">
        <v>969</v>
      </c>
      <c r="F185" s="408" t="s">
        <v>2245</v>
      </c>
      <c r="G185" s="408" t="s">
        <v>1317</v>
      </c>
      <c r="H185" s="408" t="s">
        <v>1317</v>
      </c>
      <c r="I185" s="408" t="s">
        <v>1317</v>
      </c>
      <c r="J185" s="408" t="s">
        <v>2228</v>
      </c>
      <c r="K185" s="828">
        <v>44470</v>
      </c>
      <c r="L185" s="408">
        <v>1982</v>
      </c>
      <c r="M185" s="408">
        <v>1902.72</v>
      </c>
      <c r="N185" s="408">
        <v>0</v>
      </c>
      <c r="O185" s="408">
        <v>0</v>
      </c>
      <c r="P185" s="408">
        <v>0</v>
      </c>
      <c r="Q185" s="408">
        <v>0</v>
      </c>
      <c r="R185" s="408">
        <v>74.44</v>
      </c>
      <c r="S185" s="408"/>
      <c r="T185" s="408"/>
      <c r="U185" s="408">
        <v>147540.07999999999</v>
      </c>
      <c r="V185" s="408"/>
      <c r="W185" s="408">
        <v>147540.07999999999</v>
      </c>
      <c r="X185" s="408">
        <v>90022.44</v>
      </c>
      <c r="Y185" s="408">
        <v>0</v>
      </c>
      <c r="Z185" s="408">
        <v>0</v>
      </c>
      <c r="AA185" s="408">
        <v>0</v>
      </c>
      <c r="AB185" s="408">
        <v>0</v>
      </c>
      <c r="AC185" s="408">
        <v>0</v>
      </c>
      <c r="AD185" s="408">
        <v>53944.277395355472</v>
      </c>
      <c r="AE185" s="408">
        <v>93593.088185541201</v>
      </c>
      <c r="AF185" s="408"/>
      <c r="AG185" s="408"/>
      <c r="AH185" s="408"/>
      <c r="AI185" s="408">
        <v>0</v>
      </c>
      <c r="AJ185" s="408">
        <v>0</v>
      </c>
      <c r="AK185" s="408">
        <v>0</v>
      </c>
      <c r="AL185" s="408">
        <v>0</v>
      </c>
      <c r="AM185" s="408"/>
      <c r="AN185" s="408">
        <v>0</v>
      </c>
      <c r="AO185" s="408">
        <v>0</v>
      </c>
      <c r="AP185" s="408">
        <v>0</v>
      </c>
      <c r="AQ185" s="408">
        <v>0</v>
      </c>
      <c r="AR185" s="408">
        <v>0</v>
      </c>
      <c r="AS185" s="408"/>
      <c r="AT185" s="408"/>
      <c r="AU185" s="408">
        <v>0</v>
      </c>
      <c r="AV185" s="408">
        <v>0</v>
      </c>
      <c r="AW185" s="408">
        <v>0</v>
      </c>
      <c r="AX185" s="408"/>
      <c r="AY185" s="408"/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/>
      <c r="BG185" s="408">
        <v>0</v>
      </c>
      <c r="BH185" s="408">
        <v>0</v>
      </c>
      <c r="BI185" s="408">
        <v>0</v>
      </c>
      <c r="BJ185" s="408">
        <v>0</v>
      </c>
      <c r="BK185" s="408">
        <v>139.85</v>
      </c>
      <c r="BL185" s="408">
        <v>25</v>
      </c>
      <c r="BM185" s="408"/>
      <c r="BN185" s="408"/>
      <c r="BO185" s="408"/>
      <c r="BP185" s="408"/>
      <c r="BQ185" s="408"/>
      <c r="BR185" s="408">
        <v>3600.8975999999989</v>
      </c>
      <c r="BS185" s="408"/>
      <c r="BT185" s="408"/>
      <c r="BU185" s="408"/>
      <c r="BV185" s="408">
        <v>0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86421.542400000006</v>
      </c>
      <c r="CJ185" s="408">
        <v>-55216.964400000026</v>
      </c>
      <c r="CK185" s="408"/>
      <c r="CL185" s="408"/>
      <c r="CM185" s="408"/>
      <c r="CN185" s="408"/>
      <c r="CO185" s="408">
        <v>-57517.639999999992</v>
      </c>
      <c r="CP185" s="408">
        <v>0</v>
      </c>
      <c r="CQ185" s="408">
        <v>31</v>
      </c>
      <c r="CR185" s="408">
        <v>-138.64154334353225</v>
      </c>
      <c r="CS185" s="408">
        <v>0</v>
      </c>
      <c r="CT185" s="408">
        <v>0</v>
      </c>
      <c r="CU185" s="408">
        <v>0</v>
      </c>
      <c r="CV185" s="408">
        <v>0</v>
      </c>
      <c r="CW185" s="408"/>
      <c r="CX185" s="408"/>
      <c r="CY185" s="408"/>
      <c r="CZ185" s="408">
        <v>-138.64154334353225</v>
      </c>
      <c r="DA185" s="408">
        <v>0</v>
      </c>
      <c r="DB185" s="408">
        <v>0</v>
      </c>
      <c r="DC185" s="408"/>
      <c r="DD185" s="408"/>
      <c r="DE185" s="408">
        <v>0</v>
      </c>
      <c r="DF185" s="408">
        <v>0</v>
      </c>
      <c r="DG185" s="408">
        <v>0</v>
      </c>
      <c r="DH185" s="408">
        <v>0</v>
      </c>
      <c r="DI185" s="408">
        <v>0</v>
      </c>
      <c r="DJ185" s="408"/>
      <c r="DK185" s="408">
        <v>0</v>
      </c>
      <c r="DL185" s="408">
        <v>0</v>
      </c>
      <c r="DM185" s="408"/>
      <c r="DN185" s="408">
        <v>0</v>
      </c>
      <c r="DO185" s="408">
        <v>0</v>
      </c>
      <c r="DP185" s="408">
        <v>0</v>
      </c>
      <c r="DQ185" s="408">
        <v>0</v>
      </c>
      <c r="DR185" s="408">
        <v>0</v>
      </c>
      <c r="DS185" s="408"/>
      <c r="DT185" s="408"/>
      <c r="DU185" s="408">
        <v>93593.088185541201</v>
      </c>
      <c r="DV185" s="408"/>
      <c r="DW185" s="408">
        <v>0</v>
      </c>
      <c r="DX185" s="408">
        <v>0</v>
      </c>
      <c r="DY185" s="408">
        <v>-57517.639999999985</v>
      </c>
      <c r="DZ185" s="408"/>
      <c r="EA185" s="408">
        <v>0</v>
      </c>
      <c r="EB185" s="408"/>
      <c r="EC185" s="408">
        <v>-57386.145456548191</v>
      </c>
      <c r="ED185" s="408"/>
      <c r="EE185" s="408">
        <v>0</v>
      </c>
      <c r="EF185" s="408">
        <v>0</v>
      </c>
      <c r="EG185" s="408"/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/>
      <c r="EN185" s="408"/>
      <c r="EO185" s="408">
        <v>0</v>
      </c>
      <c r="EP185" s="408">
        <v>0</v>
      </c>
      <c r="EQ185" s="408"/>
      <c r="ER185" s="408">
        <v>0</v>
      </c>
      <c r="ES185" s="408"/>
      <c r="ET185" s="408">
        <v>0</v>
      </c>
      <c r="EU185" s="408"/>
      <c r="EV185" s="408">
        <v>265</v>
      </c>
      <c r="EW185" s="408"/>
      <c r="EX185" s="408"/>
      <c r="EY185" s="408"/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192</v>
      </c>
      <c r="B186" s="408" t="s">
        <v>1031</v>
      </c>
      <c r="C186" s="408" t="s">
        <v>2235</v>
      </c>
      <c r="D186" s="408" t="s">
        <v>596</v>
      </c>
      <c r="E186" s="408" t="s">
        <v>969</v>
      </c>
      <c r="F186" s="408" t="s">
        <v>2245</v>
      </c>
      <c r="G186" s="408" t="s">
        <v>2247</v>
      </c>
      <c r="H186" s="408" t="s">
        <v>1317</v>
      </c>
      <c r="I186" s="408" t="s">
        <v>2236</v>
      </c>
      <c r="J186" s="408" t="s">
        <v>2228</v>
      </c>
      <c r="K186" s="828">
        <v>44470</v>
      </c>
      <c r="L186" s="408">
        <v>0</v>
      </c>
      <c r="M186" s="408">
        <v>0</v>
      </c>
      <c r="N186" s="408">
        <v>33.917999999999999</v>
      </c>
      <c r="O186" s="408">
        <v>10.1754</v>
      </c>
      <c r="P186" s="408">
        <v>33.917999999999999</v>
      </c>
      <c r="Q186" s="408">
        <v>10.1754</v>
      </c>
      <c r="R186" s="408"/>
      <c r="S186" s="408">
        <v>81.2</v>
      </c>
      <c r="T186" s="408">
        <v>252.22</v>
      </c>
      <c r="U186" s="408"/>
      <c r="V186" s="408">
        <v>11308.939559999999</v>
      </c>
      <c r="W186" s="408">
        <v>11308.939559999999</v>
      </c>
      <c r="X186" s="408">
        <v>11245.173719999999</v>
      </c>
      <c r="Y186" s="408">
        <v>0</v>
      </c>
      <c r="Z186" s="408">
        <v>1825.2037687268385</v>
      </c>
      <c r="AA186" s="408">
        <v>0</v>
      </c>
      <c r="AB186" s="408">
        <v>0</v>
      </c>
      <c r="AC186" s="408">
        <v>0</v>
      </c>
      <c r="AD186" s="408">
        <v>0</v>
      </c>
      <c r="AE186" s="408">
        <v>0</v>
      </c>
      <c r="AF186" s="408">
        <v>8554.8918272834962</v>
      </c>
      <c r="AG186" s="408">
        <v>0</v>
      </c>
      <c r="AH186" s="408">
        <v>0</v>
      </c>
      <c r="AI186" s="408">
        <v>0</v>
      </c>
      <c r="AJ186" s="408">
        <v>0</v>
      </c>
      <c r="AK186" s="408">
        <v>0</v>
      </c>
      <c r="AL186" s="408">
        <v>324.29098786288728</v>
      </c>
      <c r="AM186" s="408"/>
      <c r="AN186" s="408">
        <v>81.603524376437903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523.11193027852494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>
        <v>7871.6216039999999</v>
      </c>
      <c r="BT186" s="408"/>
      <c r="BU186" s="408"/>
      <c r="BV186" s="408">
        <v>9078.0037575620208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3375.0771999999997</v>
      </c>
      <c r="CJ186" s="408">
        <v>-17.634668000000147</v>
      </c>
      <c r="CK186" s="408"/>
      <c r="CL186" s="408"/>
      <c r="CM186" s="408"/>
      <c r="CN186" s="408"/>
      <c r="CO186" s="408">
        <v>-63.765840000000324</v>
      </c>
      <c r="CP186" s="408">
        <v>0</v>
      </c>
      <c r="CQ186" s="408">
        <v>31</v>
      </c>
      <c r="CR186" s="408">
        <v>-63.86841029529387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0</v>
      </c>
      <c r="DA186" s="408">
        <v>0</v>
      </c>
      <c r="DB186" s="408">
        <v>0</v>
      </c>
      <c r="DC186" s="408">
        <v>-1.1993415682809427E-6</v>
      </c>
      <c r="DD186" s="408">
        <v>0</v>
      </c>
      <c r="DE186" s="408">
        <v>0</v>
      </c>
      <c r="DF186" s="408">
        <v>0</v>
      </c>
      <c r="DG186" s="408">
        <v>-7.3337446337973233E-8</v>
      </c>
      <c r="DH186" s="408">
        <v>0</v>
      </c>
      <c r="DI186" s="408">
        <v>-53.071612494145029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-8.1468751977961347</v>
      </c>
      <c r="DP186" s="408">
        <v>-2.6499213306759941</v>
      </c>
      <c r="DQ186" s="408">
        <v>0</v>
      </c>
      <c r="DR186" s="408">
        <v>0</v>
      </c>
      <c r="DS186" s="408"/>
      <c r="DT186" s="408"/>
      <c r="DU186" s="408"/>
      <c r="DV186" s="408">
        <v>0</v>
      </c>
      <c r="DW186" s="408">
        <v>0</v>
      </c>
      <c r="DX186" s="408">
        <v>0</v>
      </c>
      <c r="DY186" s="408">
        <v>-63.765840000000026</v>
      </c>
      <c r="DZ186" s="408">
        <v>0</v>
      </c>
      <c r="EA186" s="408">
        <v>0</v>
      </c>
      <c r="EB186" s="408">
        <v>0</v>
      </c>
      <c r="EC186" s="408">
        <v>0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265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193</v>
      </c>
      <c r="B187" s="408" t="s">
        <v>1031</v>
      </c>
      <c r="C187" s="408" t="s">
        <v>2227</v>
      </c>
      <c r="D187" s="408" t="s">
        <v>1949</v>
      </c>
      <c r="E187" s="408" t="s">
        <v>964</v>
      </c>
      <c r="F187" s="408" t="s">
        <v>964</v>
      </c>
      <c r="G187" s="408" t="s">
        <v>1317</v>
      </c>
      <c r="H187" s="408" t="s">
        <v>1317</v>
      </c>
      <c r="I187" s="408" t="s">
        <v>1317</v>
      </c>
      <c r="J187" s="408" t="s">
        <v>2228</v>
      </c>
      <c r="K187" s="828">
        <v>44501</v>
      </c>
      <c r="L187" s="408">
        <v>0</v>
      </c>
      <c r="M187" s="408">
        <v>0</v>
      </c>
      <c r="N187" s="408">
        <v>1114.566</v>
      </c>
      <c r="O187" s="408">
        <v>1114.566</v>
      </c>
      <c r="P187" s="408">
        <v>1114.566</v>
      </c>
      <c r="Q187" s="408">
        <v>1114.566</v>
      </c>
      <c r="R187" s="408"/>
      <c r="S187" s="408">
        <v>739.04</v>
      </c>
      <c r="T187" s="408">
        <v>252.22</v>
      </c>
      <c r="U187" s="408"/>
      <c r="V187" s="408">
        <v>1104824.69316</v>
      </c>
      <c r="W187" s="408">
        <v>1104824.69316</v>
      </c>
      <c r="X187" s="408">
        <v>755642.31102000002</v>
      </c>
      <c r="Y187" s="408">
        <v>0</v>
      </c>
      <c r="Z187" s="408">
        <v>68939.425365123243</v>
      </c>
      <c r="AA187" s="408">
        <v>0</v>
      </c>
      <c r="AB187" s="408">
        <v>0</v>
      </c>
      <c r="AC187" s="408">
        <v>0</v>
      </c>
      <c r="AD187" s="408">
        <v>137646.20474919304</v>
      </c>
      <c r="AE187" s="408">
        <v>565071.33091748168</v>
      </c>
      <c r="AF187" s="408">
        <v>281118.92105572432</v>
      </c>
      <c r="AG187" s="408">
        <v>0</v>
      </c>
      <c r="AH187" s="408">
        <v>0</v>
      </c>
      <c r="AI187" s="408">
        <v>0</v>
      </c>
      <c r="AJ187" s="408">
        <v>0</v>
      </c>
      <c r="AK187" s="408">
        <v>0</v>
      </c>
      <c r="AL187" s="408">
        <v>10656.398053493331</v>
      </c>
      <c r="AM187" s="408"/>
      <c r="AN187" s="408">
        <v>2611.7608796231953</v>
      </c>
      <c r="AO187" s="408">
        <v>0</v>
      </c>
      <c r="AP187" s="408">
        <v>0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>
        <v>0</v>
      </c>
      <c r="BG187" s="408">
        <v>38780.485773533226</v>
      </c>
      <c r="BH187" s="408">
        <v>0</v>
      </c>
      <c r="BI187" s="408">
        <v>0</v>
      </c>
      <c r="BJ187" s="408">
        <v>0</v>
      </c>
      <c r="BK187" s="408">
        <v>376447.84</v>
      </c>
      <c r="BL187" s="408">
        <v>8243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319899.40682925755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755645.02289999998</v>
      </c>
      <c r="CJ187" s="408">
        <v>-349179.70026000007</v>
      </c>
      <c r="CK187" s="408"/>
      <c r="CL187" s="408"/>
      <c r="CM187" s="408"/>
      <c r="CN187" s="408"/>
      <c r="CO187" s="408">
        <v>-349182.38213999994</v>
      </c>
      <c r="CP187" s="408">
        <v>0</v>
      </c>
      <c r="CQ187" s="408">
        <v>30</v>
      </c>
      <c r="CR187" s="408">
        <v>-2710.8440034933155</v>
      </c>
      <c r="CS187" s="408">
        <v>0</v>
      </c>
      <c r="CT187" s="408">
        <v>0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-353.76286759626237</v>
      </c>
      <c r="DA187" s="408">
        <v>0</v>
      </c>
      <c r="DB187" s="408">
        <v>0</v>
      </c>
      <c r="DC187" s="408">
        <v>-3.9411068428307772E-5</v>
      </c>
      <c r="DD187" s="408">
        <v>0</v>
      </c>
      <c r="DE187" s="408">
        <v>0</v>
      </c>
      <c r="DF187" s="408">
        <v>0</v>
      </c>
      <c r="DG187" s="408">
        <v>-5.4367483244277537E-6</v>
      </c>
      <c r="DH187" s="408">
        <v>0</v>
      </c>
      <c r="DI187" s="408">
        <v>-2004.5578095091187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-267.71124776539909</v>
      </c>
      <c r="DP187" s="408">
        <v>-84.812033774564497</v>
      </c>
      <c r="DQ187" s="408">
        <v>0</v>
      </c>
      <c r="DR187" s="408">
        <v>0</v>
      </c>
      <c r="DS187" s="408"/>
      <c r="DT187" s="408"/>
      <c r="DU187" s="408"/>
      <c r="DV187" s="408">
        <v>565071.33091748168</v>
      </c>
      <c r="DW187" s="408">
        <v>0</v>
      </c>
      <c r="DX187" s="408">
        <v>0</v>
      </c>
      <c r="DY187" s="408">
        <v>-349182.38214</v>
      </c>
      <c r="DZ187" s="408">
        <v>0</v>
      </c>
      <c r="EA187" s="408">
        <v>0</v>
      </c>
      <c r="EB187" s="408">
        <v>0</v>
      </c>
      <c r="EC187" s="408">
        <v>-346470.73002945737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265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194</v>
      </c>
      <c r="B188" s="408" t="s">
        <v>2229</v>
      </c>
      <c r="C188" s="408" t="s">
        <v>2227</v>
      </c>
      <c r="D188" s="408" t="s">
        <v>1949</v>
      </c>
      <c r="E188" s="408" t="s">
        <v>964</v>
      </c>
      <c r="F188" s="408" t="s">
        <v>964</v>
      </c>
      <c r="G188" s="408" t="s">
        <v>1317</v>
      </c>
      <c r="H188" s="408" t="s">
        <v>1317</v>
      </c>
      <c r="I188" s="408" t="s">
        <v>1317</v>
      </c>
      <c r="J188" s="408" t="s">
        <v>2228</v>
      </c>
      <c r="K188" s="828">
        <v>44501</v>
      </c>
      <c r="L188" s="408">
        <v>0</v>
      </c>
      <c r="M188" s="408">
        <v>0</v>
      </c>
      <c r="N188" s="408">
        <v>-0.51500000000000001</v>
      </c>
      <c r="O188" s="408">
        <v>-0.51500000000000001</v>
      </c>
      <c r="P188" s="408">
        <v>-0.51500000000000001</v>
      </c>
      <c r="Q188" s="408">
        <v>-0.51500000000000001</v>
      </c>
      <c r="R188" s="408"/>
      <c r="S188" s="408">
        <v>739.04</v>
      </c>
      <c r="T188" s="408">
        <v>252.22</v>
      </c>
      <c r="U188" s="408"/>
      <c r="V188" s="408">
        <v>-510.49889999999999</v>
      </c>
      <c r="W188" s="408">
        <v>-510.49889999999999</v>
      </c>
      <c r="X188" s="408">
        <v>-349.15455000000003</v>
      </c>
      <c r="Y188" s="408">
        <v>0</v>
      </c>
      <c r="Z188" s="408">
        <v>-31.854375661054142</v>
      </c>
      <c r="AA188" s="408">
        <v>0</v>
      </c>
      <c r="AB188" s="408">
        <v>0</v>
      </c>
      <c r="AC188" s="408">
        <v>0</v>
      </c>
      <c r="AD188" s="408">
        <v>-63.601254161561023</v>
      </c>
      <c r="AE188" s="408">
        <v>-261.09870157756745</v>
      </c>
      <c r="AF188" s="408">
        <v>-129.89472525063388</v>
      </c>
      <c r="AG188" s="408">
        <v>0</v>
      </c>
      <c r="AH188" s="408">
        <v>0</v>
      </c>
      <c r="AI188" s="408">
        <v>0</v>
      </c>
      <c r="AJ188" s="408">
        <v>0</v>
      </c>
      <c r="AK188" s="408">
        <v>0</v>
      </c>
      <c r="AL188" s="408">
        <v>-4.9239300297596245</v>
      </c>
      <c r="AM188" s="408"/>
      <c r="AN188" s="408">
        <v>-1.2067987476793169</v>
      </c>
      <c r="AO188" s="408">
        <v>0</v>
      </c>
      <c r="AP188" s="408">
        <v>0</v>
      </c>
      <c r="AQ188" s="408">
        <v>0</v>
      </c>
      <c r="AR188" s="408">
        <v>0</v>
      </c>
      <c r="AS188" s="408">
        <v>0</v>
      </c>
      <c r="AT188" s="408">
        <v>0</v>
      </c>
      <c r="AU188" s="408">
        <v>0</v>
      </c>
      <c r="AV188" s="408">
        <v>0</v>
      </c>
      <c r="AW188" s="408">
        <v>0</v>
      </c>
      <c r="AX188" s="408">
        <v>0</v>
      </c>
      <c r="AY188" s="408">
        <v>0</v>
      </c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>
        <v>0</v>
      </c>
      <c r="BG188" s="408">
        <v>-17.919037700207625</v>
      </c>
      <c r="BH188" s="408">
        <v>0</v>
      </c>
      <c r="BI188" s="408">
        <v>0</v>
      </c>
      <c r="BJ188" s="408">
        <v>0</v>
      </c>
      <c r="BK188" s="408">
        <v>-187.91</v>
      </c>
      <c r="BL188" s="408">
        <v>0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-147.81376295084152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-352.5444</v>
      </c>
      <c r="CJ188" s="408">
        <v>157.92450000000002</v>
      </c>
      <c r="CK188" s="408"/>
      <c r="CL188" s="408"/>
      <c r="CM188" s="408"/>
      <c r="CN188" s="408"/>
      <c r="CO188" s="408">
        <v>161.34434999999999</v>
      </c>
      <c r="CP188" s="408">
        <v>0</v>
      </c>
      <c r="CQ188" s="408">
        <v>30</v>
      </c>
      <c r="CR188" s="408">
        <v>1.2525814189549749</v>
      </c>
      <c r="CS188" s="408">
        <v>0</v>
      </c>
      <c r="CT188" s="408">
        <v>0</v>
      </c>
      <c r="CU188" s="408">
        <v>0</v>
      </c>
      <c r="CV188" s="408">
        <v>0</v>
      </c>
      <c r="CW188" s="408">
        <v>0</v>
      </c>
      <c r="CX188" s="408">
        <v>0</v>
      </c>
      <c r="CY188" s="408">
        <v>0</v>
      </c>
      <c r="CZ188" s="408">
        <v>0.16346082404458429</v>
      </c>
      <c r="DA188" s="408">
        <v>0</v>
      </c>
      <c r="DB188" s="408">
        <v>0</v>
      </c>
      <c r="DC188" s="408">
        <v>1.8210386087957886E-8</v>
      </c>
      <c r="DD188" s="408">
        <v>0</v>
      </c>
      <c r="DE188" s="408">
        <v>0</v>
      </c>
      <c r="DF188" s="408">
        <v>0</v>
      </c>
      <c r="DG188" s="408">
        <v>2.5121202895661554E-9</v>
      </c>
      <c r="DH188" s="408">
        <v>0</v>
      </c>
      <c r="DI188" s="408">
        <v>0.92623251731812672</v>
      </c>
      <c r="DJ188" s="408"/>
      <c r="DK188" s="408">
        <v>0</v>
      </c>
      <c r="DL188" s="408">
        <v>0</v>
      </c>
      <c r="DM188" s="408">
        <v>0</v>
      </c>
      <c r="DN188" s="408">
        <v>0</v>
      </c>
      <c r="DO188" s="408">
        <v>0.12369953201441675</v>
      </c>
      <c r="DP188" s="408">
        <v>3.9188524855325646E-2</v>
      </c>
      <c r="DQ188" s="408">
        <v>0</v>
      </c>
      <c r="DR188" s="408">
        <v>0</v>
      </c>
      <c r="DS188" s="408"/>
      <c r="DT188" s="408"/>
      <c r="DU188" s="408"/>
      <c r="DV188" s="408">
        <v>-261.09870157756745</v>
      </c>
      <c r="DW188" s="408">
        <v>0</v>
      </c>
      <c r="DX188" s="408">
        <v>0</v>
      </c>
      <c r="DY188" s="408">
        <v>161.34434999999996</v>
      </c>
      <c r="DZ188" s="408">
        <v>0</v>
      </c>
      <c r="EA188" s="408">
        <v>0</v>
      </c>
      <c r="EB188" s="408">
        <v>0</v>
      </c>
      <c r="EC188" s="408">
        <v>160.09139518446688</v>
      </c>
      <c r="ED188" s="408">
        <v>0</v>
      </c>
      <c r="EE188" s="408">
        <v>0</v>
      </c>
      <c r="EF188" s="408">
        <v>0</v>
      </c>
      <c r="EG188" s="408">
        <v>0</v>
      </c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>
        <v>0</v>
      </c>
      <c r="EN188" s="408">
        <v>0</v>
      </c>
      <c r="EO188" s="408">
        <v>0</v>
      </c>
      <c r="EP188" s="408">
        <v>0</v>
      </c>
      <c r="EQ188" s="408">
        <v>0</v>
      </c>
      <c r="ER188" s="408">
        <v>0</v>
      </c>
      <c r="ES188" s="408">
        <v>0</v>
      </c>
      <c r="ET188" s="408">
        <v>0</v>
      </c>
      <c r="EU188" s="408">
        <v>0</v>
      </c>
      <c r="EV188" s="408">
        <v>265</v>
      </c>
      <c r="EW188" s="408">
        <v>0</v>
      </c>
      <c r="EX188" s="408">
        <v>0</v>
      </c>
      <c r="EY188" s="408">
        <v>0</v>
      </c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195</v>
      </c>
      <c r="B189" s="408" t="s">
        <v>2230</v>
      </c>
      <c r="C189" s="408" t="s">
        <v>2227</v>
      </c>
      <c r="D189" s="408" t="s">
        <v>1949</v>
      </c>
      <c r="E189" s="408" t="s">
        <v>964</v>
      </c>
      <c r="F189" s="408" t="s">
        <v>964</v>
      </c>
      <c r="G189" s="408" t="s">
        <v>1317</v>
      </c>
      <c r="H189" s="408" t="s">
        <v>1317</v>
      </c>
      <c r="I189" s="408" t="s">
        <v>1317</v>
      </c>
      <c r="J189" s="408" t="s">
        <v>2228</v>
      </c>
      <c r="K189" s="828">
        <v>44501</v>
      </c>
      <c r="L189" s="408">
        <v>0</v>
      </c>
      <c r="M189" s="408">
        <v>0</v>
      </c>
      <c r="N189" s="408">
        <v>25.38</v>
      </c>
      <c r="O189" s="408">
        <v>25.38</v>
      </c>
      <c r="P189" s="408">
        <v>25.38</v>
      </c>
      <c r="Q189" s="408">
        <v>25.38</v>
      </c>
      <c r="R189" s="408"/>
      <c r="S189" s="408">
        <v>739.04</v>
      </c>
      <c r="T189" s="408">
        <v>252.22</v>
      </c>
      <c r="U189" s="408"/>
      <c r="V189" s="408">
        <v>25158.178799999998</v>
      </c>
      <c r="W189" s="408">
        <v>25158.178799999998</v>
      </c>
      <c r="X189" s="408">
        <v>17206.8786</v>
      </c>
      <c r="Y189" s="408">
        <v>0</v>
      </c>
      <c r="Z189" s="408">
        <v>1569.8331151020468</v>
      </c>
      <c r="AA189" s="408">
        <v>0</v>
      </c>
      <c r="AB189" s="408">
        <v>0</v>
      </c>
      <c r="AC189" s="408">
        <v>0</v>
      </c>
      <c r="AD189" s="408">
        <v>3134.368603146444</v>
      </c>
      <c r="AE189" s="408">
        <v>12867.349603958566</v>
      </c>
      <c r="AF189" s="408">
        <v>6401.4138385652195</v>
      </c>
      <c r="AG189" s="408">
        <v>0</v>
      </c>
      <c r="AH189" s="408">
        <v>0</v>
      </c>
      <c r="AI189" s="408">
        <v>0</v>
      </c>
      <c r="AJ189" s="408">
        <v>0</v>
      </c>
      <c r="AK189" s="408">
        <v>0</v>
      </c>
      <c r="AL189" s="408">
        <v>242.65892068990146</v>
      </c>
      <c r="AM189" s="408"/>
      <c r="AN189" s="408">
        <v>59.472916924468088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883.07801326460094</v>
      </c>
      <c r="BH189" s="408">
        <v>0</v>
      </c>
      <c r="BI189" s="408">
        <v>0</v>
      </c>
      <c r="BJ189" s="408">
        <v>0</v>
      </c>
      <c r="BK189" s="408">
        <v>31576.69</v>
      </c>
      <c r="BL189" s="408">
        <v>496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7284.49185182982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17206.8786</v>
      </c>
      <c r="CJ189" s="408">
        <v>-7951.3301999999931</v>
      </c>
      <c r="CK189" s="408"/>
      <c r="CL189" s="408"/>
      <c r="CM189" s="408"/>
      <c r="CN189" s="408"/>
      <c r="CO189" s="408">
        <v>-7951.3001999999988</v>
      </c>
      <c r="CP189" s="408">
        <v>0</v>
      </c>
      <c r="CQ189" s="408">
        <v>30</v>
      </c>
      <c r="CR189" s="408">
        <v>-61.729158083646325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-8.0556033286438833</v>
      </c>
      <c r="DA189" s="408">
        <v>0</v>
      </c>
      <c r="DB189" s="408">
        <v>0</v>
      </c>
      <c r="DC189" s="408">
        <v>-8.9743753051152453E-7</v>
      </c>
      <c r="DD189" s="408">
        <v>0</v>
      </c>
      <c r="DE189" s="408">
        <v>0</v>
      </c>
      <c r="DF189" s="408">
        <v>0</v>
      </c>
      <c r="DG189" s="408">
        <v>-1.2380121461319504E-7</v>
      </c>
      <c r="DH189" s="408">
        <v>0</v>
      </c>
      <c r="DI189" s="408">
        <v>-45.646177261231287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-6.0961050922832953</v>
      </c>
      <c r="DP189" s="408">
        <v>-1.9312713802488659</v>
      </c>
      <c r="DQ189" s="408">
        <v>0</v>
      </c>
      <c r="DR189" s="408">
        <v>0</v>
      </c>
      <c r="DS189" s="408"/>
      <c r="DT189" s="408"/>
      <c r="DU189" s="408"/>
      <c r="DV189" s="408">
        <v>12867.349603958566</v>
      </c>
      <c r="DW189" s="408">
        <v>0</v>
      </c>
      <c r="DX189" s="408">
        <v>0</v>
      </c>
      <c r="DY189" s="408">
        <v>-7951.3001999999979</v>
      </c>
      <c r="DZ189" s="408">
        <v>0</v>
      </c>
      <c r="EA189" s="408">
        <v>0</v>
      </c>
      <c r="EB189" s="408">
        <v>0</v>
      </c>
      <c r="EC189" s="408">
        <v>-7889.5526403529493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265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196</v>
      </c>
      <c r="B190" s="408" t="s">
        <v>1031</v>
      </c>
      <c r="C190" s="408" t="s">
        <v>2227</v>
      </c>
      <c r="D190" s="408" t="s">
        <v>1949</v>
      </c>
      <c r="E190" s="408" t="s">
        <v>964</v>
      </c>
      <c r="F190" s="408" t="s">
        <v>2231</v>
      </c>
      <c r="G190" s="408" t="s">
        <v>1317</v>
      </c>
      <c r="H190" s="408" t="s">
        <v>1317</v>
      </c>
      <c r="I190" s="408" t="s">
        <v>1317</v>
      </c>
      <c r="J190" s="408" t="s">
        <v>2228</v>
      </c>
      <c r="K190" s="828">
        <v>44501</v>
      </c>
      <c r="L190" s="408">
        <v>0</v>
      </c>
      <c r="M190" s="408">
        <v>0</v>
      </c>
      <c r="N190" s="408">
        <v>8.73</v>
      </c>
      <c r="O190" s="408">
        <v>8.73</v>
      </c>
      <c r="P190" s="408">
        <v>8.73</v>
      </c>
      <c r="Q190" s="408">
        <v>8.73</v>
      </c>
      <c r="R190" s="408"/>
      <c r="S190" s="408">
        <v>667.62</v>
      </c>
      <c r="T190" s="408">
        <v>252.22</v>
      </c>
      <c r="U190" s="408"/>
      <c r="V190" s="408">
        <v>8030.2031999999999</v>
      </c>
      <c r="W190" s="408">
        <v>8030.2031999999999</v>
      </c>
      <c r="X190" s="408">
        <v>5312.9907000000003</v>
      </c>
      <c r="Y190" s="408">
        <v>0</v>
      </c>
      <c r="Z190" s="408">
        <v>0</v>
      </c>
      <c r="AA190" s="408">
        <v>0</v>
      </c>
      <c r="AB190" s="408">
        <v>0</v>
      </c>
      <c r="AC190" s="408">
        <v>0</v>
      </c>
      <c r="AD190" s="408">
        <v>1078.1338812241315</v>
      </c>
      <c r="AE190" s="408">
        <v>4426.0032325673083</v>
      </c>
      <c r="AF190" s="408">
        <v>2201.9047600738522</v>
      </c>
      <c r="AG190" s="408">
        <v>0</v>
      </c>
      <c r="AH190" s="408">
        <v>0</v>
      </c>
      <c r="AI190" s="408">
        <v>0</v>
      </c>
      <c r="AJ190" s="408">
        <v>0</v>
      </c>
      <c r="AK190" s="408">
        <v>0</v>
      </c>
      <c r="AL190" s="408">
        <v>0</v>
      </c>
      <c r="AM190" s="408"/>
      <c r="AN190" s="408">
        <v>20.456996247068812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303.75378470449044</v>
      </c>
      <c r="BH190" s="408">
        <v>0</v>
      </c>
      <c r="BI190" s="408">
        <v>0</v>
      </c>
      <c r="BJ190" s="408">
        <v>0</v>
      </c>
      <c r="BK190" s="408">
        <v>725.93</v>
      </c>
      <c r="BL190" s="408">
        <v>14</v>
      </c>
      <c r="BM190" s="408"/>
      <c r="BN190" s="408"/>
      <c r="BO190" s="408"/>
      <c r="BP190" s="408"/>
      <c r="BQ190" s="408"/>
      <c r="BR190" s="408"/>
      <c r="BS190" s="408"/>
      <c r="BT190" s="408">
        <v>3453.4134000000004</v>
      </c>
      <c r="BU190" s="408"/>
      <c r="BV190" s="408">
        <v>2505.6585447783427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1859.5773000000002</v>
      </c>
      <c r="CJ190" s="408">
        <v>-951.0762000000002</v>
      </c>
      <c r="CK190" s="408"/>
      <c r="CL190" s="408"/>
      <c r="CM190" s="408"/>
      <c r="CN190" s="408"/>
      <c r="CO190" s="408">
        <v>-2717.2125000000001</v>
      </c>
      <c r="CP190" s="408">
        <v>0</v>
      </c>
      <c r="CQ190" s="408">
        <v>30</v>
      </c>
      <c r="CR190" s="408">
        <v>-3.4352019355419543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-2.7708990172993708</v>
      </c>
      <c r="DA190" s="408">
        <v>0</v>
      </c>
      <c r="DB190" s="408">
        <v>0</v>
      </c>
      <c r="DC190" s="408">
        <v>-3.0869296097080223E-7</v>
      </c>
      <c r="DD190" s="408">
        <v>0</v>
      </c>
      <c r="DE190" s="408">
        <v>0</v>
      </c>
      <c r="DF190" s="408">
        <v>0</v>
      </c>
      <c r="DG190" s="408">
        <v>-4.2584133552736603E-8</v>
      </c>
      <c r="DH190" s="408">
        <v>0</v>
      </c>
      <c r="DI190" s="408">
        <v>0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0</v>
      </c>
      <c r="DP190" s="408">
        <v>-0.6643025669650342</v>
      </c>
      <c r="DQ190" s="408">
        <v>0</v>
      </c>
      <c r="DR190" s="408">
        <v>0</v>
      </c>
      <c r="DS190" s="408"/>
      <c r="DT190" s="408"/>
      <c r="DU190" s="408"/>
      <c r="DV190" s="408">
        <v>4426.0032325673083</v>
      </c>
      <c r="DW190" s="408">
        <v>0</v>
      </c>
      <c r="DX190" s="408">
        <v>0</v>
      </c>
      <c r="DY190" s="408">
        <v>-2717.2125000000001</v>
      </c>
      <c r="DZ190" s="408">
        <v>0</v>
      </c>
      <c r="EA190" s="408">
        <v>0</v>
      </c>
      <c r="EB190" s="408">
        <v>0</v>
      </c>
      <c r="EC190" s="408">
        <v>-2713.7822911852345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265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197</v>
      </c>
      <c r="B191" s="408" t="s">
        <v>2230</v>
      </c>
      <c r="C191" s="408" t="s">
        <v>2227</v>
      </c>
      <c r="D191" s="408" t="s">
        <v>1949</v>
      </c>
      <c r="E191" s="408" t="s">
        <v>964</v>
      </c>
      <c r="F191" s="408" t="s">
        <v>2231</v>
      </c>
      <c r="G191" s="408" t="s">
        <v>1317</v>
      </c>
      <c r="H191" s="408" t="s">
        <v>1317</v>
      </c>
      <c r="I191" s="408" t="s">
        <v>1317</v>
      </c>
      <c r="J191" s="408" t="s">
        <v>2228</v>
      </c>
      <c r="K191" s="828">
        <v>44501</v>
      </c>
      <c r="L191" s="408">
        <v>0</v>
      </c>
      <c r="M191" s="408">
        <v>0</v>
      </c>
      <c r="N191" s="408">
        <v>0.06</v>
      </c>
      <c r="O191" s="408">
        <v>-9.6000000000000002E-2</v>
      </c>
      <c r="P191" s="408">
        <v>0.06</v>
      </c>
      <c r="Q191" s="408">
        <v>-9.6000000000000002E-2</v>
      </c>
      <c r="R191" s="408"/>
      <c r="S191" s="408">
        <v>667.62</v>
      </c>
      <c r="T191" s="408">
        <v>252.22</v>
      </c>
      <c r="U191" s="408"/>
      <c r="V191" s="408">
        <v>55.190399999999997</v>
      </c>
      <c r="W191" s="408">
        <v>55.190399999999997</v>
      </c>
      <c r="X191" s="408">
        <v>36.5154</v>
      </c>
      <c r="Y191" s="408">
        <v>0</v>
      </c>
      <c r="Z191" s="408">
        <v>0</v>
      </c>
      <c r="AA191" s="408">
        <v>0</v>
      </c>
      <c r="AB191" s="408">
        <v>0</v>
      </c>
      <c r="AC191" s="408">
        <v>0</v>
      </c>
      <c r="AD191" s="408">
        <v>7.4098548537740996</v>
      </c>
      <c r="AE191" s="408">
        <v>30.419266203211738</v>
      </c>
      <c r="AF191" s="408">
        <v>15.133366048617539</v>
      </c>
      <c r="AG191" s="408">
        <v>0</v>
      </c>
      <c r="AH191" s="408">
        <v>0</v>
      </c>
      <c r="AI191" s="408">
        <v>0</v>
      </c>
      <c r="AJ191" s="408">
        <v>0</v>
      </c>
      <c r="AK191" s="408">
        <v>0</v>
      </c>
      <c r="AL191" s="408">
        <v>0</v>
      </c>
      <c r="AM191" s="408"/>
      <c r="AN191" s="408">
        <v>0.14059791235098837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2.0876548776940922</v>
      </c>
      <c r="BH191" s="408">
        <v>0</v>
      </c>
      <c r="BI191" s="408">
        <v>0</v>
      </c>
      <c r="BJ191" s="408">
        <v>0</v>
      </c>
      <c r="BK191" s="408">
        <v>8.66</v>
      </c>
      <c r="BL191" s="408">
        <v>0</v>
      </c>
      <c r="BM191" s="408"/>
      <c r="BN191" s="408"/>
      <c r="BO191" s="408"/>
      <c r="BP191" s="408"/>
      <c r="BQ191" s="408"/>
      <c r="BR191" s="408"/>
      <c r="BS191" s="408"/>
      <c r="BT191" s="408">
        <v>56.964359999999999</v>
      </c>
      <c r="BU191" s="408"/>
      <c r="BV191" s="408">
        <v>17.221020926311631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-21.301000000000002</v>
      </c>
      <c r="CJ191" s="408">
        <v>9.5761999999999965</v>
      </c>
      <c r="CK191" s="408"/>
      <c r="CL191" s="408"/>
      <c r="CM191" s="408"/>
      <c r="CN191" s="408"/>
      <c r="CO191" s="408">
        <v>-18.675000000000001</v>
      </c>
      <c r="CP191" s="408">
        <v>0</v>
      </c>
      <c r="CQ191" s="408">
        <v>30</v>
      </c>
      <c r="CR191" s="408">
        <v>-2.3609635295816389E-2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-1.9043979500340313E-2</v>
      </c>
      <c r="DA191" s="408">
        <v>0</v>
      </c>
      <c r="DB191" s="408">
        <v>0</v>
      </c>
      <c r="DC191" s="408">
        <v>-2.1216006729218861E-9</v>
      </c>
      <c r="DD191" s="408">
        <v>0</v>
      </c>
      <c r="DE191" s="408">
        <v>0</v>
      </c>
      <c r="DF191" s="408">
        <v>0</v>
      </c>
      <c r="DG191" s="408">
        <v>-2.9267432921642467E-10</v>
      </c>
      <c r="DH191" s="408">
        <v>0</v>
      </c>
      <c r="DI191" s="408">
        <v>0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0</v>
      </c>
      <c r="DP191" s="408">
        <v>-4.5656533812029887E-3</v>
      </c>
      <c r="DQ191" s="408">
        <v>0</v>
      </c>
      <c r="DR191" s="408">
        <v>0</v>
      </c>
      <c r="DS191" s="408"/>
      <c r="DT191" s="408"/>
      <c r="DU191" s="408"/>
      <c r="DV191" s="408">
        <v>30.419266203211738</v>
      </c>
      <c r="DW191" s="408">
        <v>0</v>
      </c>
      <c r="DX191" s="408">
        <v>0</v>
      </c>
      <c r="DY191" s="408">
        <v>-18.675000000000001</v>
      </c>
      <c r="DZ191" s="408">
        <v>0</v>
      </c>
      <c r="EA191" s="408">
        <v>0</v>
      </c>
      <c r="EB191" s="408">
        <v>0</v>
      </c>
      <c r="EC191" s="408">
        <v>-18.651424681685455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265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198</v>
      </c>
      <c r="B192" s="408" t="s">
        <v>1031</v>
      </c>
      <c r="C192" s="408" t="s">
        <v>2227</v>
      </c>
      <c r="D192" s="408" t="s">
        <v>1949</v>
      </c>
      <c r="E192" s="408" t="s">
        <v>964</v>
      </c>
      <c r="F192" s="408" t="s">
        <v>2232</v>
      </c>
      <c r="G192" s="408" t="s">
        <v>1317</v>
      </c>
      <c r="H192" s="408" t="s">
        <v>1317</v>
      </c>
      <c r="I192" s="408" t="s">
        <v>1317</v>
      </c>
      <c r="J192" s="408" t="s">
        <v>2228</v>
      </c>
      <c r="K192" s="828">
        <v>44501</v>
      </c>
      <c r="L192" s="408">
        <v>0</v>
      </c>
      <c r="M192" s="408">
        <v>0</v>
      </c>
      <c r="N192" s="408">
        <v>16.474</v>
      </c>
      <c r="O192" s="408">
        <v>16.474</v>
      </c>
      <c r="P192" s="408">
        <v>16.474</v>
      </c>
      <c r="Q192" s="408">
        <v>16.474</v>
      </c>
      <c r="R192" s="408"/>
      <c r="S192" s="408">
        <v>667.62</v>
      </c>
      <c r="T192" s="408">
        <v>252.22</v>
      </c>
      <c r="U192" s="408"/>
      <c r="V192" s="408">
        <v>15153.444160000001</v>
      </c>
      <c r="W192" s="408">
        <v>15153.444160000001</v>
      </c>
      <c r="X192" s="408">
        <v>10025.911660000002</v>
      </c>
      <c r="Y192" s="408">
        <v>0</v>
      </c>
      <c r="Z192" s="408">
        <v>0</v>
      </c>
      <c r="AA192" s="408">
        <v>0</v>
      </c>
      <c r="AB192" s="408">
        <v>0</v>
      </c>
      <c r="AC192" s="408">
        <v>0</v>
      </c>
      <c r="AD192" s="408">
        <v>2034.4991476845753</v>
      </c>
      <c r="AE192" s="408">
        <v>8352.1165238618378</v>
      </c>
      <c r="AF192" s="408">
        <v>4155.117871415423</v>
      </c>
      <c r="AG192" s="408">
        <v>0</v>
      </c>
      <c r="AH192" s="408">
        <v>0</v>
      </c>
      <c r="AI192" s="408">
        <v>0</v>
      </c>
      <c r="AJ192" s="408">
        <v>0</v>
      </c>
      <c r="AK192" s="408">
        <v>0</v>
      </c>
      <c r="AL192" s="408">
        <v>0</v>
      </c>
      <c r="AM192" s="408"/>
      <c r="AN192" s="408">
        <v>38.603500134503044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573.20044091887462</v>
      </c>
      <c r="BH192" s="408">
        <v>0</v>
      </c>
      <c r="BI192" s="408">
        <v>0</v>
      </c>
      <c r="BJ192" s="408">
        <v>0</v>
      </c>
      <c r="BK192" s="408">
        <v>2621.11</v>
      </c>
      <c r="BL192" s="408">
        <v>97</v>
      </c>
      <c r="BM192" s="408"/>
      <c r="BN192" s="408"/>
      <c r="BO192" s="408"/>
      <c r="BP192" s="408"/>
      <c r="BQ192" s="408"/>
      <c r="BR192" s="408"/>
      <c r="BS192" s="408"/>
      <c r="BT192" s="408">
        <v>4010.4305599999998</v>
      </c>
      <c r="BU192" s="408"/>
      <c r="BV192" s="408">
        <v>4728.3183123342978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6014.0204999999996</v>
      </c>
      <c r="CJ192" s="408">
        <v>-3078.0101000000004</v>
      </c>
      <c r="CK192" s="408"/>
      <c r="CL192" s="408"/>
      <c r="CM192" s="408"/>
      <c r="CN192" s="408"/>
      <c r="CO192" s="408">
        <v>-5127.5325000000003</v>
      </c>
      <c r="CP192" s="408">
        <v>0</v>
      </c>
      <c r="CQ192" s="408">
        <v>30</v>
      </c>
      <c r="CR192" s="408">
        <v>-6.4824188643897287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-5.2288419714766405</v>
      </c>
      <c r="DA192" s="408">
        <v>0</v>
      </c>
      <c r="DB192" s="408">
        <v>0</v>
      </c>
      <c r="DC192" s="408">
        <v>-5.8252135204384103E-7</v>
      </c>
      <c r="DD192" s="408">
        <v>0</v>
      </c>
      <c r="DE192" s="408">
        <v>0</v>
      </c>
      <c r="DF192" s="408">
        <v>0</v>
      </c>
      <c r="DG192" s="408">
        <v>-8.0358631748822518E-8</v>
      </c>
      <c r="DH192" s="408">
        <v>0</v>
      </c>
      <c r="DI192" s="408">
        <v>0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0</v>
      </c>
      <c r="DP192" s="408">
        <v>-1.2535762300323015</v>
      </c>
      <c r="DQ192" s="408">
        <v>0</v>
      </c>
      <c r="DR192" s="408">
        <v>0</v>
      </c>
      <c r="DS192" s="408"/>
      <c r="DT192" s="408"/>
      <c r="DU192" s="408"/>
      <c r="DV192" s="408">
        <v>8352.1165238618378</v>
      </c>
      <c r="DW192" s="408">
        <v>0</v>
      </c>
      <c r="DX192" s="408">
        <v>0</v>
      </c>
      <c r="DY192" s="408">
        <v>-5127.5325000000003</v>
      </c>
      <c r="DZ192" s="408">
        <v>0</v>
      </c>
      <c r="EA192" s="408">
        <v>0</v>
      </c>
      <c r="EB192" s="408">
        <v>0</v>
      </c>
      <c r="EC192" s="408">
        <v>-5121.0595034347716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265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199</v>
      </c>
      <c r="B193" s="408" t="s">
        <v>2230</v>
      </c>
      <c r="C193" s="408" t="s">
        <v>2227</v>
      </c>
      <c r="D193" s="408" t="s">
        <v>1949</v>
      </c>
      <c r="E193" s="408" t="s">
        <v>964</v>
      </c>
      <c r="F193" s="408" t="s">
        <v>2232</v>
      </c>
      <c r="G193" s="408" t="s">
        <v>1317</v>
      </c>
      <c r="H193" s="408" t="s">
        <v>1317</v>
      </c>
      <c r="I193" s="408" t="s">
        <v>1317</v>
      </c>
      <c r="J193" s="408" t="s">
        <v>2228</v>
      </c>
      <c r="K193" s="828">
        <v>44501</v>
      </c>
      <c r="L193" s="408">
        <v>0</v>
      </c>
      <c r="M193" s="408">
        <v>0</v>
      </c>
      <c r="N193" s="408">
        <v>1.2E-2</v>
      </c>
      <c r="O193" s="408">
        <v>-7.1999999999999998E-3</v>
      </c>
      <c r="P193" s="408">
        <v>1.2E-2</v>
      </c>
      <c r="Q193" s="408">
        <v>-7.1999999999999998E-3</v>
      </c>
      <c r="R193" s="408"/>
      <c r="S193" s="408">
        <v>667.62</v>
      </c>
      <c r="T193" s="408">
        <v>252.22</v>
      </c>
      <c r="U193" s="408"/>
      <c r="V193" s="408">
        <v>11.038080000000001</v>
      </c>
      <c r="W193" s="408">
        <v>11.038080000000001</v>
      </c>
      <c r="X193" s="408">
        <v>7.3030799999999996</v>
      </c>
      <c r="Y193" s="408">
        <v>0</v>
      </c>
      <c r="Z193" s="408">
        <v>0</v>
      </c>
      <c r="AA193" s="408">
        <v>0</v>
      </c>
      <c r="AB193" s="408">
        <v>0</v>
      </c>
      <c r="AC193" s="408">
        <v>0</v>
      </c>
      <c r="AD193" s="408">
        <v>1.4819709707548199</v>
      </c>
      <c r="AE193" s="408">
        <v>6.0838532406423482</v>
      </c>
      <c r="AF193" s="408">
        <v>3.0266732097235081</v>
      </c>
      <c r="AG193" s="408">
        <v>0</v>
      </c>
      <c r="AH193" s="408">
        <v>0</v>
      </c>
      <c r="AI193" s="408">
        <v>0</v>
      </c>
      <c r="AJ193" s="408">
        <v>0</v>
      </c>
      <c r="AK193" s="408">
        <v>0</v>
      </c>
      <c r="AL193" s="408">
        <v>0</v>
      </c>
      <c r="AM193" s="408"/>
      <c r="AN193" s="408">
        <v>2.8119582470197677E-2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0.41753097553881846</v>
      </c>
      <c r="BH193" s="408">
        <v>0</v>
      </c>
      <c r="BI193" s="408">
        <v>0</v>
      </c>
      <c r="BJ193" s="408">
        <v>0</v>
      </c>
      <c r="BK193" s="408">
        <v>25.27</v>
      </c>
      <c r="BL193" s="408">
        <v>0</v>
      </c>
      <c r="BM193" s="408"/>
      <c r="BN193" s="408"/>
      <c r="BO193" s="408"/>
      <c r="BP193" s="408"/>
      <c r="BQ193" s="408"/>
      <c r="BR193" s="408"/>
      <c r="BS193" s="408"/>
      <c r="BT193" s="408">
        <v>9.9321600000000014</v>
      </c>
      <c r="BU193" s="408"/>
      <c r="BV193" s="408">
        <v>3.4442041852623264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-3.6515</v>
      </c>
      <c r="CJ193" s="408">
        <v>0.29218000000000055</v>
      </c>
      <c r="CK193" s="408"/>
      <c r="CL193" s="408"/>
      <c r="CM193" s="408"/>
      <c r="CN193" s="408"/>
      <c r="CO193" s="408">
        <v>-3.7349999999999999</v>
      </c>
      <c r="CP193" s="408">
        <v>0</v>
      </c>
      <c r="CQ193" s="408">
        <v>30</v>
      </c>
      <c r="CR193" s="408">
        <v>-4.7219270591627449E-3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-3.808795900067885E-3</v>
      </c>
      <c r="DA193" s="408">
        <v>0</v>
      </c>
      <c r="DB193" s="408">
        <v>0</v>
      </c>
      <c r="DC193" s="408">
        <v>-4.2432013458437723E-10</v>
      </c>
      <c r="DD193" s="408">
        <v>0</v>
      </c>
      <c r="DE193" s="408">
        <v>0</v>
      </c>
      <c r="DF193" s="408">
        <v>0</v>
      </c>
      <c r="DG193" s="408">
        <v>-5.8534843638824441E-11</v>
      </c>
      <c r="DH193" s="408">
        <v>0</v>
      </c>
      <c r="DI193" s="408">
        <v>0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0</v>
      </c>
      <c r="DP193" s="408">
        <v>-9.1313067624059635E-4</v>
      </c>
      <c r="DQ193" s="408">
        <v>0</v>
      </c>
      <c r="DR193" s="408">
        <v>0</v>
      </c>
      <c r="DS193" s="408"/>
      <c r="DT193" s="408"/>
      <c r="DU193" s="408"/>
      <c r="DV193" s="408">
        <v>6.0838532406423482</v>
      </c>
      <c r="DW193" s="408">
        <v>0</v>
      </c>
      <c r="DX193" s="408">
        <v>0</v>
      </c>
      <c r="DY193" s="408">
        <v>-3.7350000000000003</v>
      </c>
      <c r="DZ193" s="408">
        <v>0</v>
      </c>
      <c r="EA193" s="408">
        <v>0</v>
      </c>
      <c r="EB193" s="408">
        <v>0</v>
      </c>
      <c r="EC193" s="408">
        <v>-3.730284936337092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265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200</v>
      </c>
      <c r="B194" s="408" t="s">
        <v>1031</v>
      </c>
      <c r="C194" s="408" t="s">
        <v>2227</v>
      </c>
      <c r="D194" s="408" t="s">
        <v>1949</v>
      </c>
      <c r="E194" s="408" t="s">
        <v>964</v>
      </c>
      <c r="F194" s="408" t="s">
        <v>2233</v>
      </c>
      <c r="G194" s="408" t="s">
        <v>1317</v>
      </c>
      <c r="H194" s="408" t="s">
        <v>1317</v>
      </c>
      <c r="I194" s="408" t="s">
        <v>1317</v>
      </c>
      <c r="J194" s="408" t="s">
        <v>2228</v>
      </c>
      <c r="K194" s="828">
        <v>44501</v>
      </c>
      <c r="L194" s="408">
        <v>0</v>
      </c>
      <c r="M194" s="408">
        <v>0</v>
      </c>
      <c r="N194" s="408">
        <v>12.676</v>
      </c>
      <c r="O194" s="408">
        <v>12.676</v>
      </c>
      <c r="P194" s="408">
        <v>12.676</v>
      </c>
      <c r="Q194" s="408">
        <v>12.676</v>
      </c>
      <c r="R194" s="408"/>
      <c r="S194" s="408">
        <v>667.62</v>
      </c>
      <c r="T194" s="408">
        <v>252.22</v>
      </c>
      <c r="U194" s="408"/>
      <c r="V194" s="408">
        <v>11659.89184</v>
      </c>
      <c r="W194" s="408">
        <v>11659.89184</v>
      </c>
      <c r="X194" s="408">
        <v>7714.4868399999996</v>
      </c>
      <c r="Y194" s="408">
        <v>0</v>
      </c>
      <c r="Z194" s="408">
        <v>0</v>
      </c>
      <c r="AA194" s="408">
        <v>0</v>
      </c>
      <c r="AB194" s="408">
        <v>0</v>
      </c>
      <c r="AC194" s="408">
        <v>0</v>
      </c>
      <c r="AD194" s="408">
        <v>1565.4553354406748</v>
      </c>
      <c r="AE194" s="408">
        <v>6426.5769731985338</v>
      </c>
      <c r="AF194" s="408">
        <v>3197.1758005379324</v>
      </c>
      <c r="AG194" s="408">
        <v>0</v>
      </c>
      <c r="AH194" s="408">
        <v>0</v>
      </c>
      <c r="AI194" s="408">
        <v>0</v>
      </c>
      <c r="AJ194" s="408">
        <v>0</v>
      </c>
      <c r="AK194" s="408">
        <v>0</v>
      </c>
      <c r="AL194" s="408">
        <v>0</v>
      </c>
      <c r="AM194" s="408"/>
      <c r="AN194" s="408">
        <v>29.703652282685482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>
        <v>0</v>
      </c>
      <c r="BG194" s="408">
        <v>441.05188716083853</v>
      </c>
      <c r="BH194" s="408">
        <v>0</v>
      </c>
      <c r="BI194" s="408">
        <v>0</v>
      </c>
      <c r="BJ194" s="408">
        <v>0</v>
      </c>
      <c r="BK194" s="408">
        <v>3309.46</v>
      </c>
      <c r="BL194" s="408">
        <v>130</v>
      </c>
      <c r="BM194" s="408"/>
      <c r="BN194" s="408"/>
      <c r="BO194" s="408"/>
      <c r="BP194" s="408"/>
      <c r="BQ194" s="408"/>
      <c r="BR194" s="408"/>
      <c r="BS194" s="408"/>
      <c r="BT194" s="408">
        <v>771.33459999999991</v>
      </c>
      <c r="BU194" s="408"/>
      <c r="BV194" s="408">
        <v>3638.2276876987708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6945.3432000000003</v>
      </c>
      <c r="CJ194" s="408">
        <v>-3548.6401599999999</v>
      </c>
      <c r="CK194" s="408"/>
      <c r="CL194" s="408"/>
      <c r="CM194" s="408"/>
      <c r="CN194" s="408"/>
      <c r="CO194" s="408">
        <v>-3945.4050000000002</v>
      </c>
      <c r="CP194" s="408">
        <v>0</v>
      </c>
      <c r="CQ194" s="408">
        <v>30</v>
      </c>
      <c r="CR194" s="408">
        <v>-4.9879289501623134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-4.0233580691051429</v>
      </c>
      <c r="DA194" s="408">
        <v>0</v>
      </c>
      <c r="DB194" s="408">
        <v>0</v>
      </c>
      <c r="DC194" s="408">
        <v>-4.482235453906469E-7</v>
      </c>
      <c r="DD194" s="408">
        <v>0</v>
      </c>
      <c r="DE194" s="408">
        <v>0</v>
      </c>
      <c r="DF194" s="408">
        <v>0</v>
      </c>
      <c r="DG194" s="408">
        <v>-6.183228151712683E-8</v>
      </c>
      <c r="DH194" s="408">
        <v>0</v>
      </c>
      <c r="DI194" s="408">
        <v>0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0</v>
      </c>
      <c r="DP194" s="408">
        <v>-0.96457037100215359</v>
      </c>
      <c r="DQ194" s="408">
        <v>0</v>
      </c>
      <c r="DR194" s="408">
        <v>0</v>
      </c>
      <c r="DS194" s="408"/>
      <c r="DT194" s="408"/>
      <c r="DU194" s="408"/>
      <c r="DV194" s="408">
        <v>6426.5769731985338</v>
      </c>
      <c r="DW194" s="408">
        <v>0</v>
      </c>
      <c r="DX194" s="408">
        <v>0</v>
      </c>
      <c r="DY194" s="408">
        <v>-3945.4050000000007</v>
      </c>
      <c r="DZ194" s="408">
        <v>0</v>
      </c>
      <c r="EA194" s="408">
        <v>0</v>
      </c>
      <c r="EB194" s="408">
        <v>0</v>
      </c>
      <c r="EC194" s="408">
        <v>-3940.4243210840814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265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201</v>
      </c>
      <c r="B195" s="408" t="s">
        <v>2230</v>
      </c>
      <c r="C195" s="408" t="s">
        <v>2227</v>
      </c>
      <c r="D195" s="408" t="s">
        <v>1949</v>
      </c>
      <c r="E195" s="408" t="s">
        <v>964</v>
      </c>
      <c r="F195" s="408" t="s">
        <v>2233</v>
      </c>
      <c r="G195" s="408" t="s">
        <v>1317</v>
      </c>
      <c r="H195" s="408" t="s">
        <v>1317</v>
      </c>
      <c r="I195" s="408" t="s">
        <v>1317</v>
      </c>
      <c r="J195" s="408" t="s">
        <v>2228</v>
      </c>
      <c r="K195" s="828">
        <v>44501</v>
      </c>
      <c r="L195" s="408">
        <v>0</v>
      </c>
      <c r="M195" s="408">
        <v>0</v>
      </c>
      <c r="N195" s="408">
        <v>0</v>
      </c>
      <c r="O195" s="408">
        <v>0</v>
      </c>
      <c r="P195" s="408">
        <v>0</v>
      </c>
      <c r="Q195" s="408">
        <v>0</v>
      </c>
      <c r="R195" s="408"/>
      <c r="S195" s="408"/>
      <c r="T195" s="408"/>
      <c r="U195" s="408"/>
      <c r="V195" s="408"/>
      <c r="W195" s="408"/>
      <c r="X195" s="408"/>
      <c r="Y195" s="408"/>
      <c r="Z195" s="408"/>
      <c r="AA195" s="408">
        <v>0</v>
      </c>
      <c r="AB195" s="408"/>
      <c r="AC195" s="408"/>
      <c r="AD195" s="408"/>
      <c r="AE195" s="408"/>
      <c r="AF195" s="408"/>
      <c r="AG195" s="408"/>
      <c r="AH195" s="408"/>
      <c r="AI195" s="408"/>
      <c r="AJ195" s="408"/>
      <c r="AK195" s="408"/>
      <c r="AL195" s="408"/>
      <c r="AM195" s="408"/>
      <c r="AN195" s="408"/>
      <c r="AO195" s="408"/>
      <c r="AP195" s="408"/>
      <c r="AQ195" s="408"/>
      <c r="AR195" s="408"/>
      <c r="AS195" s="408"/>
      <c r="AT195" s="408"/>
      <c r="AU195" s="408"/>
      <c r="AV195" s="408"/>
      <c r="AW195" s="408"/>
      <c r="AX195" s="408"/>
      <c r="AY195" s="408"/>
      <c r="AZ195" s="408">
        <v>0</v>
      </c>
      <c r="BA195" s="408"/>
      <c r="BB195" s="408"/>
      <c r="BC195" s="408"/>
      <c r="BD195" s="408"/>
      <c r="BE195" s="408"/>
      <c r="BF195" s="408"/>
      <c r="BG195" s="408"/>
      <c r="BH195" s="408"/>
      <c r="BI195" s="408">
        <v>0</v>
      </c>
      <c r="BJ195" s="408">
        <v>0</v>
      </c>
      <c r="BK195" s="408">
        <v>60.6</v>
      </c>
      <c r="BL195" s="408">
        <v>1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/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/>
      <c r="CJ195" s="408">
        <v>-0.03</v>
      </c>
      <c r="CK195" s="408"/>
      <c r="CL195" s="408"/>
      <c r="CM195" s="408"/>
      <c r="CN195" s="408"/>
      <c r="CO195" s="408">
        <v>0</v>
      </c>
      <c r="CP195" s="408">
        <v>0</v>
      </c>
      <c r="CQ195" s="408">
        <v>30</v>
      </c>
      <c r="CR195" s="408"/>
      <c r="CS195" s="408"/>
      <c r="CT195" s="408"/>
      <c r="CU195" s="408"/>
      <c r="CV195" s="408"/>
      <c r="CW195" s="408"/>
      <c r="CX195" s="408"/>
      <c r="CY195" s="408"/>
      <c r="CZ195" s="408"/>
      <c r="DA195" s="408"/>
      <c r="DB195" s="408"/>
      <c r="DC195" s="408"/>
      <c r="DD195" s="408"/>
      <c r="DE195" s="408"/>
      <c r="DF195" s="408"/>
      <c r="DG195" s="408"/>
      <c r="DH195" s="408"/>
      <c r="DI195" s="408"/>
      <c r="DJ195" s="408"/>
      <c r="DK195" s="408">
        <v>0</v>
      </c>
      <c r="DL195" s="408"/>
      <c r="DM195" s="408"/>
      <c r="DN195" s="408"/>
      <c r="DO195" s="408"/>
      <c r="DP195" s="408"/>
      <c r="DQ195" s="408"/>
      <c r="DR195" s="408"/>
      <c r="DS195" s="408"/>
      <c r="DT195" s="408"/>
      <c r="DU195" s="408"/>
      <c r="DV195" s="408"/>
      <c r="DW195" s="408"/>
      <c r="DX195" s="408"/>
      <c r="DY195" s="408"/>
      <c r="DZ195" s="408"/>
      <c r="EA195" s="408"/>
      <c r="EB195" s="408"/>
      <c r="EC195" s="408"/>
      <c r="ED195" s="408"/>
      <c r="EE195" s="408"/>
      <c r="EF195" s="408"/>
      <c r="EG195" s="408"/>
      <c r="EH195" s="408"/>
      <c r="EI195" s="408"/>
      <c r="EJ195" s="408"/>
      <c r="EK195" s="408"/>
      <c r="EL195" s="408"/>
      <c r="EM195" s="408"/>
      <c r="EN195" s="408"/>
      <c r="EO195" s="408"/>
      <c r="EP195" s="408"/>
      <c r="EQ195" s="408"/>
      <c r="ER195" s="408"/>
      <c r="ES195" s="408"/>
      <c r="ET195" s="408"/>
      <c r="EU195" s="408"/>
      <c r="EV195" s="408">
        <v>265</v>
      </c>
      <c r="EW195" s="408"/>
      <c r="EX195" s="408"/>
      <c r="EY195" s="408"/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202</v>
      </c>
      <c r="B196" s="408" t="s">
        <v>1031</v>
      </c>
      <c r="C196" s="408" t="s">
        <v>2227</v>
      </c>
      <c r="D196" s="408" t="s">
        <v>1949</v>
      </c>
      <c r="E196" s="408" t="s">
        <v>964</v>
      </c>
      <c r="F196" s="408" t="s">
        <v>2234</v>
      </c>
      <c r="G196" s="408" t="s">
        <v>1317</v>
      </c>
      <c r="H196" s="408" t="s">
        <v>1317</v>
      </c>
      <c r="I196" s="408" t="s">
        <v>1317</v>
      </c>
      <c r="J196" s="408" t="s">
        <v>2228</v>
      </c>
      <c r="K196" s="828">
        <v>44501</v>
      </c>
      <c r="L196" s="408">
        <v>0</v>
      </c>
      <c r="M196" s="408">
        <v>0</v>
      </c>
      <c r="N196" s="408">
        <v>3.5609999999999999</v>
      </c>
      <c r="O196" s="408">
        <v>3.5609999999999999</v>
      </c>
      <c r="P196" s="408">
        <v>3.5609999999999999</v>
      </c>
      <c r="Q196" s="408">
        <v>3.5609999999999999</v>
      </c>
      <c r="R196" s="408"/>
      <c r="S196" s="408">
        <v>667.62</v>
      </c>
      <c r="T196" s="408">
        <v>252.22</v>
      </c>
      <c r="U196" s="408"/>
      <c r="V196" s="408">
        <v>3275.55024</v>
      </c>
      <c r="W196" s="408">
        <v>3275.55024</v>
      </c>
      <c r="X196" s="408">
        <v>2167.1889900000001</v>
      </c>
      <c r="Y196" s="408">
        <v>0</v>
      </c>
      <c r="Z196" s="408">
        <v>0</v>
      </c>
      <c r="AA196" s="408">
        <v>0</v>
      </c>
      <c r="AB196" s="408">
        <v>0</v>
      </c>
      <c r="AC196" s="408">
        <v>0</v>
      </c>
      <c r="AD196" s="408">
        <v>439.7748855714928</v>
      </c>
      <c r="AE196" s="408">
        <v>1805.3834491606167</v>
      </c>
      <c r="AF196" s="408">
        <v>898.16527498545099</v>
      </c>
      <c r="AG196" s="408">
        <v>0</v>
      </c>
      <c r="AH196" s="408">
        <v>0</v>
      </c>
      <c r="AI196" s="408">
        <v>0</v>
      </c>
      <c r="AJ196" s="408">
        <v>0</v>
      </c>
      <c r="AK196" s="408">
        <v>0</v>
      </c>
      <c r="AL196" s="408">
        <v>0</v>
      </c>
      <c r="AM196" s="408"/>
      <c r="AN196" s="408">
        <v>8.3444860980311599</v>
      </c>
      <c r="AO196" s="408">
        <v>0</v>
      </c>
      <c r="AP196" s="408">
        <v>0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123.90231699114437</v>
      </c>
      <c r="BH196" s="408">
        <v>0</v>
      </c>
      <c r="BI196" s="408">
        <v>0</v>
      </c>
      <c r="BJ196" s="408">
        <v>0</v>
      </c>
      <c r="BK196" s="408">
        <v>1195.74</v>
      </c>
      <c r="BL196" s="408">
        <v>50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1022.0675919765954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2166.5803999999998</v>
      </c>
      <c r="CJ196" s="408">
        <v>-1108.9998400000009</v>
      </c>
      <c r="CK196" s="408"/>
      <c r="CL196" s="408"/>
      <c r="CM196" s="408"/>
      <c r="CN196" s="408"/>
      <c r="CO196" s="408">
        <v>-1108.3612499999999</v>
      </c>
      <c r="CP196" s="408">
        <v>0</v>
      </c>
      <c r="CQ196" s="408">
        <v>30</v>
      </c>
      <c r="CR196" s="408">
        <v>-1.4012318548068379</v>
      </c>
      <c r="CS196" s="408">
        <v>0</v>
      </c>
      <c r="CT196" s="408">
        <v>0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-1.1302601833451718</v>
      </c>
      <c r="DA196" s="408">
        <v>0</v>
      </c>
      <c r="DB196" s="408">
        <v>0</v>
      </c>
      <c r="DC196" s="408">
        <v>-1.2591704035003204E-7</v>
      </c>
      <c r="DD196" s="408">
        <v>0</v>
      </c>
      <c r="DE196" s="408">
        <v>0</v>
      </c>
      <c r="DF196" s="408">
        <v>0</v>
      </c>
      <c r="DG196" s="408">
        <v>-1.7370226146340428E-8</v>
      </c>
      <c r="DH196" s="408">
        <v>0</v>
      </c>
      <c r="DI196" s="408">
        <v>0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0</v>
      </c>
      <c r="DP196" s="408">
        <v>-0.27097152817439607</v>
      </c>
      <c r="DQ196" s="408">
        <v>0</v>
      </c>
      <c r="DR196" s="408">
        <v>0</v>
      </c>
      <c r="DS196" s="408"/>
      <c r="DT196" s="408"/>
      <c r="DU196" s="408"/>
      <c r="DV196" s="408">
        <v>1805.3834491606167</v>
      </c>
      <c r="DW196" s="408">
        <v>0</v>
      </c>
      <c r="DX196" s="408">
        <v>0</v>
      </c>
      <c r="DY196" s="408">
        <v>-1108.3612499999999</v>
      </c>
      <c r="DZ196" s="408">
        <v>0</v>
      </c>
      <c r="EA196" s="408">
        <v>0</v>
      </c>
      <c r="EB196" s="408">
        <v>0</v>
      </c>
      <c r="EC196" s="408">
        <v>-1106.9620548580319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265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203</v>
      </c>
      <c r="B197" s="408" t="s">
        <v>2230</v>
      </c>
      <c r="C197" s="408" t="s">
        <v>2227</v>
      </c>
      <c r="D197" s="408" t="s">
        <v>1949</v>
      </c>
      <c r="E197" s="408" t="s">
        <v>964</v>
      </c>
      <c r="F197" s="408" t="s">
        <v>2234</v>
      </c>
      <c r="G197" s="408" t="s">
        <v>1317</v>
      </c>
      <c r="H197" s="408" t="s">
        <v>1317</v>
      </c>
      <c r="I197" s="408" t="s">
        <v>1317</v>
      </c>
      <c r="J197" s="408" t="s">
        <v>2228</v>
      </c>
      <c r="K197" s="828">
        <v>44501</v>
      </c>
      <c r="L197" s="408">
        <v>0</v>
      </c>
      <c r="M197" s="408">
        <v>0</v>
      </c>
      <c r="N197" s="408">
        <v>0</v>
      </c>
      <c r="O197" s="408">
        <v>0</v>
      </c>
      <c r="P197" s="408">
        <v>0</v>
      </c>
      <c r="Q197" s="408">
        <v>0</v>
      </c>
      <c r="R197" s="408"/>
      <c r="S197" s="408"/>
      <c r="T197" s="408"/>
      <c r="U197" s="408"/>
      <c r="V197" s="408"/>
      <c r="W197" s="408"/>
      <c r="X197" s="408"/>
      <c r="Y197" s="408"/>
      <c r="Z197" s="408"/>
      <c r="AA197" s="408">
        <v>0</v>
      </c>
      <c r="AB197" s="408"/>
      <c r="AC197" s="408"/>
      <c r="AD197" s="408"/>
      <c r="AE197" s="408"/>
      <c r="AF197" s="408"/>
      <c r="AG197" s="408"/>
      <c r="AH197" s="408"/>
      <c r="AI197" s="408"/>
      <c r="AJ197" s="408"/>
      <c r="AK197" s="408"/>
      <c r="AL197" s="408"/>
      <c r="AM197" s="408"/>
      <c r="AN197" s="408"/>
      <c r="AO197" s="408"/>
      <c r="AP197" s="408"/>
      <c r="AQ197" s="408"/>
      <c r="AR197" s="408"/>
      <c r="AS197" s="408"/>
      <c r="AT197" s="408"/>
      <c r="AU197" s="408"/>
      <c r="AV197" s="408"/>
      <c r="AW197" s="408"/>
      <c r="AX197" s="408"/>
      <c r="AY197" s="408"/>
      <c r="AZ197" s="408">
        <v>0</v>
      </c>
      <c r="BA197" s="408"/>
      <c r="BB197" s="408"/>
      <c r="BC197" s="408"/>
      <c r="BD197" s="408"/>
      <c r="BE197" s="408"/>
      <c r="BF197" s="408"/>
      <c r="BG197" s="408"/>
      <c r="BH197" s="408"/>
      <c r="BI197" s="408">
        <v>0</v>
      </c>
      <c r="BJ197" s="408">
        <v>0</v>
      </c>
      <c r="BK197" s="408">
        <v>74.22</v>
      </c>
      <c r="BL197" s="408">
        <v>3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/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/>
      <c r="CJ197" s="408">
        <v>-0.03</v>
      </c>
      <c r="CK197" s="408"/>
      <c r="CL197" s="408"/>
      <c r="CM197" s="408"/>
      <c r="CN197" s="408"/>
      <c r="CO197" s="408">
        <v>0</v>
      </c>
      <c r="CP197" s="408">
        <v>0</v>
      </c>
      <c r="CQ197" s="408">
        <v>30</v>
      </c>
      <c r="CR197" s="408"/>
      <c r="CS197" s="408"/>
      <c r="CT197" s="408"/>
      <c r="CU197" s="408"/>
      <c r="CV197" s="408"/>
      <c r="CW197" s="408"/>
      <c r="CX197" s="408"/>
      <c r="CY197" s="408"/>
      <c r="CZ197" s="408"/>
      <c r="DA197" s="408"/>
      <c r="DB197" s="408"/>
      <c r="DC197" s="408"/>
      <c r="DD197" s="408"/>
      <c r="DE197" s="408"/>
      <c r="DF197" s="408"/>
      <c r="DG197" s="408"/>
      <c r="DH197" s="408"/>
      <c r="DI197" s="408"/>
      <c r="DJ197" s="408"/>
      <c r="DK197" s="408">
        <v>0</v>
      </c>
      <c r="DL197" s="408"/>
      <c r="DM197" s="408"/>
      <c r="DN197" s="408"/>
      <c r="DO197" s="408"/>
      <c r="DP197" s="408"/>
      <c r="DQ197" s="408"/>
      <c r="DR197" s="408"/>
      <c r="DS197" s="408"/>
      <c r="DT197" s="408"/>
      <c r="DU197" s="408"/>
      <c r="DV197" s="408"/>
      <c r="DW197" s="408"/>
      <c r="DX197" s="408"/>
      <c r="DY197" s="408"/>
      <c r="DZ197" s="408"/>
      <c r="EA197" s="408"/>
      <c r="EB197" s="408"/>
      <c r="EC197" s="408"/>
      <c r="ED197" s="408"/>
      <c r="EE197" s="408"/>
      <c r="EF197" s="408"/>
      <c r="EG197" s="408"/>
      <c r="EH197" s="408"/>
      <c r="EI197" s="408"/>
      <c r="EJ197" s="408"/>
      <c r="EK197" s="408"/>
      <c r="EL197" s="408"/>
      <c r="EM197" s="408"/>
      <c r="EN197" s="408"/>
      <c r="EO197" s="408"/>
      <c r="EP197" s="408"/>
      <c r="EQ197" s="408"/>
      <c r="ER197" s="408"/>
      <c r="ES197" s="408"/>
      <c r="ET197" s="408"/>
      <c r="EU197" s="408"/>
      <c r="EV197" s="408">
        <v>265</v>
      </c>
      <c r="EW197" s="408"/>
      <c r="EX197" s="408"/>
      <c r="EY197" s="408"/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204</v>
      </c>
      <c r="B198" s="408" t="s">
        <v>1031</v>
      </c>
      <c r="C198" s="408" t="s">
        <v>2227</v>
      </c>
      <c r="D198" s="408" t="s">
        <v>1952</v>
      </c>
      <c r="E198" s="408" t="s">
        <v>965</v>
      </c>
      <c r="F198" s="408" t="s">
        <v>1317</v>
      </c>
      <c r="G198" s="408" t="s">
        <v>1317</v>
      </c>
      <c r="H198" s="408" t="s">
        <v>1317</v>
      </c>
      <c r="I198" s="408" t="s">
        <v>1317</v>
      </c>
      <c r="J198" s="408" t="s">
        <v>2228</v>
      </c>
      <c r="K198" s="828">
        <v>44501</v>
      </c>
      <c r="L198" s="408">
        <v>0</v>
      </c>
      <c r="M198" s="408">
        <v>0</v>
      </c>
      <c r="N198" s="408">
        <v>53.191000000000003</v>
      </c>
      <c r="O198" s="408">
        <v>53.191000000000003</v>
      </c>
      <c r="P198" s="408">
        <v>53.191000000000003</v>
      </c>
      <c r="Q198" s="408">
        <v>53.191000000000003</v>
      </c>
      <c r="R198" s="408"/>
      <c r="S198" s="408">
        <v>739.04</v>
      </c>
      <c r="T198" s="408">
        <v>252.22</v>
      </c>
      <c r="U198" s="408"/>
      <c r="V198" s="408">
        <v>52726.110659999998</v>
      </c>
      <c r="W198" s="408">
        <v>52726.110659999998</v>
      </c>
      <c r="X198" s="408">
        <v>36061.902269999999</v>
      </c>
      <c r="Y198" s="408">
        <v>0</v>
      </c>
      <c r="Z198" s="408">
        <v>3290.0312539555939</v>
      </c>
      <c r="AA198" s="408">
        <v>0</v>
      </c>
      <c r="AB198" s="408">
        <v>0</v>
      </c>
      <c r="AC198" s="408">
        <v>0</v>
      </c>
      <c r="AD198" s="408">
        <v>6568.9598254516359</v>
      </c>
      <c r="AE198" s="408">
        <v>26967.186476917261</v>
      </c>
      <c r="AF198" s="408">
        <v>13415.981224866928</v>
      </c>
      <c r="AG198" s="408">
        <v>0</v>
      </c>
      <c r="AH198" s="408">
        <v>0</v>
      </c>
      <c r="AI198" s="408">
        <v>0</v>
      </c>
      <c r="AJ198" s="408">
        <v>0</v>
      </c>
      <c r="AK198" s="408">
        <v>0</v>
      </c>
      <c r="AL198" s="408">
        <v>508.56070332610523</v>
      </c>
      <c r="AM198" s="408"/>
      <c r="AN198" s="408">
        <v>124.64239259769039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1850.7408433237745</v>
      </c>
      <c r="BH198" s="408">
        <v>0</v>
      </c>
      <c r="BI198" s="408">
        <v>0</v>
      </c>
      <c r="BJ198" s="408">
        <v>0</v>
      </c>
      <c r="BK198" s="408">
        <v>9251.5400000000009</v>
      </c>
      <c r="BL198" s="408">
        <v>16</v>
      </c>
      <c r="BM198" s="408"/>
      <c r="BN198" s="408"/>
      <c r="BO198" s="408"/>
      <c r="BP198" s="408"/>
      <c r="BQ198" s="408"/>
      <c r="BR198" s="408"/>
      <c r="BS198" s="408"/>
      <c r="BT198" s="408"/>
      <c r="BU198" s="408"/>
      <c r="BV198" s="408">
        <v>15266.722068190702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36061.224300000002</v>
      </c>
      <c r="CJ198" s="408">
        <v>-16664.916360000003</v>
      </c>
      <c r="CK198" s="408"/>
      <c r="CL198" s="408"/>
      <c r="CM198" s="408"/>
      <c r="CN198" s="408"/>
      <c r="CO198" s="408">
        <v>-16664.20839</v>
      </c>
      <c r="CP198" s="408">
        <v>0</v>
      </c>
      <c r="CQ198" s="408">
        <v>30</v>
      </c>
      <c r="CR198" s="408">
        <v>-129.37098690414132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-16.882805226709934</v>
      </c>
      <c r="DA198" s="408">
        <v>0</v>
      </c>
      <c r="DB198" s="408">
        <v>0</v>
      </c>
      <c r="DC198" s="408">
        <v>-1.8808350432664156E-6</v>
      </c>
      <c r="DD198" s="408">
        <v>0</v>
      </c>
      <c r="DE198" s="408">
        <v>0</v>
      </c>
      <c r="DF198" s="408">
        <v>0</v>
      </c>
      <c r="DG198" s="408">
        <v>-2.5946064852178097E-7</v>
      </c>
      <c r="DH198" s="408">
        <v>0</v>
      </c>
      <c r="DI198" s="408">
        <v>-95.664531706152502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-12.776120014327887</v>
      </c>
      <c r="DP198" s="408">
        <v>-4.0475278166594677</v>
      </c>
      <c r="DQ198" s="408">
        <v>0</v>
      </c>
      <c r="DR198" s="408">
        <v>0</v>
      </c>
      <c r="DS198" s="408"/>
      <c r="DT198" s="408"/>
      <c r="DU198" s="408"/>
      <c r="DV198" s="408">
        <v>26967.186476917261</v>
      </c>
      <c r="DW198" s="408">
        <v>0</v>
      </c>
      <c r="DX198" s="408">
        <v>0</v>
      </c>
      <c r="DY198" s="408">
        <v>-16664.208389999996</v>
      </c>
      <c r="DZ198" s="408">
        <v>0</v>
      </c>
      <c r="EA198" s="408">
        <v>0</v>
      </c>
      <c r="EB198" s="408">
        <v>0</v>
      </c>
      <c r="EC198" s="408">
        <v>-16534.798837392187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265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205</v>
      </c>
      <c r="B199" s="408" t="s">
        <v>2230</v>
      </c>
      <c r="C199" s="408" t="s">
        <v>2227</v>
      </c>
      <c r="D199" s="408" t="s">
        <v>1952</v>
      </c>
      <c r="E199" s="408" t="s">
        <v>965</v>
      </c>
      <c r="F199" s="408" t="s">
        <v>1317</v>
      </c>
      <c r="G199" s="408" t="s">
        <v>1317</v>
      </c>
      <c r="H199" s="408" t="s">
        <v>1317</v>
      </c>
      <c r="I199" s="408" t="s">
        <v>1317</v>
      </c>
      <c r="J199" s="408" t="s">
        <v>2228</v>
      </c>
      <c r="K199" s="828">
        <v>44501</v>
      </c>
      <c r="L199" s="408">
        <v>0</v>
      </c>
      <c r="M199" s="408">
        <v>0</v>
      </c>
      <c r="N199" s="408">
        <v>15.13</v>
      </c>
      <c r="O199" s="408">
        <v>15.13</v>
      </c>
      <c r="P199" s="408">
        <v>15.13</v>
      </c>
      <c r="Q199" s="408">
        <v>15.13</v>
      </c>
      <c r="R199" s="408"/>
      <c r="S199" s="408">
        <v>739.04</v>
      </c>
      <c r="T199" s="408">
        <v>252.22</v>
      </c>
      <c r="U199" s="408"/>
      <c r="V199" s="408">
        <v>14997.763800000001</v>
      </c>
      <c r="W199" s="408">
        <v>14997.763800000001</v>
      </c>
      <c r="X199" s="408">
        <v>10257.686100000001</v>
      </c>
      <c r="Y199" s="408">
        <v>0</v>
      </c>
      <c r="Z199" s="408">
        <v>935.83825971213435</v>
      </c>
      <c r="AA199" s="408">
        <v>0</v>
      </c>
      <c r="AB199" s="408">
        <v>0</v>
      </c>
      <c r="AC199" s="408">
        <v>0</v>
      </c>
      <c r="AD199" s="408">
        <v>1868.5183989600355</v>
      </c>
      <c r="AE199" s="408">
        <v>7670.7249609098944</v>
      </c>
      <c r="AF199" s="408">
        <v>3816.1304719263899</v>
      </c>
      <c r="AG199" s="408">
        <v>0</v>
      </c>
      <c r="AH199" s="408">
        <v>0</v>
      </c>
      <c r="AI199" s="408">
        <v>0</v>
      </c>
      <c r="AJ199" s="408">
        <v>0</v>
      </c>
      <c r="AK199" s="408">
        <v>0</v>
      </c>
      <c r="AL199" s="408">
        <v>144.65837155390898</v>
      </c>
      <c r="AM199" s="408"/>
      <c r="AN199" s="408">
        <v>35.454106897840909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526.43697165852689</v>
      </c>
      <c r="BH199" s="408">
        <v>0</v>
      </c>
      <c r="BI199" s="408">
        <v>0</v>
      </c>
      <c r="BJ199" s="408">
        <v>0</v>
      </c>
      <c r="BK199" s="408">
        <v>4009.88</v>
      </c>
      <c r="BL199" s="408">
        <v>12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4342.5674435849169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10257.686100000001</v>
      </c>
      <c r="CJ199" s="408">
        <v>-4740.1077000000005</v>
      </c>
      <c r="CK199" s="408"/>
      <c r="CL199" s="408"/>
      <c r="CM199" s="408"/>
      <c r="CN199" s="408"/>
      <c r="CO199" s="408">
        <v>-4740.0776999999998</v>
      </c>
      <c r="CP199" s="408">
        <v>0</v>
      </c>
      <c r="CQ199" s="408">
        <v>30</v>
      </c>
      <c r="CR199" s="408">
        <v>-36.799139551047119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-4.8022568306689664</v>
      </c>
      <c r="DA199" s="408">
        <v>0</v>
      </c>
      <c r="DB199" s="408">
        <v>0</v>
      </c>
      <c r="DC199" s="408">
        <v>-5.3499707064474933E-7</v>
      </c>
      <c r="DD199" s="408">
        <v>0</v>
      </c>
      <c r="DE199" s="408">
        <v>0</v>
      </c>
      <c r="DF199" s="408">
        <v>0</v>
      </c>
      <c r="DG199" s="408">
        <v>-7.3802652877930086E-8</v>
      </c>
      <c r="DH199" s="408">
        <v>0</v>
      </c>
      <c r="DI199" s="408">
        <v>-27.211452401987003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-3.6341241152973396</v>
      </c>
      <c r="DP199" s="408">
        <v>-1.1513055942933548</v>
      </c>
      <c r="DQ199" s="408">
        <v>0</v>
      </c>
      <c r="DR199" s="408">
        <v>0</v>
      </c>
      <c r="DS199" s="408"/>
      <c r="DT199" s="408"/>
      <c r="DU199" s="408"/>
      <c r="DV199" s="408">
        <v>7670.7249609098944</v>
      </c>
      <c r="DW199" s="408">
        <v>0</v>
      </c>
      <c r="DX199" s="408">
        <v>0</v>
      </c>
      <c r="DY199" s="408">
        <v>-4740.0776999999989</v>
      </c>
      <c r="DZ199" s="408">
        <v>0</v>
      </c>
      <c r="EA199" s="408">
        <v>0</v>
      </c>
      <c r="EB199" s="408">
        <v>0</v>
      </c>
      <c r="EC199" s="408">
        <v>-4703.2675905650176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265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206</v>
      </c>
      <c r="B200" s="408" t="s">
        <v>1031</v>
      </c>
      <c r="C200" s="408" t="s">
        <v>2235</v>
      </c>
      <c r="D200" s="408" t="s">
        <v>596</v>
      </c>
      <c r="E200" s="408" t="s">
        <v>965</v>
      </c>
      <c r="F200" s="408" t="s">
        <v>1317</v>
      </c>
      <c r="G200" s="408" t="s">
        <v>1317</v>
      </c>
      <c r="H200" s="408" t="s">
        <v>1317</v>
      </c>
      <c r="I200" s="408" t="s">
        <v>968</v>
      </c>
      <c r="J200" s="408" t="s">
        <v>2228</v>
      </c>
      <c r="K200" s="828">
        <v>44501</v>
      </c>
      <c r="L200" s="408">
        <v>0</v>
      </c>
      <c r="M200" s="408">
        <v>0</v>
      </c>
      <c r="N200" s="408">
        <v>24.431000000000001</v>
      </c>
      <c r="O200" s="408">
        <v>24.431000000000001</v>
      </c>
      <c r="P200" s="408">
        <v>24.431000000000001</v>
      </c>
      <c r="Q200" s="408">
        <v>24.431000000000001</v>
      </c>
      <c r="R200" s="408"/>
      <c r="S200" s="408">
        <v>2641.06</v>
      </c>
      <c r="T200" s="408">
        <v>252.22</v>
      </c>
      <c r="U200" s="408"/>
      <c r="V200" s="408">
        <v>70685.72368000001</v>
      </c>
      <c r="W200" s="408">
        <v>70685.72368000001</v>
      </c>
      <c r="X200" s="408">
        <v>41956.33354</v>
      </c>
      <c r="Y200" s="408">
        <v>0</v>
      </c>
      <c r="Z200" s="408">
        <v>1314.686988435798</v>
      </c>
      <c r="AA200" s="408">
        <v>0</v>
      </c>
      <c r="AB200" s="408">
        <v>0</v>
      </c>
      <c r="AC200" s="408">
        <v>0</v>
      </c>
      <c r="AD200" s="408">
        <v>15825.5953458641</v>
      </c>
      <c r="AE200" s="408">
        <v>46714.279113647564</v>
      </c>
      <c r="AF200" s="408">
        <v>6162.0544322295855</v>
      </c>
      <c r="AG200" s="408">
        <v>0</v>
      </c>
      <c r="AH200" s="408">
        <v>0</v>
      </c>
      <c r="AI200" s="408">
        <v>0</v>
      </c>
      <c r="AJ200" s="408">
        <v>0</v>
      </c>
      <c r="AK200" s="408">
        <v>0</v>
      </c>
      <c r="AL200" s="408">
        <v>233.5855039942862</v>
      </c>
      <c r="AM200" s="408"/>
      <c r="AN200" s="408">
        <v>58.778692848657187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376.79543512691322</v>
      </c>
      <c r="BH200" s="408">
        <v>0</v>
      </c>
      <c r="BI200" s="408">
        <v>0</v>
      </c>
      <c r="BJ200" s="408">
        <v>0</v>
      </c>
      <c r="BK200" s="408">
        <v>0</v>
      </c>
      <c r="BL200" s="408">
        <v>0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6538.8498673564991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41954.616199999989</v>
      </c>
      <c r="CJ200" s="408">
        <v>-28731.137480000019</v>
      </c>
      <c r="CK200" s="408"/>
      <c r="CL200" s="408"/>
      <c r="CM200" s="408"/>
      <c r="CN200" s="408"/>
      <c r="CO200" s="408">
        <v>-28729.390140000003</v>
      </c>
      <c r="CP200" s="408">
        <v>0</v>
      </c>
      <c r="CQ200" s="408">
        <v>30</v>
      </c>
      <c r="CR200" s="408">
        <v>-86.67733464567209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-40.673173671431869</v>
      </c>
      <c r="DA200" s="408">
        <v>0</v>
      </c>
      <c r="DB200" s="408">
        <v>0</v>
      </c>
      <c r="DC200" s="408">
        <v>-8.638799045002088E-7</v>
      </c>
      <c r="DD200" s="408">
        <v>0</v>
      </c>
      <c r="DE200" s="408">
        <v>0</v>
      </c>
      <c r="DF200" s="408">
        <v>0</v>
      </c>
      <c r="DG200" s="408">
        <v>-5.2824645990767749E-8</v>
      </c>
      <c r="DH200" s="408">
        <v>0</v>
      </c>
      <c r="DI200" s="408">
        <v>-38.227270618682041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-5.8681616828043275</v>
      </c>
      <c r="DP200" s="408">
        <v>-1.9087277560512135</v>
      </c>
      <c r="DQ200" s="408">
        <v>0</v>
      </c>
      <c r="DR200" s="408">
        <v>0</v>
      </c>
      <c r="DS200" s="408"/>
      <c r="DT200" s="408"/>
      <c r="DU200" s="408"/>
      <c r="DV200" s="408">
        <v>46714.279113647564</v>
      </c>
      <c r="DW200" s="408">
        <v>0</v>
      </c>
      <c r="DX200" s="408">
        <v>0</v>
      </c>
      <c r="DY200" s="408">
        <v>-28729.390140000003</v>
      </c>
      <c r="DZ200" s="408">
        <v>0</v>
      </c>
      <c r="EA200" s="408">
        <v>0</v>
      </c>
      <c r="EB200" s="408">
        <v>0</v>
      </c>
      <c r="EC200" s="408">
        <v>-28642.632357628561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265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207</v>
      </c>
      <c r="B201" s="408" t="s">
        <v>1031</v>
      </c>
      <c r="C201" s="408" t="s">
        <v>2235</v>
      </c>
      <c r="D201" s="408" t="s">
        <v>596</v>
      </c>
      <c r="E201" s="408" t="s">
        <v>965</v>
      </c>
      <c r="F201" s="408" t="s">
        <v>1317</v>
      </c>
      <c r="G201" s="408" t="s">
        <v>1317</v>
      </c>
      <c r="H201" s="408" t="s">
        <v>1317</v>
      </c>
      <c r="I201" s="408" t="s">
        <v>2236</v>
      </c>
      <c r="J201" s="408" t="s">
        <v>2228</v>
      </c>
      <c r="K201" s="828">
        <v>44501</v>
      </c>
      <c r="L201" s="408">
        <v>0</v>
      </c>
      <c r="M201" s="408">
        <v>0</v>
      </c>
      <c r="N201" s="408">
        <v>433.82400000000001</v>
      </c>
      <c r="O201" s="408">
        <v>433.82400000000001</v>
      </c>
      <c r="P201" s="408">
        <v>433.82400000000001</v>
      </c>
      <c r="Q201" s="408">
        <v>433.82400000000001</v>
      </c>
      <c r="R201" s="408"/>
      <c r="S201" s="408">
        <v>81.2</v>
      </c>
      <c r="T201" s="408">
        <v>252.22</v>
      </c>
      <c r="U201" s="408"/>
      <c r="V201" s="408">
        <v>144645.59808</v>
      </c>
      <c r="W201" s="408">
        <v>144645.59808</v>
      </c>
      <c r="X201" s="408">
        <v>143830.00896000001</v>
      </c>
      <c r="Y201" s="408">
        <v>0</v>
      </c>
      <c r="Z201" s="408">
        <v>23345.043922523499</v>
      </c>
      <c r="AA201" s="408">
        <v>0</v>
      </c>
      <c r="AB201" s="408">
        <v>0</v>
      </c>
      <c r="AC201" s="408">
        <v>0</v>
      </c>
      <c r="AD201" s="408">
        <v>0</v>
      </c>
      <c r="AE201" s="408">
        <v>0</v>
      </c>
      <c r="AF201" s="408">
        <v>109420.28987792427</v>
      </c>
      <c r="AG201" s="408">
        <v>0</v>
      </c>
      <c r="AH201" s="408">
        <v>0</v>
      </c>
      <c r="AI201" s="408">
        <v>0</v>
      </c>
      <c r="AJ201" s="408">
        <v>0</v>
      </c>
      <c r="AK201" s="408">
        <v>0</v>
      </c>
      <c r="AL201" s="408">
        <v>4147.8039247193001</v>
      </c>
      <c r="AM201" s="408"/>
      <c r="AN201" s="408">
        <v>1043.7398242550798</v>
      </c>
      <c r="AO201" s="408">
        <v>0</v>
      </c>
      <c r="AP201" s="408">
        <v>0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>
        <v>0</v>
      </c>
      <c r="BG201" s="408">
        <v>6690.7986921737956</v>
      </c>
      <c r="BH201" s="408">
        <v>0</v>
      </c>
      <c r="BI201" s="408">
        <v>0</v>
      </c>
      <c r="BJ201" s="408">
        <v>0</v>
      </c>
      <c r="BK201" s="408">
        <v>0</v>
      </c>
      <c r="BL201" s="408">
        <v>0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>
        <v>116111.08857009806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143828.68279999998</v>
      </c>
      <c r="CJ201" s="408">
        <v>-816.94528000004357</v>
      </c>
      <c r="CK201" s="408"/>
      <c r="CL201" s="408"/>
      <c r="CM201" s="408"/>
      <c r="CN201" s="408"/>
      <c r="CO201" s="408">
        <v>-815.58912000000419</v>
      </c>
      <c r="CP201" s="408">
        <v>0</v>
      </c>
      <c r="CQ201" s="408">
        <v>30</v>
      </c>
      <c r="CR201" s="408">
        <v>-816.90103272441775</v>
      </c>
      <c r="CS201" s="408">
        <v>0</v>
      </c>
      <c r="CT201" s="408">
        <v>0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0</v>
      </c>
      <c r="DA201" s="408">
        <v>0</v>
      </c>
      <c r="DB201" s="408">
        <v>0</v>
      </c>
      <c r="DC201" s="408">
        <v>-1.5340017853304744E-5</v>
      </c>
      <c r="DD201" s="408">
        <v>0</v>
      </c>
      <c r="DE201" s="408">
        <v>0</v>
      </c>
      <c r="DF201" s="408">
        <v>0</v>
      </c>
      <c r="DG201" s="408">
        <v>-9.3801372713642195E-7</v>
      </c>
      <c r="DH201" s="408">
        <v>0</v>
      </c>
      <c r="DI201" s="408">
        <v>-678.80592071053616</v>
      </c>
      <c r="DJ201" s="408"/>
      <c r="DK201" s="408">
        <v>0</v>
      </c>
      <c r="DL201" s="408">
        <v>0</v>
      </c>
      <c r="DM201" s="408">
        <v>0</v>
      </c>
      <c r="DN201" s="408">
        <v>0</v>
      </c>
      <c r="DO201" s="408">
        <v>-104.20160344975284</v>
      </c>
      <c r="DP201" s="408">
        <v>-33.893492286077617</v>
      </c>
      <c r="DQ201" s="408">
        <v>0</v>
      </c>
      <c r="DR201" s="408">
        <v>0</v>
      </c>
      <c r="DS201" s="408"/>
      <c r="DT201" s="408"/>
      <c r="DU201" s="408"/>
      <c r="DV201" s="408">
        <v>0</v>
      </c>
      <c r="DW201" s="408">
        <v>0</v>
      </c>
      <c r="DX201" s="408">
        <v>0</v>
      </c>
      <c r="DY201" s="408">
        <v>-815.58912000000419</v>
      </c>
      <c r="DZ201" s="408">
        <v>0</v>
      </c>
      <c r="EA201" s="408">
        <v>0</v>
      </c>
      <c r="EB201" s="408">
        <v>0</v>
      </c>
      <c r="EC201" s="408">
        <v>0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0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265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208</v>
      </c>
      <c r="B202" s="408" t="s">
        <v>1031</v>
      </c>
      <c r="C202" s="408" t="s">
        <v>2235</v>
      </c>
      <c r="D202" s="408" t="s">
        <v>596</v>
      </c>
      <c r="E202" s="408" t="s">
        <v>965</v>
      </c>
      <c r="F202" s="408" t="s">
        <v>1317</v>
      </c>
      <c r="G202" s="408" t="s">
        <v>1317</v>
      </c>
      <c r="H202" s="408" t="s">
        <v>1317</v>
      </c>
      <c r="I202" s="408" t="s">
        <v>1317</v>
      </c>
      <c r="J202" s="408" t="s">
        <v>2228</v>
      </c>
      <c r="K202" s="828">
        <v>44501</v>
      </c>
      <c r="L202" s="408">
        <v>1974</v>
      </c>
      <c r="M202" s="408">
        <v>1974</v>
      </c>
      <c r="N202" s="408">
        <v>0</v>
      </c>
      <c r="O202" s="408">
        <v>0</v>
      </c>
      <c r="P202" s="408">
        <v>0</v>
      </c>
      <c r="Q202" s="408">
        <v>0</v>
      </c>
      <c r="R202" s="408">
        <v>74.44</v>
      </c>
      <c r="S202" s="408"/>
      <c r="T202" s="408"/>
      <c r="U202" s="408">
        <v>146944.56</v>
      </c>
      <c r="V202" s="408"/>
      <c r="W202" s="408">
        <v>146944.56</v>
      </c>
      <c r="X202" s="408">
        <v>89659.08</v>
      </c>
      <c r="Y202" s="408">
        <v>0</v>
      </c>
      <c r="Z202" s="408">
        <v>0</v>
      </c>
      <c r="AA202" s="408">
        <v>0</v>
      </c>
      <c r="AB202" s="408">
        <v>0</v>
      </c>
      <c r="AC202" s="408">
        <v>0</v>
      </c>
      <c r="AD202" s="408">
        <v>53726.540655111858</v>
      </c>
      <c r="AE202" s="408">
        <v>93215.315882067764</v>
      </c>
      <c r="AF202" s="408"/>
      <c r="AG202" s="408"/>
      <c r="AH202" s="408"/>
      <c r="AI202" s="408">
        <v>0</v>
      </c>
      <c r="AJ202" s="408">
        <v>0</v>
      </c>
      <c r="AK202" s="408">
        <v>0</v>
      </c>
      <c r="AL202" s="408">
        <v>0</v>
      </c>
      <c r="AM202" s="408"/>
      <c r="AN202" s="408">
        <v>0</v>
      </c>
      <c r="AO202" s="408">
        <v>0</v>
      </c>
      <c r="AP202" s="408">
        <v>0</v>
      </c>
      <c r="AQ202" s="408">
        <v>0</v>
      </c>
      <c r="AR202" s="408">
        <v>0</v>
      </c>
      <c r="AS202" s="408"/>
      <c r="AT202" s="408"/>
      <c r="AU202" s="408">
        <v>0</v>
      </c>
      <c r="AV202" s="408">
        <v>0</v>
      </c>
      <c r="AW202" s="408">
        <v>0</v>
      </c>
      <c r="AX202" s="408"/>
      <c r="AY202" s="408"/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/>
      <c r="BG202" s="408">
        <v>0</v>
      </c>
      <c r="BH202" s="408">
        <v>0</v>
      </c>
      <c r="BI202" s="408">
        <v>0</v>
      </c>
      <c r="BJ202" s="408">
        <v>0</v>
      </c>
      <c r="BK202" s="408">
        <v>72230.91</v>
      </c>
      <c r="BL202" s="408">
        <v>9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0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89659.08</v>
      </c>
      <c r="CJ202" s="408">
        <v>-57285.510000000024</v>
      </c>
      <c r="CK202" s="408"/>
      <c r="CL202" s="408"/>
      <c r="CM202" s="408"/>
      <c r="CN202" s="408"/>
      <c r="CO202" s="408">
        <v>-57285.479999999989</v>
      </c>
      <c r="CP202" s="408">
        <v>0</v>
      </c>
      <c r="CQ202" s="408">
        <v>30</v>
      </c>
      <c r="CR202" s="408">
        <v>-138.08194074678613</v>
      </c>
      <c r="CS202" s="408">
        <v>0</v>
      </c>
      <c r="CT202" s="408">
        <v>0</v>
      </c>
      <c r="CU202" s="408">
        <v>0</v>
      </c>
      <c r="CV202" s="408">
        <v>0</v>
      </c>
      <c r="CW202" s="408"/>
      <c r="CX202" s="408"/>
      <c r="CY202" s="408"/>
      <c r="CZ202" s="408">
        <v>-138.08194074678613</v>
      </c>
      <c r="DA202" s="408">
        <v>0</v>
      </c>
      <c r="DB202" s="408">
        <v>0</v>
      </c>
      <c r="DC202" s="408"/>
      <c r="DD202" s="408"/>
      <c r="DE202" s="408">
        <v>0</v>
      </c>
      <c r="DF202" s="408">
        <v>0</v>
      </c>
      <c r="DG202" s="408">
        <v>0</v>
      </c>
      <c r="DH202" s="408">
        <v>0</v>
      </c>
      <c r="DI202" s="408">
        <v>0</v>
      </c>
      <c r="DJ202" s="408"/>
      <c r="DK202" s="408">
        <v>0</v>
      </c>
      <c r="DL202" s="408">
        <v>0</v>
      </c>
      <c r="DM202" s="408"/>
      <c r="DN202" s="408">
        <v>0</v>
      </c>
      <c r="DO202" s="408">
        <v>0</v>
      </c>
      <c r="DP202" s="408">
        <v>0</v>
      </c>
      <c r="DQ202" s="408">
        <v>0</v>
      </c>
      <c r="DR202" s="408">
        <v>0</v>
      </c>
      <c r="DS202" s="408"/>
      <c r="DT202" s="408"/>
      <c r="DU202" s="408">
        <v>93215.315882067764</v>
      </c>
      <c r="DV202" s="408"/>
      <c r="DW202" s="408">
        <v>0</v>
      </c>
      <c r="DX202" s="408">
        <v>0</v>
      </c>
      <c r="DY202" s="408">
        <v>-57285.479999999996</v>
      </c>
      <c r="DZ202" s="408"/>
      <c r="EA202" s="408">
        <v>0</v>
      </c>
      <c r="EB202" s="408"/>
      <c r="EC202" s="408">
        <v>-57154.516211516704</v>
      </c>
      <c r="ED202" s="408"/>
      <c r="EE202" s="408">
        <v>0</v>
      </c>
      <c r="EF202" s="408">
        <v>0</v>
      </c>
      <c r="EG202" s="408"/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/>
      <c r="EN202" s="408"/>
      <c r="EO202" s="408">
        <v>0</v>
      </c>
      <c r="EP202" s="408">
        <v>0</v>
      </c>
      <c r="EQ202" s="408"/>
      <c r="ER202" s="408">
        <v>0</v>
      </c>
      <c r="ES202" s="408"/>
      <c r="ET202" s="408">
        <v>0</v>
      </c>
      <c r="EU202" s="408"/>
      <c r="EV202" s="408">
        <v>265</v>
      </c>
      <c r="EW202" s="408"/>
      <c r="EX202" s="408"/>
      <c r="EY202" s="408"/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209</v>
      </c>
      <c r="B203" s="408" t="s">
        <v>1031</v>
      </c>
      <c r="C203" s="408" t="s">
        <v>2227</v>
      </c>
      <c r="D203" s="408" t="s">
        <v>1952</v>
      </c>
      <c r="E203" s="408" t="s">
        <v>993</v>
      </c>
      <c r="F203" s="408" t="s">
        <v>1317</v>
      </c>
      <c r="G203" s="408" t="s">
        <v>1317</v>
      </c>
      <c r="H203" s="408" t="s">
        <v>1317</v>
      </c>
      <c r="I203" s="408" t="s">
        <v>1317</v>
      </c>
      <c r="J203" s="408" t="s">
        <v>2228</v>
      </c>
      <c r="K203" s="828">
        <v>44501</v>
      </c>
      <c r="L203" s="408">
        <v>0</v>
      </c>
      <c r="M203" s="408">
        <v>0</v>
      </c>
      <c r="N203" s="408">
        <v>398.88</v>
      </c>
      <c r="O203" s="408">
        <v>398.88</v>
      </c>
      <c r="P203" s="408">
        <v>398.88</v>
      </c>
      <c r="Q203" s="408">
        <v>398.88</v>
      </c>
      <c r="R203" s="408"/>
      <c r="S203" s="408">
        <v>739.04</v>
      </c>
      <c r="T203" s="408">
        <v>252.22</v>
      </c>
      <c r="U203" s="408"/>
      <c r="V203" s="408">
        <v>395393.78879999998</v>
      </c>
      <c r="W203" s="408">
        <v>395393.78879999998</v>
      </c>
      <c r="X203" s="408">
        <v>270428.67359999998</v>
      </c>
      <c r="Y203" s="408">
        <v>0</v>
      </c>
      <c r="Z203" s="408">
        <v>24671.987113944226</v>
      </c>
      <c r="AA203" s="408">
        <v>0</v>
      </c>
      <c r="AB203" s="408">
        <v>0</v>
      </c>
      <c r="AC203" s="408">
        <v>0</v>
      </c>
      <c r="AD203" s="408">
        <v>49260.715067890211</v>
      </c>
      <c r="AE203" s="408">
        <v>202227.28171895165</v>
      </c>
      <c r="AF203" s="408">
        <v>100606.61749120941</v>
      </c>
      <c r="AG203" s="408">
        <v>0</v>
      </c>
      <c r="AH203" s="408">
        <v>0</v>
      </c>
      <c r="AI203" s="408">
        <v>0</v>
      </c>
      <c r="AJ203" s="408">
        <v>0</v>
      </c>
      <c r="AK203" s="408">
        <v>0</v>
      </c>
      <c r="AL203" s="408">
        <v>3813.7033209136289</v>
      </c>
      <c r="AM203" s="408"/>
      <c r="AN203" s="408">
        <v>934.69492130937078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13878.729626910324</v>
      </c>
      <c r="BH203" s="408">
        <v>0</v>
      </c>
      <c r="BI203" s="408">
        <v>0</v>
      </c>
      <c r="BJ203" s="408">
        <v>0</v>
      </c>
      <c r="BK203" s="408">
        <v>140161.85999999999</v>
      </c>
      <c r="BL203" s="408">
        <v>836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>
        <v>114485.34711811974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270428.67359999998</v>
      </c>
      <c r="CJ203" s="408">
        <v>-124965.14520000003</v>
      </c>
      <c r="CK203" s="408"/>
      <c r="CL203" s="408"/>
      <c r="CM203" s="408"/>
      <c r="CN203" s="408"/>
      <c r="CO203" s="408">
        <v>-124965.11519999999</v>
      </c>
      <c r="CP203" s="408">
        <v>0</v>
      </c>
      <c r="CQ203" s="408">
        <v>30</v>
      </c>
      <c r="CR203" s="408">
        <v>-970.15471144224284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-126.60437571825605</v>
      </c>
      <c r="DA203" s="408">
        <v>0</v>
      </c>
      <c r="DB203" s="408">
        <v>0</v>
      </c>
      <c r="DC203" s="408">
        <v>-1.4104414731264114E-5</v>
      </c>
      <c r="DD203" s="408">
        <v>0</v>
      </c>
      <c r="DE203" s="408">
        <v>0</v>
      </c>
      <c r="DF203" s="408">
        <v>0</v>
      </c>
      <c r="DG203" s="408">
        <v>-1.9456983864074573E-6</v>
      </c>
      <c r="DH203" s="408">
        <v>0</v>
      </c>
      <c r="DI203" s="408">
        <v>-717.38956603467159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-95.80828996099126</v>
      </c>
      <c r="DP203" s="408">
        <v>-30.352463678237427</v>
      </c>
      <c r="DQ203" s="408">
        <v>0</v>
      </c>
      <c r="DR203" s="408">
        <v>0</v>
      </c>
      <c r="DS203" s="408"/>
      <c r="DT203" s="408"/>
      <c r="DU203" s="408"/>
      <c r="DV203" s="408">
        <v>202227.28171895165</v>
      </c>
      <c r="DW203" s="408">
        <v>0</v>
      </c>
      <c r="DX203" s="408">
        <v>0</v>
      </c>
      <c r="DY203" s="408">
        <v>-124965.11519999997</v>
      </c>
      <c r="DZ203" s="408">
        <v>0</v>
      </c>
      <c r="EA203" s="408">
        <v>0</v>
      </c>
      <c r="EB203" s="408">
        <v>0</v>
      </c>
      <c r="EC203" s="408">
        <v>-123994.67128384493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265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210</v>
      </c>
      <c r="B204" s="408" t="s">
        <v>2230</v>
      </c>
      <c r="C204" s="408" t="s">
        <v>2227</v>
      </c>
      <c r="D204" s="408" t="s">
        <v>1952</v>
      </c>
      <c r="E204" s="408" t="s">
        <v>993</v>
      </c>
      <c r="F204" s="408" t="s">
        <v>1317</v>
      </c>
      <c r="G204" s="408" t="s">
        <v>1317</v>
      </c>
      <c r="H204" s="408" t="s">
        <v>1317</v>
      </c>
      <c r="I204" s="408" t="s">
        <v>1317</v>
      </c>
      <c r="J204" s="408" t="s">
        <v>2228</v>
      </c>
      <c r="K204" s="828">
        <v>44501</v>
      </c>
      <c r="L204" s="408">
        <v>0</v>
      </c>
      <c r="M204" s="408">
        <v>0</v>
      </c>
      <c r="N204" s="408">
        <v>43.261000000000003</v>
      </c>
      <c r="O204" s="408">
        <v>43.261000000000003</v>
      </c>
      <c r="P204" s="408">
        <v>43.261000000000003</v>
      </c>
      <c r="Q204" s="408">
        <v>43.261000000000003</v>
      </c>
      <c r="R204" s="408"/>
      <c r="S204" s="408">
        <v>739.04</v>
      </c>
      <c r="T204" s="408">
        <v>252.22</v>
      </c>
      <c r="U204" s="408"/>
      <c r="V204" s="408">
        <v>42882.898860000001</v>
      </c>
      <c r="W204" s="408">
        <v>42882.898860000001</v>
      </c>
      <c r="X204" s="408">
        <v>29329.660170000003</v>
      </c>
      <c r="Y204" s="408">
        <v>0</v>
      </c>
      <c r="Z204" s="408">
        <v>2675.8294086851715</v>
      </c>
      <c r="AA204" s="408">
        <v>0</v>
      </c>
      <c r="AB204" s="408">
        <v>0</v>
      </c>
      <c r="AC204" s="408">
        <v>0</v>
      </c>
      <c r="AD204" s="408">
        <v>5342.628847152022</v>
      </c>
      <c r="AE204" s="408">
        <v>21932.79792028572</v>
      </c>
      <c r="AF204" s="408">
        <v>10911.409143820725</v>
      </c>
      <c r="AG204" s="408">
        <v>0</v>
      </c>
      <c r="AH204" s="408">
        <v>0</v>
      </c>
      <c r="AI204" s="408">
        <v>0</v>
      </c>
      <c r="AJ204" s="408">
        <v>0</v>
      </c>
      <c r="AK204" s="408">
        <v>0</v>
      </c>
      <c r="AL204" s="408">
        <v>413.61968352899248</v>
      </c>
      <c r="AM204" s="408"/>
      <c r="AN204" s="408">
        <v>101.37343810360181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1505.2339610654021</v>
      </c>
      <c r="BH204" s="408">
        <v>0</v>
      </c>
      <c r="BI204" s="408">
        <v>0</v>
      </c>
      <c r="BJ204" s="408">
        <v>0</v>
      </c>
      <c r="BK204" s="408">
        <v>31578.34</v>
      </c>
      <c r="BL204" s="408">
        <v>118</v>
      </c>
      <c r="BM204" s="408"/>
      <c r="BN204" s="408"/>
      <c r="BO204" s="408"/>
      <c r="BP204" s="408"/>
      <c r="BQ204" s="408"/>
      <c r="BR204" s="408"/>
      <c r="BS204" s="408"/>
      <c r="BT204" s="408"/>
      <c r="BU204" s="408"/>
      <c r="BV204" s="408">
        <v>12416.643104886127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29328.982199999999</v>
      </c>
      <c r="CJ204" s="408">
        <v>-13553.946660000001</v>
      </c>
      <c r="CK204" s="408"/>
      <c r="CL204" s="408"/>
      <c r="CM204" s="408"/>
      <c r="CN204" s="408"/>
      <c r="CO204" s="408">
        <v>-13553.23869</v>
      </c>
      <c r="CP204" s="408">
        <v>0</v>
      </c>
      <c r="CQ204" s="408">
        <v>30</v>
      </c>
      <c r="CR204" s="408">
        <v>-105.21927138914543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-13.731026619402655</v>
      </c>
      <c r="DA204" s="408">
        <v>0</v>
      </c>
      <c r="DB204" s="408">
        <v>0</v>
      </c>
      <c r="DC204" s="408">
        <v>-1.5297100617317483E-6</v>
      </c>
      <c r="DD204" s="408">
        <v>0</v>
      </c>
      <c r="DE204" s="408">
        <v>0</v>
      </c>
      <c r="DF204" s="408">
        <v>0</v>
      </c>
      <c r="DG204" s="408">
        <v>-2.110230070684338E-7</v>
      </c>
      <c r="DH204" s="408">
        <v>0</v>
      </c>
      <c r="DI204" s="408">
        <v>-77.805329964465272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-10.391000882477101</v>
      </c>
      <c r="DP204" s="408">
        <v>-3.2919121820703765</v>
      </c>
      <c r="DQ204" s="408">
        <v>0</v>
      </c>
      <c r="DR204" s="408">
        <v>0</v>
      </c>
      <c r="DS204" s="408"/>
      <c r="DT204" s="408"/>
      <c r="DU204" s="408"/>
      <c r="DV204" s="408">
        <v>21932.79792028572</v>
      </c>
      <c r="DW204" s="408">
        <v>0</v>
      </c>
      <c r="DX204" s="408">
        <v>0</v>
      </c>
      <c r="DY204" s="408">
        <v>-13553.238689999998</v>
      </c>
      <c r="DZ204" s="408">
        <v>0</v>
      </c>
      <c r="EA204" s="408">
        <v>0</v>
      </c>
      <c r="EB204" s="408">
        <v>0</v>
      </c>
      <c r="EC204" s="408">
        <v>-13447.988052573246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265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211</v>
      </c>
      <c r="B205" s="408" t="s">
        <v>1031</v>
      </c>
      <c r="C205" s="408" t="s">
        <v>2235</v>
      </c>
      <c r="D205" s="408" t="s">
        <v>596</v>
      </c>
      <c r="E205" s="408" t="s">
        <v>993</v>
      </c>
      <c r="F205" s="408" t="s">
        <v>1317</v>
      </c>
      <c r="G205" s="408" t="s">
        <v>1317</v>
      </c>
      <c r="H205" s="408" t="s">
        <v>1317</v>
      </c>
      <c r="I205" s="408" t="s">
        <v>968</v>
      </c>
      <c r="J205" s="408" t="s">
        <v>2228</v>
      </c>
      <c r="K205" s="828">
        <v>44501</v>
      </c>
      <c r="L205" s="408">
        <v>0</v>
      </c>
      <c r="M205" s="408">
        <v>0</v>
      </c>
      <c r="N205" s="408">
        <v>20.187999999999999</v>
      </c>
      <c r="O205" s="408">
        <v>20.187999999999999</v>
      </c>
      <c r="P205" s="408">
        <v>20.187999999999999</v>
      </c>
      <c r="Q205" s="408">
        <v>20.187999999999999</v>
      </c>
      <c r="R205" s="408"/>
      <c r="S205" s="408">
        <v>2641.06</v>
      </c>
      <c r="T205" s="408">
        <v>252.22</v>
      </c>
      <c r="U205" s="408"/>
      <c r="V205" s="408">
        <v>58409.536639999998</v>
      </c>
      <c r="W205" s="408">
        <v>58409.536639999998</v>
      </c>
      <c r="X205" s="408">
        <v>34669.659919999998</v>
      </c>
      <c r="Y205" s="408">
        <v>0</v>
      </c>
      <c r="Z205" s="408">
        <v>1086.3616275445902</v>
      </c>
      <c r="AA205" s="408">
        <v>0</v>
      </c>
      <c r="AB205" s="408">
        <v>0</v>
      </c>
      <c r="AC205" s="408">
        <v>0</v>
      </c>
      <c r="AD205" s="408">
        <v>13077.120005006116</v>
      </c>
      <c r="AE205" s="408">
        <v>38601.279798056443</v>
      </c>
      <c r="AF205" s="408">
        <v>5091.8732298248478</v>
      </c>
      <c r="AG205" s="408">
        <v>0</v>
      </c>
      <c r="AH205" s="408">
        <v>0</v>
      </c>
      <c r="AI205" s="408">
        <v>0</v>
      </c>
      <c r="AJ205" s="408">
        <v>0</v>
      </c>
      <c r="AK205" s="408">
        <v>0</v>
      </c>
      <c r="AL205" s="408">
        <v>193.01805716657725</v>
      </c>
      <c r="AM205" s="408"/>
      <c r="AN205" s="408">
        <v>48.570433106655116</v>
      </c>
      <c r="AO205" s="408">
        <v>0</v>
      </c>
      <c r="AP205" s="408">
        <v>0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311.35631960796218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5403.22954943281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34673.094599999997</v>
      </c>
      <c r="CJ205" s="408">
        <v>-23736.472040000008</v>
      </c>
      <c r="CK205" s="408"/>
      <c r="CL205" s="408"/>
      <c r="CM205" s="408"/>
      <c r="CN205" s="408"/>
      <c r="CO205" s="408">
        <v>-23739.87672</v>
      </c>
      <c r="CP205" s="408">
        <v>0</v>
      </c>
      <c r="CQ205" s="408">
        <v>30</v>
      </c>
      <c r="CR205" s="408">
        <v>-71.623839868483628</v>
      </c>
      <c r="CS205" s="408">
        <v>0</v>
      </c>
      <c r="CT205" s="408">
        <v>0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-33.609350009368427</v>
      </c>
      <c r="DA205" s="408">
        <v>0</v>
      </c>
      <c r="DB205" s="408">
        <v>0</v>
      </c>
      <c r="DC205" s="408">
        <v>-7.1384783950634301E-7</v>
      </c>
      <c r="DD205" s="408">
        <v>0</v>
      </c>
      <c r="DE205" s="408">
        <v>0</v>
      </c>
      <c r="DF205" s="408">
        <v>0</v>
      </c>
      <c r="DG205" s="408">
        <v>-4.36504592471465E-8</v>
      </c>
      <c r="DH205" s="408">
        <v>0</v>
      </c>
      <c r="DI205" s="408">
        <v>-31.588233770617308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-4.8490216549651279</v>
      </c>
      <c r="DP205" s="408">
        <v>-1.5772336760329821</v>
      </c>
      <c r="DQ205" s="408">
        <v>0</v>
      </c>
      <c r="DR205" s="408">
        <v>0</v>
      </c>
      <c r="DS205" s="408"/>
      <c r="DT205" s="408"/>
      <c r="DU205" s="408"/>
      <c r="DV205" s="408">
        <v>38601.279798056443</v>
      </c>
      <c r="DW205" s="408">
        <v>0</v>
      </c>
      <c r="DX205" s="408">
        <v>0</v>
      </c>
      <c r="DY205" s="408">
        <v>-23739.87672</v>
      </c>
      <c r="DZ205" s="408">
        <v>0</v>
      </c>
      <c r="EA205" s="408">
        <v>0</v>
      </c>
      <c r="EB205" s="408">
        <v>0</v>
      </c>
      <c r="EC205" s="408">
        <v>-23668.186403986958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265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212</v>
      </c>
      <c r="B206" s="408" t="s">
        <v>2230</v>
      </c>
      <c r="C206" s="408" t="s">
        <v>2235</v>
      </c>
      <c r="D206" s="408" t="s">
        <v>596</v>
      </c>
      <c r="E206" s="408" t="s">
        <v>993</v>
      </c>
      <c r="F206" s="408" t="s">
        <v>1317</v>
      </c>
      <c r="G206" s="408" t="s">
        <v>1317</v>
      </c>
      <c r="H206" s="408" t="s">
        <v>1317</v>
      </c>
      <c r="I206" s="408" t="s">
        <v>968</v>
      </c>
      <c r="J206" s="408" t="s">
        <v>2228</v>
      </c>
      <c r="K206" s="828">
        <v>44501</v>
      </c>
      <c r="L206" s="408">
        <v>0</v>
      </c>
      <c r="M206" s="408">
        <v>0</v>
      </c>
      <c r="N206" s="408">
        <v>1.8859999999999999</v>
      </c>
      <c r="O206" s="408">
        <v>1.8859999999999999</v>
      </c>
      <c r="P206" s="408">
        <v>1.8859999999999999</v>
      </c>
      <c r="Q206" s="408">
        <v>1.8859999999999999</v>
      </c>
      <c r="R206" s="408"/>
      <c r="S206" s="408">
        <v>2641.06</v>
      </c>
      <c r="T206" s="408">
        <v>252.22</v>
      </c>
      <c r="U206" s="408"/>
      <c r="V206" s="408">
        <v>5456.7260799999995</v>
      </c>
      <c r="W206" s="408">
        <v>5456.7260799999995</v>
      </c>
      <c r="X206" s="408">
        <v>3238.9032399999996</v>
      </c>
      <c r="Y206" s="408">
        <v>0</v>
      </c>
      <c r="Z206" s="408">
        <v>101.48989645081718</v>
      </c>
      <c r="AA206" s="408">
        <v>0</v>
      </c>
      <c r="AB206" s="408">
        <v>0</v>
      </c>
      <c r="AC206" s="408">
        <v>0</v>
      </c>
      <c r="AD206" s="408">
        <v>1221.6885441570009</v>
      </c>
      <c r="AE206" s="408">
        <v>3606.2023825606525</v>
      </c>
      <c r="AF206" s="408">
        <v>475.69213946154468</v>
      </c>
      <c r="AG206" s="408">
        <v>0</v>
      </c>
      <c r="AH206" s="408">
        <v>0</v>
      </c>
      <c r="AI206" s="408">
        <v>0</v>
      </c>
      <c r="AJ206" s="408">
        <v>0</v>
      </c>
      <c r="AK206" s="408">
        <v>0</v>
      </c>
      <c r="AL206" s="408">
        <v>18.032101041022624</v>
      </c>
      <c r="AM206" s="408"/>
      <c r="AN206" s="408">
        <v>4.5375389755870597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29.087478639816556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504.77961810136122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3245.7725999999998</v>
      </c>
      <c r="CJ206" s="408">
        <v>-2210.9834800000003</v>
      </c>
      <c r="CK206" s="408"/>
      <c r="CL206" s="408"/>
      <c r="CM206" s="408"/>
      <c r="CN206" s="408"/>
      <c r="CO206" s="408">
        <v>-2217.8228399999998</v>
      </c>
      <c r="CP206" s="408">
        <v>0</v>
      </c>
      <c r="CQ206" s="408">
        <v>30</v>
      </c>
      <c r="CR206" s="408">
        <v>-6.6912305325915895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-3.1398471427417007</v>
      </c>
      <c r="DA206" s="408">
        <v>0</v>
      </c>
      <c r="DB206" s="408">
        <v>0</v>
      </c>
      <c r="DC206" s="408">
        <v>-6.6689040068013128E-8</v>
      </c>
      <c r="DD206" s="408">
        <v>0</v>
      </c>
      <c r="DE206" s="408">
        <v>0</v>
      </c>
      <c r="DF206" s="408">
        <v>0</v>
      </c>
      <c r="DG206" s="408">
        <v>-4.0779077892239002E-9</v>
      </c>
      <c r="DH206" s="408">
        <v>0</v>
      </c>
      <c r="DI206" s="408">
        <v>-2.9510307554678263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-0.45300449976542012</v>
      </c>
      <c r="DP206" s="408">
        <v>-0.14734806384972376</v>
      </c>
      <c r="DQ206" s="408">
        <v>0</v>
      </c>
      <c r="DR206" s="408">
        <v>0</v>
      </c>
      <c r="DS206" s="408"/>
      <c r="DT206" s="408"/>
      <c r="DU206" s="408"/>
      <c r="DV206" s="408">
        <v>3606.2023825606525</v>
      </c>
      <c r="DW206" s="408">
        <v>0</v>
      </c>
      <c r="DX206" s="408">
        <v>0</v>
      </c>
      <c r="DY206" s="408">
        <v>-2217.8228399999998</v>
      </c>
      <c r="DZ206" s="408">
        <v>0</v>
      </c>
      <c r="EA206" s="408">
        <v>0</v>
      </c>
      <c r="EB206" s="408">
        <v>0</v>
      </c>
      <c r="EC206" s="408">
        <v>-2211.1253991440162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265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213</v>
      </c>
      <c r="B207" s="408" t="s">
        <v>1031</v>
      </c>
      <c r="C207" s="408" t="s">
        <v>2235</v>
      </c>
      <c r="D207" s="408" t="s">
        <v>596</v>
      </c>
      <c r="E207" s="408" t="s">
        <v>993</v>
      </c>
      <c r="F207" s="408" t="s">
        <v>1317</v>
      </c>
      <c r="G207" s="408" t="s">
        <v>1317</v>
      </c>
      <c r="H207" s="408" t="s">
        <v>1317</v>
      </c>
      <c r="I207" s="408" t="s">
        <v>2236</v>
      </c>
      <c r="J207" s="408" t="s">
        <v>2228</v>
      </c>
      <c r="K207" s="828">
        <v>44501</v>
      </c>
      <c r="L207" s="408">
        <v>0</v>
      </c>
      <c r="M207" s="408">
        <v>0</v>
      </c>
      <c r="N207" s="408">
        <v>271.642</v>
      </c>
      <c r="O207" s="408">
        <v>271.642</v>
      </c>
      <c r="P207" s="408">
        <v>271.642</v>
      </c>
      <c r="Q207" s="408">
        <v>271.642</v>
      </c>
      <c r="R207" s="408"/>
      <c r="S207" s="408">
        <v>81.2</v>
      </c>
      <c r="T207" s="408">
        <v>252.22</v>
      </c>
      <c r="U207" s="408"/>
      <c r="V207" s="408">
        <v>90570.875639999984</v>
      </c>
      <c r="W207" s="408">
        <v>90570.875639999984</v>
      </c>
      <c r="X207" s="408">
        <v>90060.188679999992</v>
      </c>
      <c r="Y207" s="408">
        <v>0</v>
      </c>
      <c r="Z207" s="408">
        <v>14617.666199200892</v>
      </c>
      <c r="AA207" s="408">
        <v>0</v>
      </c>
      <c r="AB207" s="408">
        <v>0</v>
      </c>
      <c r="AC207" s="408">
        <v>0</v>
      </c>
      <c r="AD207" s="408">
        <v>0</v>
      </c>
      <c r="AE207" s="408">
        <v>0</v>
      </c>
      <c r="AF207" s="408">
        <v>68514.297002976091</v>
      </c>
      <c r="AG207" s="408">
        <v>0</v>
      </c>
      <c r="AH207" s="408">
        <v>0</v>
      </c>
      <c r="AI207" s="408">
        <v>0</v>
      </c>
      <c r="AJ207" s="408">
        <v>0</v>
      </c>
      <c r="AK207" s="408">
        <v>0</v>
      </c>
      <c r="AL207" s="408">
        <v>2597.1770895999298</v>
      </c>
      <c r="AM207" s="408"/>
      <c r="AN207" s="408">
        <v>653.5451550405196</v>
      </c>
      <c r="AO207" s="408">
        <v>0</v>
      </c>
      <c r="AP207" s="408">
        <v>0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>
        <v>0</v>
      </c>
      <c r="BG207" s="408">
        <v>4189.491448927386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72703.788451903471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90059.525599999994</v>
      </c>
      <c r="CJ207" s="408">
        <v>-511.38003999998909</v>
      </c>
      <c r="CK207" s="408"/>
      <c r="CL207" s="408"/>
      <c r="CM207" s="408"/>
      <c r="CN207" s="408"/>
      <c r="CO207" s="408">
        <v>-510.68696000000261</v>
      </c>
      <c r="CP207" s="408">
        <v>0</v>
      </c>
      <c r="CQ207" s="408">
        <v>30</v>
      </c>
      <c r="CR207" s="408">
        <v>-511.50842353422195</v>
      </c>
      <c r="CS207" s="408">
        <v>0</v>
      </c>
      <c r="CT207" s="408">
        <v>0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0</v>
      </c>
      <c r="DA207" s="408">
        <v>0</v>
      </c>
      <c r="DB207" s="408">
        <v>0</v>
      </c>
      <c r="DC207" s="408">
        <v>-9.6052535809576511E-6</v>
      </c>
      <c r="DD207" s="408">
        <v>0</v>
      </c>
      <c r="DE207" s="408">
        <v>0</v>
      </c>
      <c r="DF207" s="408">
        <v>0</v>
      </c>
      <c r="DG207" s="408">
        <v>-5.8734440244734287E-7</v>
      </c>
      <c r="DH207" s="408">
        <v>0</v>
      </c>
      <c r="DI207" s="408">
        <v>-425.03918158896522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-65.246579175650822</v>
      </c>
      <c r="DP207" s="408">
        <v>-21.222652577023609</v>
      </c>
      <c r="DQ207" s="408">
        <v>0</v>
      </c>
      <c r="DR207" s="408">
        <v>0</v>
      </c>
      <c r="DS207" s="408"/>
      <c r="DT207" s="408"/>
      <c r="DU207" s="408"/>
      <c r="DV207" s="408">
        <v>0</v>
      </c>
      <c r="DW207" s="408">
        <v>0</v>
      </c>
      <c r="DX207" s="408">
        <v>0</v>
      </c>
      <c r="DY207" s="408">
        <v>-510.68696000000273</v>
      </c>
      <c r="DZ207" s="408">
        <v>0</v>
      </c>
      <c r="EA207" s="408">
        <v>0</v>
      </c>
      <c r="EB207" s="408">
        <v>0</v>
      </c>
      <c r="EC207" s="408">
        <v>0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265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214</v>
      </c>
      <c r="B208" s="408" t="s">
        <v>2230</v>
      </c>
      <c r="C208" s="408" t="s">
        <v>2235</v>
      </c>
      <c r="D208" s="408" t="s">
        <v>596</v>
      </c>
      <c r="E208" s="408" t="s">
        <v>993</v>
      </c>
      <c r="F208" s="408" t="s">
        <v>1317</v>
      </c>
      <c r="G208" s="408" t="s">
        <v>1317</v>
      </c>
      <c r="H208" s="408" t="s">
        <v>1317</v>
      </c>
      <c r="I208" s="408" t="s">
        <v>2236</v>
      </c>
      <c r="J208" s="408" t="s">
        <v>2228</v>
      </c>
      <c r="K208" s="828">
        <v>44501</v>
      </c>
      <c r="L208" s="408">
        <v>0</v>
      </c>
      <c r="M208" s="408">
        <v>0</v>
      </c>
      <c r="N208" s="408">
        <v>5.92</v>
      </c>
      <c r="O208" s="408">
        <v>5.92</v>
      </c>
      <c r="P208" s="408">
        <v>5.92</v>
      </c>
      <c r="Q208" s="408">
        <v>5.92</v>
      </c>
      <c r="R208" s="408"/>
      <c r="S208" s="408">
        <v>81.2</v>
      </c>
      <c r="T208" s="408">
        <v>252.22</v>
      </c>
      <c r="U208" s="408"/>
      <c r="V208" s="408">
        <v>1973.8463999999999</v>
      </c>
      <c r="W208" s="408">
        <v>1973.8463999999999</v>
      </c>
      <c r="X208" s="408">
        <v>1962.7167999999999</v>
      </c>
      <c r="Y208" s="408">
        <v>0</v>
      </c>
      <c r="Z208" s="408">
        <v>318.56849787319072</v>
      </c>
      <c r="AA208" s="408">
        <v>0</v>
      </c>
      <c r="AB208" s="408">
        <v>0</v>
      </c>
      <c r="AC208" s="408">
        <v>0</v>
      </c>
      <c r="AD208" s="408">
        <v>0</v>
      </c>
      <c r="AE208" s="408">
        <v>0</v>
      </c>
      <c r="AF208" s="408">
        <v>1493.1587834635973</v>
      </c>
      <c r="AG208" s="408">
        <v>0</v>
      </c>
      <c r="AH208" s="408">
        <v>0</v>
      </c>
      <c r="AI208" s="408">
        <v>0</v>
      </c>
      <c r="AJ208" s="408">
        <v>0</v>
      </c>
      <c r="AK208" s="408">
        <v>0</v>
      </c>
      <c r="AL208" s="408">
        <v>56.60129276927568</v>
      </c>
      <c r="AM208" s="408"/>
      <c r="AN208" s="408">
        <v>14.242964334822583</v>
      </c>
      <c r="AO208" s="408">
        <v>0</v>
      </c>
      <c r="AP208" s="408">
        <v>0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91.303220332828218</v>
      </c>
      <c r="BH208" s="408">
        <v>0</v>
      </c>
      <c r="BI208" s="408">
        <v>0</v>
      </c>
      <c r="BJ208" s="408">
        <v>0</v>
      </c>
      <c r="BK208" s="408">
        <v>0</v>
      </c>
      <c r="BL208" s="408">
        <v>0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1584.4620037964255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1962.7167999999999</v>
      </c>
      <c r="CJ208" s="408">
        <v>-11.159599999999955</v>
      </c>
      <c r="CK208" s="408"/>
      <c r="CL208" s="408"/>
      <c r="CM208" s="408"/>
      <c r="CN208" s="408"/>
      <c r="CO208" s="408">
        <v>-11.129600000000057</v>
      </c>
      <c r="CP208" s="408">
        <v>0</v>
      </c>
      <c r="CQ208" s="408">
        <v>30</v>
      </c>
      <c r="CR208" s="408">
        <v>-11.147502475032752</v>
      </c>
      <c r="CS208" s="408">
        <v>0</v>
      </c>
      <c r="CT208" s="408">
        <v>0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0</v>
      </c>
      <c r="DA208" s="408">
        <v>0</v>
      </c>
      <c r="DB208" s="408">
        <v>0</v>
      </c>
      <c r="DC208" s="408">
        <v>-2.0933134692313615E-7</v>
      </c>
      <c r="DD208" s="408">
        <v>0</v>
      </c>
      <c r="DE208" s="408">
        <v>0</v>
      </c>
      <c r="DF208" s="408">
        <v>0</v>
      </c>
      <c r="DG208" s="408">
        <v>-1.2800214221897477E-8</v>
      </c>
      <c r="DH208" s="408">
        <v>0</v>
      </c>
      <c r="DI208" s="408">
        <v>-9.2630445770781762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-1.4219441350006718</v>
      </c>
      <c r="DP208" s="408">
        <v>-0.46251354082203555</v>
      </c>
      <c r="DQ208" s="408">
        <v>0</v>
      </c>
      <c r="DR208" s="408">
        <v>0</v>
      </c>
      <c r="DS208" s="408"/>
      <c r="DT208" s="408"/>
      <c r="DU208" s="408"/>
      <c r="DV208" s="408">
        <v>0</v>
      </c>
      <c r="DW208" s="408">
        <v>0</v>
      </c>
      <c r="DX208" s="408">
        <v>0</v>
      </c>
      <c r="DY208" s="408">
        <v>-11.129600000000039</v>
      </c>
      <c r="DZ208" s="408">
        <v>0</v>
      </c>
      <c r="EA208" s="408">
        <v>0</v>
      </c>
      <c r="EB208" s="408">
        <v>0</v>
      </c>
      <c r="EC208" s="408">
        <v>0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265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215</v>
      </c>
      <c r="B209" s="408" t="s">
        <v>1031</v>
      </c>
      <c r="C209" s="408" t="s">
        <v>2235</v>
      </c>
      <c r="D209" s="408" t="s">
        <v>596</v>
      </c>
      <c r="E209" s="408" t="s">
        <v>993</v>
      </c>
      <c r="F209" s="408" t="s">
        <v>1317</v>
      </c>
      <c r="G209" s="408" t="s">
        <v>1317</v>
      </c>
      <c r="H209" s="408" t="s">
        <v>1317</v>
      </c>
      <c r="I209" s="408" t="s">
        <v>1317</v>
      </c>
      <c r="J209" s="408" t="s">
        <v>2228</v>
      </c>
      <c r="K209" s="828">
        <v>44501</v>
      </c>
      <c r="L209" s="408">
        <v>2420</v>
      </c>
      <c r="M209" s="408">
        <v>2420</v>
      </c>
      <c r="N209" s="408">
        <v>0</v>
      </c>
      <c r="O209" s="408">
        <v>0</v>
      </c>
      <c r="P209" s="408">
        <v>0</v>
      </c>
      <c r="Q209" s="408">
        <v>0</v>
      </c>
      <c r="R209" s="408">
        <v>74.44</v>
      </c>
      <c r="S209" s="408"/>
      <c r="T209" s="408"/>
      <c r="U209" s="408">
        <v>180144.8</v>
      </c>
      <c r="V209" s="408"/>
      <c r="W209" s="408">
        <v>180144.8</v>
      </c>
      <c r="X209" s="408">
        <v>109916.40000000001</v>
      </c>
      <c r="Y209" s="408">
        <v>0</v>
      </c>
      <c r="Z209" s="408">
        <v>0</v>
      </c>
      <c r="AA209" s="408">
        <v>0</v>
      </c>
      <c r="AB209" s="408">
        <v>0</v>
      </c>
      <c r="AC209" s="408">
        <v>0</v>
      </c>
      <c r="AD209" s="408">
        <v>65865.363923693352</v>
      </c>
      <c r="AE209" s="408">
        <v>114276.12180071125</v>
      </c>
      <c r="AF209" s="408"/>
      <c r="AG209" s="408"/>
      <c r="AH209" s="408"/>
      <c r="AI209" s="408">
        <v>0</v>
      </c>
      <c r="AJ209" s="408">
        <v>0</v>
      </c>
      <c r="AK209" s="408">
        <v>0</v>
      </c>
      <c r="AL209" s="408">
        <v>0</v>
      </c>
      <c r="AM209" s="408"/>
      <c r="AN209" s="408">
        <v>0</v>
      </c>
      <c r="AO209" s="408">
        <v>0</v>
      </c>
      <c r="AP209" s="408">
        <v>0</v>
      </c>
      <c r="AQ209" s="408">
        <v>0</v>
      </c>
      <c r="AR209" s="408">
        <v>0</v>
      </c>
      <c r="AS209" s="408"/>
      <c r="AT209" s="408"/>
      <c r="AU209" s="408">
        <v>0</v>
      </c>
      <c r="AV209" s="408">
        <v>0</v>
      </c>
      <c r="AW209" s="408">
        <v>0</v>
      </c>
      <c r="AX209" s="408"/>
      <c r="AY209" s="408"/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/>
      <c r="BG209" s="408">
        <v>0</v>
      </c>
      <c r="BH209" s="408">
        <v>0</v>
      </c>
      <c r="BI209" s="408">
        <v>0</v>
      </c>
      <c r="BJ209" s="408">
        <v>0</v>
      </c>
      <c r="BK209" s="408">
        <v>118322.3</v>
      </c>
      <c r="BL209" s="408">
        <v>15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0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109916.40000000001</v>
      </c>
      <c r="CJ209" s="408">
        <v>-70228.430000000008</v>
      </c>
      <c r="CK209" s="408"/>
      <c r="CL209" s="408"/>
      <c r="CM209" s="408"/>
      <c r="CN209" s="408"/>
      <c r="CO209" s="408">
        <v>-70228.399999999994</v>
      </c>
      <c r="CP209" s="408">
        <v>0</v>
      </c>
      <c r="CQ209" s="408">
        <v>30</v>
      </c>
      <c r="CR209" s="408">
        <v>-169.27978551530396</v>
      </c>
      <c r="CS209" s="408">
        <v>0</v>
      </c>
      <c r="CT209" s="408">
        <v>0</v>
      </c>
      <c r="CU209" s="408">
        <v>0</v>
      </c>
      <c r="CV209" s="408">
        <v>0</v>
      </c>
      <c r="CW209" s="408"/>
      <c r="CX209" s="408"/>
      <c r="CY209" s="408"/>
      <c r="CZ209" s="408">
        <v>-169.27978551530396</v>
      </c>
      <c r="DA209" s="408">
        <v>0</v>
      </c>
      <c r="DB209" s="408">
        <v>0</v>
      </c>
      <c r="DC209" s="408"/>
      <c r="DD209" s="408"/>
      <c r="DE209" s="408">
        <v>0</v>
      </c>
      <c r="DF209" s="408">
        <v>0</v>
      </c>
      <c r="DG209" s="408">
        <v>0</v>
      </c>
      <c r="DH209" s="408">
        <v>0</v>
      </c>
      <c r="DI209" s="408">
        <v>0</v>
      </c>
      <c r="DJ209" s="408"/>
      <c r="DK209" s="408">
        <v>0</v>
      </c>
      <c r="DL209" s="408">
        <v>0</v>
      </c>
      <c r="DM209" s="408"/>
      <c r="DN209" s="408">
        <v>0</v>
      </c>
      <c r="DO209" s="408">
        <v>0</v>
      </c>
      <c r="DP209" s="408">
        <v>0</v>
      </c>
      <c r="DQ209" s="408">
        <v>0</v>
      </c>
      <c r="DR209" s="408">
        <v>0</v>
      </c>
      <c r="DS209" s="408"/>
      <c r="DT209" s="408"/>
      <c r="DU209" s="408">
        <v>114276.12180071125</v>
      </c>
      <c r="DV209" s="408"/>
      <c r="DW209" s="408">
        <v>0</v>
      </c>
      <c r="DX209" s="408">
        <v>0</v>
      </c>
      <c r="DY209" s="408">
        <v>-70228.39999999998</v>
      </c>
      <c r="DZ209" s="408"/>
      <c r="EA209" s="408">
        <v>0</v>
      </c>
      <c r="EB209" s="408"/>
      <c r="EC209" s="408">
        <v>-70067.84662202149</v>
      </c>
      <c r="ED209" s="408"/>
      <c r="EE209" s="408">
        <v>0</v>
      </c>
      <c r="EF209" s="408">
        <v>0</v>
      </c>
      <c r="EG209" s="408"/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/>
      <c r="EN209" s="408"/>
      <c r="EO209" s="408">
        <v>0</v>
      </c>
      <c r="EP209" s="408">
        <v>0</v>
      </c>
      <c r="EQ209" s="408"/>
      <c r="ER209" s="408">
        <v>0</v>
      </c>
      <c r="ES209" s="408"/>
      <c r="ET209" s="408">
        <v>0</v>
      </c>
      <c r="EU209" s="408"/>
      <c r="EV209" s="408">
        <v>265</v>
      </c>
      <c r="EW209" s="408"/>
      <c r="EX209" s="408"/>
      <c r="EY209" s="408"/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216</v>
      </c>
      <c r="B210" s="408" t="s">
        <v>2230</v>
      </c>
      <c r="C210" s="408" t="s">
        <v>2235</v>
      </c>
      <c r="D210" s="408" t="s">
        <v>596</v>
      </c>
      <c r="E210" s="408" t="s">
        <v>993</v>
      </c>
      <c r="F210" s="408" t="s">
        <v>1317</v>
      </c>
      <c r="G210" s="408" t="s">
        <v>1317</v>
      </c>
      <c r="H210" s="408" t="s">
        <v>1317</v>
      </c>
      <c r="I210" s="408" t="s">
        <v>1317</v>
      </c>
      <c r="J210" s="408" t="s">
        <v>2228</v>
      </c>
      <c r="K210" s="828">
        <v>44501</v>
      </c>
      <c r="L210" s="408">
        <v>161</v>
      </c>
      <c r="M210" s="408">
        <v>161</v>
      </c>
      <c r="N210" s="408">
        <v>0</v>
      </c>
      <c r="O210" s="408">
        <v>0</v>
      </c>
      <c r="P210" s="408">
        <v>0</v>
      </c>
      <c r="Q210" s="408">
        <v>0</v>
      </c>
      <c r="R210" s="408">
        <v>74.44</v>
      </c>
      <c r="S210" s="408"/>
      <c r="T210" s="408"/>
      <c r="U210" s="408">
        <v>11984.84</v>
      </c>
      <c r="V210" s="408"/>
      <c r="W210" s="408">
        <v>11984.84</v>
      </c>
      <c r="X210" s="408">
        <v>7312.62</v>
      </c>
      <c r="Y210" s="408">
        <v>0</v>
      </c>
      <c r="Z210" s="408">
        <v>0</v>
      </c>
      <c r="AA210" s="408">
        <v>0</v>
      </c>
      <c r="AB210" s="408">
        <v>0</v>
      </c>
      <c r="AC210" s="408">
        <v>0</v>
      </c>
      <c r="AD210" s="408">
        <v>4381.9518974027396</v>
      </c>
      <c r="AE210" s="408">
        <v>7602.66760740269</v>
      </c>
      <c r="AF210" s="408"/>
      <c r="AG210" s="408"/>
      <c r="AH210" s="408"/>
      <c r="AI210" s="408">
        <v>0</v>
      </c>
      <c r="AJ210" s="408">
        <v>0</v>
      </c>
      <c r="AK210" s="408">
        <v>0</v>
      </c>
      <c r="AL210" s="408">
        <v>0</v>
      </c>
      <c r="AM210" s="408"/>
      <c r="AN210" s="408">
        <v>0</v>
      </c>
      <c r="AO210" s="408">
        <v>0</v>
      </c>
      <c r="AP210" s="408">
        <v>0</v>
      </c>
      <c r="AQ210" s="408">
        <v>0</v>
      </c>
      <c r="AR210" s="408">
        <v>0</v>
      </c>
      <c r="AS210" s="408"/>
      <c r="AT210" s="408"/>
      <c r="AU210" s="408">
        <v>0</v>
      </c>
      <c r="AV210" s="408">
        <v>0</v>
      </c>
      <c r="AW210" s="408">
        <v>0</v>
      </c>
      <c r="AX210" s="408"/>
      <c r="AY210" s="408"/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/>
      <c r="BG210" s="408">
        <v>0</v>
      </c>
      <c r="BH210" s="408">
        <v>0</v>
      </c>
      <c r="BI210" s="408">
        <v>0</v>
      </c>
      <c r="BJ210" s="408">
        <v>0</v>
      </c>
      <c r="BK210" s="408">
        <v>7646.19</v>
      </c>
      <c r="BL210" s="408">
        <v>1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0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7312.62</v>
      </c>
      <c r="CJ210" s="408">
        <v>-4672.2500000000009</v>
      </c>
      <c r="CK210" s="408"/>
      <c r="CL210" s="408"/>
      <c r="CM210" s="408"/>
      <c r="CN210" s="408"/>
      <c r="CO210" s="408">
        <v>-4672.2199999999993</v>
      </c>
      <c r="CP210" s="408">
        <v>0</v>
      </c>
      <c r="CQ210" s="408">
        <v>30</v>
      </c>
      <c r="CR210" s="408">
        <v>-11.262002259489236</v>
      </c>
      <c r="CS210" s="408">
        <v>0</v>
      </c>
      <c r="CT210" s="408">
        <v>0</v>
      </c>
      <c r="CU210" s="408">
        <v>0</v>
      </c>
      <c r="CV210" s="408">
        <v>0</v>
      </c>
      <c r="CW210" s="408"/>
      <c r="CX210" s="408"/>
      <c r="CY210" s="408"/>
      <c r="CZ210" s="408">
        <v>-11.262002259489236</v>
      </c>
      <c r="DA210" s="408">
        <v>0</v>
      </c>
      <c r="DB210" s="408">
        <v>0</v>
      </c>
      <c r="DC210" s="408"/>
      <c r="DD210" s="408"/>
      <c r="DE210" s="408">
        <v>0</v>
      </c>
      <c r="DF210" s="408">
        <v>0</v>
      </c>
      <c r="DG210" s="408">
        <v>0</v>
      </c>
      <c r="DH210" s="408">
        <v>0</v>
      </c>
      <c r="DI210" s="408">
        <v>0</v>
      </c>
      <c r="DJ210" s="408"/>
      <c r="DK210" s="408">
        <v>0</v>
      </c>
      <c r="DL210" s="408">
        <v>0</v>
      </c>
      <c r="DM210" s="408"/>
      <c r="DN210" s="408">
        <v>0</v>
      </c>
      <c r="DO210" s="408">
        <v>0</v>
      </c>
      <c r="DP210" s="408">
        <v>0</v>
      </c>
      <c r="DQ210" s="408">
        <v>0</v>
      </c>
      <c r="DR210" s="408">
        <v>0</v>
      </c>
      <c r="DS210" s="408"/>
      <c r="DT210" s="408"/>
      <c r="DU210" s="408">
        <v>7602.66760740269</v>
      </c>
      <c r="DV210" s="408"/>
      <c r="DW210" s="408">
        <v>0</v>
      </c>
      <c r="DX210" s="408">
        <v>0</v>
      </c>
      <c r="DY210" s="408">
        <v>-4672.22</v>
      </c>
      <c r="DZ210" s="408"/>
      <c r="EA210" s="408">
        <v>0</v>
      </c>
      <c r="EB210" s="408"/>
      <c r="EC210" s="408">
        <v>-4661.5385562584543</v>
      </c>
      <c r="ED210" s="408"/>
      <c r="EE210" s="408">
        <v>0</v>
      </c>
      <c r="EF210" s="408">
        <v>0</v>
      </c>
      <c r="EG210" s="408"/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/>
      <c r="EN210" s="408"/>
      <c r="EO210" s="408">
        <v>0</v>
      </c>
      <c r="EP210" s="408">
        <v>0</v>
      </c>
      <c r="EQ210" s="408"/>
      <c r="ER210" s="408">
        <v>0</v>
      </c>
      <c r="ES210" s="408"/>
      <c r="ET210" s="408">
        <v>0</v>
      </c>
      <c r="EU210" s="408"/>
      <c r="EV210" s="408">
        <v>265</v>
      </c>
      <c r="EW210" s="408"/>
      <c r="EX210" s="408"/>
      <c r="EY210" s="408"/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217</v>
      </c>
      <c r="B211" s="408" t="s">
        <v>1031</v>
      </c>
      <c r="C211" s="408" t="s">
        <v>2227</v>
      </c>
      <c r="D211" s="408" t="s">
        <v>2237</v>
      </c>
      <c r="E211" s="408" t="s">
        <v>969</v>
      </c>
      <c r="F211" s="408" t="s">
        <v>1317</v>
      </c>
      <c r="G211" s="408" t="s">
        <v>1317</v>
      </c>
      <c r="H211" s="408" t="s">
        <v>1317</v>
      </c>
      <c r="I211" s="408" t="s">
        <v>1317</v>
      </c>
      <c r="J211" s="408" t="s">
        <v>2228</v>
      </c>
      <c r="K211" s="828">
        <v>44501</v>
      </c>
      <c r="L211" s="408">
        <v>0</v>
      </c>
      <c r="M211" s="408">
        <v>0</v>
      </c>
      <c r="N211" s="408">
        <v>3795.2049999999999</v>
      </c>
      <c r="O211" s="408">
        <v>3795.2049999999999</v>
      </c>
      <c r="P211" s="408">
        <v>3795.2049999999999</v>
      </c>
      <c r="Q211" s="408">
        <v>3795.2049999999999</v>
      </c>
      <c r="R211" s="408"/>
      <c r="S211" s="408">
        <v>739.04</v>
      </c>
      <c r="T211" s="408">
        <v>252.22</v>
      </c>
      <c r="U211" s="408"/>
      <c r="V211" s="408">
        <v>3762034.9082999998</v>
      </c>
      <c r="W211" s="408">
        <v>3762034.9082999998</v>
      </c>
      <c r="X211" s="408">
        <v>2573035.1338499999</v>
      </c>
      <c r="Y211" s="408">
        <v>0</v>
      </c>
      <c r="Z211" s="408">
        <v>234745.40928293395</v>
      </c>
      <c r="AA211" s="408">
        <v>0</v>
      </c>
      <c r="AB211" s="408">
        <v>0</v>
      </c>
      <c r="AC211" s="408">
        <v>0</v>
      </c>
      <c r="AD211" s="408">
        <v>468698.63650529552</v>
      </c>
      <c r="AE211" s="408">
        <v>1924122.5198460035</v>
      </c>
      <c r="AF211" s="408">
        <v>957237.10824239219</v>
      </c>
      <c r="AG211" s="408">
        <v>0</v>
      </c>
      <c r="AH211" s="408">
        <v>0</v>
      </c>
      <c r="AI211" s="408">
        <v>0</v>
      </c>
      <c r="AJ211" s="408">
        <v>0</v>
      </c>
      <c r="AK211" s="408">
        <v>0</v>
      </c>
      <c r="AL211" s="408">
        <v>36286.065764259947</v>
      </c>
      <c r="AM211" s="408"/>
      <c r="AN211" s="408">
        <v>8893.2983324005472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132051.30383498344</v>
      </c>
      <c r="BH211" s="408">
        <v>0</v>
      </c>
      <c r="BI211" s="408">
        <v>0</v>
      </c>
      <c r="BJ211" s="408">
        <v>0</v>
      </c>
      <c r="BK211" s="408">
        <v>122831.82</v>
      </c>
      <c r="BL211" s="408">
        <v>12103</v>
      </c>
      <c r="BM211" s="408"/>
      <c r="BN211" s="408"/>
      <c r="BO211" s="408"/>
      <c r="BP211" s="408"/>
      <c r="BQ211" s="408"/>
      <c r="BR211" s="408">
        <v>308739.92674999987</v>
      </c>
      <c r="BS211" s="408"/>
      <c r="BT211" s="408"/>
      <c r="BU211" s="408"/>
      <c r="BV211" s="408">
        <v>1089288.4120773757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2264298.1902000001</v>
      </c>
      <c r="CJ211" s="408">
        <v>-1046297.1133499993</v>
      </c>
      <c r="CK211" s="408"/>
      <c r="CL211" s="408"/>
      <c r="CM211" s="408"/>
      <c r="CN211" s="408"/>
      <c r="CO211" s="408">
        <v>-1188999.7744499999</v>
      </c>
      <c r="CP211" s="408">
        <v>0</v>
      </c>
      <c r="CQ211" s="408">
        <v>30</v>
      </c>
      <c r="CR211" s="408">
        <v>-9230.6859497576952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-1204.5967703264905</v>
      </c>
      <c r="DA211" s="408">
        <v>0</v>
      </c>
      <c r="DB211" s="408">
        <v>0</v>
      </c>
      <c r="DC211" s="408">
        <v>-1.3419846072793007E-4</v>
      </c>
      <c r="DD211" s="408">
        <v>0</v>
      </c>
      <c r="DE211" s="408">
        <v>0</v>
      </c>
      <c r="DF211" s="408">
        <v>0</v>
      </c>
      <c r="DG211" s="408">
        <v>-1.8512626411393285E-5</v>
      </c>
      <c r="DH211" s="408">
        <v>0</v>
      </c>
      <c r="DI211" s="408">
        <v>-6825.7131667734939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-911.5826842694587</v>
      </c>
      <c r="DP211" s="408">
        <v>-288.79317567680846</v>
      </c>
      <c r="DQ211" s="408">
        <v>0</v>
      </c>
      <c r="DR211" s="408">
        <v>0</v>
      </c>
      <c r="DS211" s="408"/>
      <c r="DT211" s="408"/>
      <c r="DU211" s="408"/>
      <c r="DV211" s="408">
        <v>1924122.5198460035</v>
      </c>
      <c r="DW211" s="408">
        <v>0</v>
      </c>
      <c r="DX211" s="408">
        <v>0</v>
      </c>
      <c r="DY211" s="408">
        <v>-1188999.7744499999</v>
      </c>
      <c r="DZ211" s="408">
        <v>0</v>
      </c>
      <c r="EA211" s="408">
        <v>0</v>
      </c>
      <c r="EB211" s="408">
        <v>0</v>
      </c>
      <c r="EC211" s="408">
        <v>-1179766.3368176012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265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218</v>
      </c>
      <c r="B212" s="408" t="s">
        <v>2229</v>
      </c>
      <c r="C212" s="408" t="s">
        <v>2227</v>
      </c>
      <c r="D212" s="408" t="s">
        <v>2237</v>
      </c>
      <c r="E212" s="408" t="s">
        <v>969</v>
      </c>
      <c r="F212" s="408" t="s">
        <v>1317</v>
      </c>
      <c r="G212" s="408" t="s">
        <v>1317</v>
      </c>
      <c r="H212" s="408" t="s">
        <v>1317</v>
      </c>
      <c r="I212" s="408" t="s">
        <v>1317</v>
      </c>
      <c r="J212" s="408" t="s">
        <v>2228</v>
      </c>
      <c r="K212" s="828">
        <v>44501</v>
      </c>
      <c r="L212" s="408">
        <v>0</v>
      </c>
      <c r="M212" s="408">
        <v>0</v>
      </c>
      <c r="N212" s="408">
        <v>-8.1120000000000001</v>
      </c>
      <c r="O212" s="408">
        <v>-8.1120000000000001</v>
      </c>
      <c r="P212" s="408">
        <v>-8.1120000000000001</v>
      </c>
      <c r="Q212" s="408">
        <v>-8.1120000000000001</v>
      </c>
      <c r="R212" s="408"/>
      <c r="S212" s="408">
        <v>739.04</v>
      </c>
      <c r="T212" s="408">
        <v>252.22</v>
      </c>
      <c r="U212" s="408"/>
      <c r="V212" s="408">
        <v>-8041.1011199999994</v>
      </c>
      <c r="W212" s="408">
        <v>-8041.1011199999994</v>
      </c>
      <c r="X212" s="408">
        <v>-5499.6926400000002</v>
      </c>
      <c r="Y212" s="408">
        <v>0</v>
      </c>
      <c r="Z212" s="408">
        <v>-501.75280652907031</v>
      </c>
      <c r="AA212" s="408">
        <v>0</v>
      </c>
      <c r="AB212" s="408">
        <v>0</v>
      </c>
      <c r="AC212" s="408">
        <v>0</v>
      </c>
      <c r="AD212" s="408">
        <v>-1001.8123762302582</v>
      </c>
      <c r="AE212" s="408">
        <v>-4112.6847906742278</v>
      </c>
      <c r="AF212" s="408">
        <v>-2046.0310897730915</v>
      </c>
      <c r="AG212" s="408">
        <v>0</v>
      </c>
      <c r="AH212" s="408">
        <v>0</v>
      </c>
      <c r="AI212" s="408">
        <v>0</v>
      </c>
      <c r="AJ212" s="408">
        <v>0</v>
      </c>
      <c r="AK212" s="408">
        <v>0</v>
      </c>
      <c r="AL212" s="408">
        <v>-77.559068740602086</v>
      </c>
      <c r="AM212" s="408"/>
      <c r="AN212" s="408">
        <v>-19.00883774985363</v>
      </c>
      <c r="AO212" s="408">
        <v>0</v>
      </c>
      <c r="AP212" s="408">
        <v>0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>
        <v>0</v>
      </c>
      <c r="BG212" s="408">
        <v>-282.25093946424124</v>
      </c>
      <c r="BH212" s="408">
        <v>0</v>
      </c>
      <c r="BI212" s="408">
        <v>0</v>
      </c>
      <c r="BJ212" s="408">
        <v>0</v>
      </c>
      <c r="BK212" s="408">
        <v>0</v>
      </c>
      <c r="BL212" s="408">
        <v>0</v>
      </c>
      <c r="BM212" s="408"/>
      <c r="BN212" s="408"/>
      <c r="BO212" s="408"/>
      <c r="BP212" s="408"/>
      <c r="BQ212" s="408"/>
      <c r="BR212" s="408">
        <v>-659.91119999999978</v>
      </c>
      <c r="BS212" s="408"/>
      <c r="BT212" s="408"/>
      <c r="BU212" s="408"/>
      <c r="BV212" s="408">
        <v>-2328.2820292373326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-4838.5882000000001</v>
      </c>
      <c r="CJ212" s="408">
        <v>2237.56052</v>
      </c>
      <c r="CK212" s="408"/>
      <c r="CL212" s="408"/>
      <c r="CM212" s="408"/>
      <c r="CN212" s="408"/>
      <c r="CO212" s="408">
        <v>2541.4084799999996</v>
      </c>
      <c r="CP212" s="408">
        <v>0</v>
      </c>
      <c r="CQ212" s="408">
        <v>30</v>
      </c>
      <c r="CR212" s="408">
        <v>19.729981496237997</v>
      </c>
      <c r="CS212" s="408">
        <v>0</v>
      </c>
      <c r="CT212" s="408">
        <v>0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2.5747460284459294</v>
      </c>
      <c r="DA212" s="408">
        <v>0</v>
      </c>
      <c r="DB212" s="408">
        <v>0</v>
      </c>
      <c r="DC212" s="408">
        <v>2.8684053177130409E-7</v>
      </c>
      <c r="DD212" s="408">
        <v>0</v>
      </c>
      <c r="DE212" s="408">
        <v>0</v>
      </c>
      <c r="DF212" s="408">
        <v>0</v>
      </c>
      <c r="DG212" s="408">
        <v>3.9569556520291371E-8</v>
      </c>
      <c r="DH212" s="408">
        <v>0</v>
      </c>
      <c r="DI212" s="408">
        <v>14.589511030067285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1.9484477741766</v>
      </c>
      <c r="DP212" s="408">
        <v>0.61727633713864449</v>
      </c>
      <c r="DQ212" s="408">
        <v>0</v>
      </c>
      <c r="DR212" s="408">
        <v>0</v>
      </c>
      <c r="DS212" s="408"/>
      <c r="DT212" s="408"/>
      <c r="DU212" s="408"/>
      <c r="DV212" s="408">
        <v>-4112.6847906742278</v>
      </c>
      <c r="DW212" s="408">
        <v>0</v>
      </c>
      <c r="DX212" s="408">
        <v>0</v>
      </c>
      <c r="DY212" s="408">
        <v>2541.4084799999991</v>
      </c>
      <c r="DZ212" s="408">
        <v>0</v>
      </c>
      <c r="EA212" s="408">
        <v>0</v>
      </c>
      <c r="EB212" s="408">
        <v>0</v>
      </c>
      <c r="EC212" s="408">
        <v>2521.6726169638746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265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219</v>
      </c>
      <c r="B213" s="408" t="s">
        <v>2230</v>
      </c>
      <c r="C213" s="408" t="s">
        <v>2227</v>
      </c>
      <c r="D213" s="408" t="s">
        <v>2237</v>
      </c>
      <c r="E213" s="408" t="s">
        <v>969</v>
      </c>
      <c r="F213" s="408" t="s">
        <v>1317</v>
      </c>
      <c r="G213" s="408" t="s">
        <v>1317</v>
      </c>
      <c r="H213" s="408" t="s">
        <v>1317</v>
      </c>
      <c r="I213" s="408" t="s">
        <v>1317</v>
      </c>
      <c r="J213" s="408" t="s">
        <v>2228</v>
      </c>
      <c r="K213" s="828">
        <v>44501</v>
      </c>
      <c r="L213" s="408">
        <v>0</v>
      </c>
      <c r="M213" s="408">
        <v>0</v>
      </c>
      <c r="N213" s="408">
        <v>108.008</v>
      </c>
      <c r="O213" s="408">
        <v>108.008</v>
      </c>
      <c r="P213" s="408">
        <v>108.008</v>
      </c>
      <c r="Q213" s="408">
        <v>108.008</v>
      </c>
      <c r="R213" s="408"/>
      <c r="S213" s="408">
        <v>739.04</v>
      </c>
      <c r="T213" s="408">
        <v>252.22</v>
      </c>
      <c r="U213" s="408"/>
      <c r="V213" s="408">
        <v>107064.01007999999</v>
      </c>
      <c r="W213" s="408">
        <v>107064.01007999999</v>
      </c>
      <c r="X213" s="408">
        <v>73226.183759999985</v>
      </c>
      <c r="Y213" s="408">
        <v>0</v>
      </c>
      <c r="Z213" s="408">
        <v>6680.6357405808458</v>
      </c>
      <c r="AA213" s="408">
        <v>0</v>
      </c>
      <c r="AB213" s="408">
        <v>0</v>
      </c>
      <c r="AC213" s="408">
        <v>0</v>
      </c>
      <c r="AD213" s="408">
        <v>13338.726717440548</v>
      </c>
      <c r="AE213" s="408">
        <v>54758.735067941561</v>
      </c>
      <c r="AF213" s="408">
        <v>27242.076669651386</v>
      </c>
      <c r="AG213" s="408">
        <v>0</v>
      </c>
      <c r="AH213" s="408">
        <v>0</v>
      </c>
      <c r="AI213" s="408">
        <v>0</v>
      </c>
      <c r="AJ213" s="408">
        <v>0</v>
      </c>
      <c r="AK213" s="408">
        <v>0</v>
      </c>
      <c r="AL213" s="408">
        <v>1032.6676401053933</v>
      </c>
      <c r="AM213" s="408"/>
      <c r="AN213" s="408">
        <v>253.09498862009255</v>
      </c>
      <c r="AO213" s="408">
        <v>0</v>
      </c>
      <c r="AP213" s="408">
        <v>0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3758.0571338330583</v>
      </c>
      <c r="BH213" s="408">
        <v>0</v>
      </c>
      <c r="BI213" s="408">
        <v>0</v>
      </c>
      <c r="BJ213" s="408">
        <v>0</v>
      </c>
      <c r="BK213" s="408">
        <v>8435.18</v>
      </c>
      <c r="BL213" s="408">
        <v>878</v>
      </c>
      <c r="BM213" s="408"/>
      <c r="BN213" s="408"/>
      <c r="BO213" s="408"/>
      <c r="BP213" s="408"/>
      <c r="BQ213" s="408"/>
      <c r="BR213" s="408">
        <v>8786.4507999999951</v>
      </c>
      <c r="BS213" s="408"/>
      <c r="BT213" s="408"/>
      <c r="BU213" s="408"/>
      <c r="BV213" s="408">
        <v>31000.133803484445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64440.926200000002</v>
      </c>
      <c r="CJ213" s="408">
        <v>-29775.562279999984</v>
      </c>
      <c r="CK213" s="408"/>
      <c r="CL213" s="408"/>
      <c r="CM213" s="408"/>
      <c r="CN213" s="408"/>
      <c r="CO213" s="408">
        <v>-33837.826319999993</v>
      </c>
      <c r="CP213" s="408">
        <v>0</v>
      </c>
      <c r="CQ213" s="408">
        <v>30</v>
      </c>
      <c r="CR213" s="408">
        <v>-262.69672601648199</v>
      </c>
      <c r="CS213" s="408">
        <v>0</v>
      </c>
      <c r="CT213" s="408">
        <v>0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-34.281702297877928</v>
      </c>
      <c r="DA213" s="408">
        <v>0</v>
      </c>
      <c r="DB213" s="408">
        <v>0</v>
      </c>
      <c r="DC213" s="408">
        <v>-3.8191647036001086E-6</v>
      </c>
      <c r="DD213" s="408">
        <v>0</v>
      </c>
      <c r="DE213" s="408">
        <v>0</v>
      </c>
      <c r="DF213" s="408">
        <v>0</v>
      </c>
      <c r="DG213" s="408">
        <v>-5.2685254559037276E-7</v>
      </c>
      <c r="DH213" s="408">
        <v>0</v>
      </c>
      <c r="DI213" s="408">
        <v>-194.25344025339109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-25.942794279248915</v>
      </c>
      <c r="DP213" s="408">
        <v>-8.2187848399495351</v>
      </c>
      <c r="DQ213" s="408">
        <v>0</v>
      </c>
      <c r="DR213" s="408">
        <v>0</v>
      </c>
      <c r="DS213" s="408"/>
      <c r="DT213" s="408"/>
      <c r="DU213" s="408"/>
      <c r="DV213" s="408">
        <v>54758.735067941561</v>
      </c>
      <c r="DW213" s="408">
        <v>0</v>
      </c>
      <c r="DX213" s="408">
        <v>0</v>
      </c>
      <c r="DY213" s="408">
        <v>-33837.82632</v>
      </c>
      <c r="DZ213" s="408">
        <v>0</v>
      </c>
      <c r="EA213" s="408">
        <v>0</v>
      </c>
      <c r="EB213" s="408">
        <v>0</v>
      </c>
      <c r="EC213" s="408">
        <v>-33575.051283658053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265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220</v>
      </c>
      <c r="B214" s="408" t="s">
        <v>1031</v>
      </c>
      <c r="C214" s="408" t="s">
        <v>2235</v>
      </c>
      <c r="D214" s="408" t="s">
        <v>596</v>
      </c>
      <c r="E214" s="408" t="s">
        <v>969</v>
      </c>
      <c r="F214" s="408" t="s">
        <v>1317</v>
      </c>
      <c r="G214" s="408" t="s">
        <v>1317</v>
      </c>
      <c r="H214" s="408" t="s">
        <v>1317</v>
      </c>
      <c r="I214" s="408" t="s">
        <v>968</v>
      </c>
      <c r="J214" s="408" t="s">
        <v>2228</v>
      </c>
      <c r="K214" s="828">
        <v>44501</v>
      </c>
      <c r="L214" s="408">
        <v>0</v>
      </c>
      <c r="M214" s="408">
        <v>0</v>
      </c>
      <c r="N214" s="408">
        <v>3.573</v>
      </c>
      <c r="O214" s="408">
        <v>3.4300799999999998</v>
      </c>
      <c r="P214" s="408">
        <v>3.573</v>
      </c>
      <c r="Q214" s="408">
        <v>3.4300799999999998</v>
      </c>
      <c r="R214" s="408"/>
      <c r="S214" s="408">
        <v>2641.06</v>
      </c>
      <c r="T214" s="408">
        <v>252.22</v>
      </c>
      <c r="U214" s="408"/>
      <c r="V214" s="408">
        <v>10337.689439999998</v>
      </c>
      <c r="W214" s="408">
        <v>10337.689439999998</v>
      </c>
      <c r="X214" s="408">
        <v>6136.0558199999996</v>
      </c>
      <c r="Y214" s="408">
        <v>0</v>
      </c>
      <c r="Z214" s="408">
        <v>192.27115589542407</v>
      </c>
      <c r="AA214" s="408">
        <v>0</v>
      </c>
      <c r="AB214" s="408">
        <v>0</v>
      </c>
      <c r="AC214" s="408">
        <v>0</v>
      </c>
      <c r="AD214" s="408">
        <v>2314.4714571966938</v>
      </c>
      <c r="AE214" s="408">
        <v>6831.8987873219576</v>
      </c>
      <c r="AF214" s="408">
        <v>901.19194819517452</v>
      </c>
      <c r="AG214" s="408">
        <v>0</v>
      </c>
      <c r="AH214" s="408">
        <v>0</v>
      </c>
      <c r="AI214" s="408">
        <v>0</v>
      </c>
      <c r="AJ214" s="408">
        <v>0</v>
      </c>
      <c r="AK214" s="408">
        <v>0</v>
      </c>
      <c r="AL214" s="408">
        <v>34.161557274429391</v>
      </c>
      <c r="AM214" s="408"/>
      <c r="AN214" s="408">
        <v>8.5963026297839686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55.105811866418115</v>
      </c>
      <c r="BH214" s="408">
        <v>0</v>
      </c>
      <c r="BI214" s="408">
        <v>0</v>
      </c>
      <c r="BJ214" s="408">
        <v>0</v>
      </c>
      <c r="BK214" s="408">
        <v>0</v>
      </c>
      <c r="BL214" s="408">
        <v>0</v>
      </c>
      <c r="BM214" s="408"/>
      <c r="BN214" s="408"/>
      <c r="BO214" s="408"/>
      <c r="BP214" s="408"/>
      <c r="BQ214" s="408"/>
      <c r="BR214" s="408">
        <v>245.44223280000028</v>
      </c>
      <c r="BS214" s="408"/>
      <c r="BT214" s="408"/>
      <c r="BU214" s="408"/>
      <c r="BV214" s="408">
        <v>956.29776006159261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5890.4762000000001</v>
      </c>
      <c r="CJ214" s="408">
        <v>-4033.7356623999995</v>
      </c>
      <c r="CK214" s="408"/>
      <c r="CL214" s="408"/>
      <c r="CM214" s="408"/>
      <c r="CN214" s="408"/>
      <c r="CO214" s="408">
        <v>-4201.6336200000005</v>
      </c>
      <c r="CP214" s="408">
        <v>0</v>
      </c>
      <c r="CQ214" s="408">
        <v>30</v>
      </c>
      <c r="CR214" s="408">
        <v>-12.676440452253246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-5.9483954618322059</v>
      </c>
      <c r="DA214" s="408">
        <v>0</v>
      </c>
      <c r="DB214" s="408">
        <v>0</v>
      </c>
      <c r="DC214" s="408">
        <v>-1.2634131962840911E-7</v>
      </c>
      <c r="DD214" s="408">
        <v>0</v>
      </c>
      <c r="DE214" s="408">
        <v>0</v>
      </c>
      <c r="DF214" s="408">
        <v>0</v>
      </c>
      <c r="DG214" s="408">
        <v>-7.7255393193809141E-9</v>
      </c>
      <c r="DH214" s="408">
        <v>0</v>
      </c>
      <c r="DI214" s="408">
        <v>-5.5906855192399405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-0.85821053958739668</v>
      </c>
      <c r="DP214" s="408">
        <v>-0.27914879752654365</v>
      </c>
      <c r="DQ214" s="408">
        <v>0</v>
      </c>
      <c r="DR214" s="408">
        <v>0</v>
      </c>
      <c r="DS214" s="408"/>
      <c r="DT214" s="408"/>
      <c r="DU214" s="408"/>
      <c r="DV214" s="408">
        <v>6831.8987873219576</v>
      </c>
      <c r="DW214" s="408">
        <v>0</v>
      </c>
      <c r="DX214" s="408">
        <v>0</v>
      </c>
      <c r="DY214" s="408">
        <v>-4201.6336199999996</v>
      </c>
      <c r="DZ214" s="408">
        <v>0</v>
      </c>
      <c r="EA214" s="408">
        <v>0</v>
      </c>
      <c r="EB214" s="408">
        <v>0</v>
      </c>
      <c r="EC214" s="408">
        <v>-4188.9454141789884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265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221</v>
      </c>
      <c r="B215" s="408" t="s">
        <v>1031</v>
      </c>
      <c r="C215" s="408" t="s">
        <v>2235</v>
      </c>
      <c r="D215" s="408" t="s">
        <v>596</v>
      </c>
      <c r="E215" s="408" t="s">
        <v>969</v>
      </c>
      <c r="F215" s="408" t="s">
        <v>1317</v>
      </c>
      <c r="G215" s="408" t="s">
        <v>1317</v>
      </c>
      <c r="H215" s="408" t="s">
        <v>1317</v>
      </c>
      <c r="I215" s="408" t="s">
        <v>2236</v>
      </c>
      <c r="J215" s="408" t="s">
        <v>2228</v>
      </c>
      <c r="K215" s="828">
        <v>44501</v>
      </c>
      <c r="L215" s="408">
        <v>0</v>
      </c>
      <c r="M215" s="408">
        <v>0</v>
      </c>
      <c r="N215" s="408">
        <v>33.890999999999998</v>
      </c>
      <c r="O215" s="408">
        <v>32.535359999999997</v>
      </c>
      <c r="P215" s="408">
        <v>33.890999999999998</v>
      </c>
      <c r="Q215" s="408">
        <v>32.535359999999997</v>
      </c>
      <c r="R215" s="408"/>
      <c r="S215" s="408">
        <v>81.2</v>
      </c>
      <c r="T215" s="408">
        <v>252.22</v>
      </c>
      <c r="U215" s="408"/>
      <c r="V215" s="408">
        <v>11299.93722</v>
      </c>
      <c r="W215" s="408">
        <v>11299.93722</v>
      </c>
      <c r="X215" s="408">
        <v>11236.222139999998</v>
      </c>
      <c r="Y215" s="408">
        <v>0</v>
      </c>
      <c r="Z215" s="408">
        <v>1823.7508380777547</v>
      </c>
      <c r="AA215" s="408">
        <v>0</v>
      </c>
      <c r="AB215" s="408">
        <v>0</v>
      </c>
      <c r="AC215" s="408">
        <v>0</v>
      </c>
      <c r="AD215" s="408">
        <v>0</v>
      </c>
      <c r="AE215" s="408">
        <v>0</v>
      </c>
      <c r="AF215" s="408">
        <v>8548.081812561617</v>
      </c>
      <c r="AG215" s="408">
        <v>0</v>
      </c>
      <c r="AH215" s="408">
        <v>0</v>
      </c>
      <c r="AI215" s="408">
        <v>0</v>
      </c>
      <c r="AJ215" s="408">
        <v>0</v>
      </c>
      <c r="AK215" s="408">
        <v>0</v>
      </c>
      <c r="AL215" s="408">
        <v>324.03284007491925</v>
      </c>
      <c r="AM215" s="408"/>
      <c r="AN215" s="408">
        <v>81.538564910721647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522.69551356416912</v>
      </c>
      <c r="BH215" s="408">
        <v>0</v>
      </c>
      <c r="BI215" s="408">
        <v>0</v>
      </c>
      <c r="BJ215" s="408">
        <v>0</v>
      </c>
      <c r="BK215" s="408">
        <v>0</v>
      </c>
      <c r="BL215" s="408">
        <v>0</v>
      </c>
      <c r="BM215" s="408"/>
      <c r="BN215" s="408"/>
      <c r="BO215" s="408"/>
      <c r="BP215" s="408"/>
      <c r="BQ215" s="408"/>
      <c r="BR215" s="408">
        <v>449.44888560000038</v>
      </c>
      <c r="BS215" s="408"/>
      <c r="BT215" s="408"/>
      <c r="BU215" s="408"/>
      <c r="BV215" s="408">
        <v>9070.7773261257862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10788.311599999999</v>
      </c>
      <c r="CJ215" s="408">
        <v>-59.658131199999843</v>
      </c>
      <c r="CK215" s="408"/>
      <c r="CL215" s="408"/>
      <c r="CM215" s="408"/>
      <c r="CN215" s="408"/>
      <c r="CO215" s="408">
        <v>-63.715080000000327</v>
      </c>
      <c r="CP215" s="408">
        <v>0</v>
      </c>
      <c r="CQ215" s="408">
        <v>30</v>
      </c>
      <c r="CR215" s="408">
        <v>-63.817568645492429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0</v>
      </c>
      <c r="DA215" s="408">
        <v>0</v>
      </c>
      <c r="DB215" s="408">
        <v>0</v>
      </c>
      <c r="DC215" s="408">
        <v>-1.1983865988440812E-6</v>
      </c>
      <c r="DD215" s="408">
        <v>0</v>
      </c>
      <c r="DE215" s="408">
        <v>0</v>
      </c>
      <c r="DF215" s="408">
        <v>0</v>
      </c>
      <c r="DG215" s="408">
        <v>-7.3279124990222044E-8</v>
      </c>
      <c r="DH215" s="408">
        <v>0</v>
      </c>
      <c r="DI215" s="408">
        <v>-53.02936550029699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-8.1403899796127916</v>
      </c>
      <c r="DP215" s="408">
        <v>-2.6478118939188562</v>
      </c>
      <c r="DQ215" s="408">
        <v>0</v>
      </c>
      <c r="DR215" s="408">
        <v>0</v>
      </c>
      <c r="DS215" s="408"/>
      <c r="DT215" s="408"/>
      <c r="DU215" s="408"/>
      <c r="DV215" s="408">
        <v>0</v>
      </c>
      <c r="DW215" s="408">
        <v>0</v>
      </c>
      <c r="DX215" s="408">
        <v>0</v>
      </c>
      <c r="DY215" s="408">
        <v>-63.715080000000398</v>
      </c>
      <c r="DZ215" s="408">
        <v>0</v>
      </c>
      <c r="EA215" s="408">
        <v>0</v>
      </c>
      <c r="EB215" s="408">
        <v>0</v>
      </c>
      <c r="EC215" s="408">
        <v>0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265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222</v>
      </c>
      <c r="B216" s="408" t="s">
        <v>1031</v>
      </c>
      <c r="C216" s="408" t="s">
        <v>2235</v>
      </c>
      <c r="D216" s="408" t="s">
        <v>596</v>
      </c>
      <c r="E216" s="408" t="s">
        <v>969</v>
      </c>
      <c r="F216" s="408" t="s">
        <v>1317</v>
      </c>
      <c r="G216" s="408" t="s">
        <v>1317</v>
      </c>
      <c r="H216" s="408" t="s">
        <v>1317</v>
      </c>
      <c r="I216" s="408" t="s">
        <v>1317</v>
      </c>
      <c r="J216" s="408" t="s">
        <v>2228</v>
      </c>
      <c r="K216" s="828">
        <v>44501</v>
      </c>
      <c r="L216" s="408">
        <v>201</v>
      </c>
      <c r="M216" s="408">
        <v>192.96</v>
      </c>
      <c r="N216" s="408">
        <v>0</v>
      </c>
      <c r="O216" s="408">
        <v>0</v>
      </c>
      <c r="P216" s="408">
        <v>0</v>
      </c>
      <c r="Q216" s="408">
        <v>0</v>
      </c>
      <c r="R216" s="408">
        <v>74.44</v>
      </c>
      <c r="S216" s="408"/>
      <c r="T216" s="408"/>
      <c r="U216" s="408">
        <v>14962.439999999999</v>
      </c>
      <c r="V216" s="408"/>
      <c r="W216" s="408">
        <v>14962.439999999999</v>
      </c>
      <c r="X216" s="408">
        <v>9129.42</v>
      </c>
      <c r="Y216" s="408">
        <v>0</v>
      </c>
      <c r="Z216" s="408">
        <v>0</v>
      </c>
      <c r="AA216" s="408">
        <v>0</v>
      </c>
      <c r="AB216" s="408">
        <v>0</v>
      </c>
      <c r="AC216" s="408">
        <v>0</v>
      </c>
      <c r="AD216" s="408">
        <v>5470.6355986208118</v>
      </c>
      <c r="AE216" s="408">
        <v>9491.5291247698187</v>
      </c>
      <c r="AF216" s="408"/>
      <c r="AG216" s="408"/>
      <c r="AH216" s="408"/>
      <c r="AI216" s="408">
        <v>0</v>
      </c>
      <c r="AJ216" s="408">
        <v>0</v>
      </c>
      <c r="AK216" s="408">
        <v>0</v>
      </c>
      <c r="AL216" s="408">
        <v>0</v>
      </c>
      <c r="AM216" s="408"/>
      <c r="AN216" s="408">
        <v>0</v>
      </c>
      <c r="AO216" s="408">
        <v>0</v>
      </c>
      <c r="AP216" s="408">
        <v>0</v>
      </c>
      <c r="AQ216" s="408">
        <v>0</v>
      </c>
      <c r="AR216" s="408">
        <v>0</v>
      </c>
      <c r="AS216" s="408"/>
      <c r="AT216" s="408"/>
      <c r="AU216" s="408">
        <v>0</v>
      </c>
      <c r="AV216" s="408">
        <v>0</v>
      </c>
      <c r="AW216" s="408">
        <v>0</v>
      </c>
      <c r="AX216" s="408"/>
      <c r="AY216" s="408"/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/>
      <c r="BG216" s="408">
        <v>0</v>
      </c>
      <c r="BH216" s="408">
        <v>0</v>
      </c>
      <c r="BI216" s="408">
        <v>0</v>
      </c>
      <c r="BJ216" s="408">
        <v>0</v>
      </c>
      <c r="BK216" s="408">
        <v>16.3</v>
      </c>
      <c r="BL216" s="408">
        <v>2</v>
      </c>
      <c r="BM216" s="408"/>
      <c r="BN216" s="408"/>
      <c r="BO216" s="408"/>
      <c r="BP216" s="408"/>
      <c r="BQ216" s="408"/>
      <c r="BR216" s="408">
        <v>365.17679999999967</v>
      </c>
      <c r="BS216" s="408"/>
      <c r="BT216" s="408"/>
      <c r="BU216" s="408"/>
      <c r="BV216" s="408">
        <v>0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8764.2432000000008</v>
      </c>
      <c r="CJ216" s="408">
        <v>-5599.7291999999998</v>
      </c>
      <c r="CK216" s="408"/>
      <c r="CL216" s="408"/>
      <c r="CM216" s="408"/>
      <c r="CN216" s="408"/>
      <c r="CO216" s="408">
        <v>-5833.0199999999995</v>
      </c>
      <c r="CP216" s="408">
        <v>0</v>
      </c>
      <c r="CQ216" s="408">
        <v>30</v>
      </c>
      <c r="CR216" s="408">
        <v>-14.060015243213456</v>
      </c>
      <c r="CS216" s="408">
        <v>0</v>
      </c>
      <c r="CT216" s="408">
        <v>0</v>
      </c>
      <c r="CU216" s="408">
        <v>0</v>
      </c>
      <c r="CV216" s="408">
        <v>0</v>
      </c>
      <c r="CW216" s="408"/>
      <c r="CX216" s="408"/>
      <c r="CY216" s="408"/>
      <c r="CZ216" s="408">
        <v>-14.060015243213456</v>
      </c>
      <c r="DA216" s="408">
        <v>0</v>
      </c>
      <c r="DB216" s="408">
        <v>0</v>
      </c>
      <c r="DC216" s="408"/>
      <c r="DD216" s="408"/>
      <c r="DE216" s="408">
        <v>0</v>
      </c>
      <c r="DF216" s="408">
        <v>0</v>
      </c>
      <c r="DG216" s="408">
        <v>0</v>
      </c>
      <c r="DH216" s="408">
        <v>0</v>
      </c>
      <c r="DI216" s="408">
        <v>0</v>
      </c>
      <c r="DJ216" s="408"/>
      <c r="DK216" s="408">
        <v>0</v>
      </c>
      <c r="DL216" s="408">
        <v>0</v>
      </c>
      <c r="DM216" s="408"/>
      <c r="DN216" s="408">
        <v>0</v>
      </c>
      <c r="DO216" s="408">
        <v>0</v>
      </c>
      <c r="DP216" s="408">
        <v>0</v>
      </c>
      <c r="DQ216" s="408">
        <v>0</v>
      </c>
      <c r="DR216" s="408">
        <v>0</v>
      </c>
      <c r="DS216" s="408"/>
      <c r="DT216" s="408"/>
      <c r="DU216" s="408">
        <v>9491.5291247698187</v>
      </c>
      <c r="DV216" s="408"/>
      <c r="DW216" s="408">
        <v>0</v>
      </c>
      <c r="DX216" s="408">
        <v>0</v>
      </c>
      <c r="DY216" s="408">
        <v>-5833.0199999999986</v>
      </c>
      <c r="DZ216" s="408"/>
      <c r="EA216" s="408">
        <v>0</v>
      </c>
      <c r="EB216" s="408"/>
      <c r="EC216" s="408">
        <v>-5819.6847814158355</v>
      </c>
      <c r="ED216" s="408"/>
      <c r="EE216" s="408">
        <v>0</v>
      </c>
      <c r="EF216" s="408">
        <v>0</v>
      </c>
      <c r="EG216" s="408"/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/>
      <c r="EN216" s="408"/>
      <c r="EO216" s="408">
        <v>0</v>
      </c>
      <c r="EP216" s="408">
        <v>0</v>
      </c>
      <c r="EQ216" s="408"/>
      <c r="ER216" s="408">
        <v>0</v>
      </c>
      <c r="ES216" s="408"/>
      <c r="ET216" s="408">
        <v>0</v>
      </c>
      <c r="EU216" s="408"/>
      <c r="EV216" s="408">
        <v>265</v>
      </c>
      <c r="EW216" s="408"/>
      <c r="EX216" s="408"/>
      <c r="EY216" s="408"/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223</v>
      </c>
      <c r="B217" s="408" t="s">
        <v>2230</v>
      </c>
      <c r="C217" s="408" t="s">
        <v>2235</v>
      </c>
      <c r="D217" s="408" t="s">
        <v>596</v>
      </c>
      <c r="E217" s="408" t="s">
        <v>969</v>
      </c>
      <c r="F217" s="408" t="s">
        <v>1317</v>
      </c>
      <c r="G217" s="408" t="s">
        <v>1317</v>
      </c>
      <c r="H217" s="408" t="s">
        <v>1317</v>
      </c>
      <c r="I217" s="408" t="s">
        <v>1317</v>
      </c>
      <c r="J217" s="408" t="s">
        <v>2228</v>
      </c>
      <c r="K217" s="828">
        <v>44501</v>
      </c>
      <c r="L217" s="408">
        <v>527</v>
      </c>
      <c r="M217" s="408">
        <v>505.91999999999996</v>
      </c>
      <c r="N217" s="408">
        <v>0</v>
      </c>
      <c r="O217" s="408">
        <v>0</v>
      </c>
      <c r="P217" s="408">
        <v>0</v>
      </c>
      <c r="Q217" s="408">
        <v>0</v>
      </c>
      <c r="R217" s="408">
        <v>74.44</v>
      </c>
      <c r="S217" s="408"/>
      <c r="T217" s="408"/>
      <c r="U217" s="408">
        <v>39229.879999999997</v>
      </c>
      <c r="V217" s="408"/>
      <c r="W217" s="408">
        <v>39229.879999999997</v>
      </c>
      <c r="X217" s="408">
        <v>23936.34</v>
      </c>
      <c r="Y217" s="408">
        <v>0</v>
      </c>
      <c r="Z217" s="408">
        <v>0</v>
      </c>
      <c r="AA217" s="408">
        <v>0</v>
      </c>
      <c r="AB217" s="408">
        <v>0</v>
      </c>
      <c r="AC217" s="408">
        <v>0</v>
      </c>
      <c r="AD217" s="408">
        <v>14343.407763548099</v>
      </c>
      <c r="AE217" s="408">
        <v>24885.750491311912</v>
      </c>
      <c r="AF217" s="408"/>
      <c r="AG217" s="408"/>
      <c r="AH217" s="408"/>
      <c r="AI217" s="408">
        <v>0</v>
      </c>
      <c r="AJ217" s="408">
        <v>0</v>
      </c>
      <c r="AK217" s="408">
        <v>0</v>
      </c>
      <c r="AL217" s="408">
        <v>0</v>
      </c>
      <c r="AM217" s="408"/>
      <c r="AN217" s="408">
        <v>0</v>
      </c>
      <c r="AO217" s="408">
        <v>0</v>
      </c>
      <c r="AP217" s="408">
        <v>0</v>
      </c>
      <c r="AQ217" s="408">
        <v>0</v>
      </c>
      <c r="AR217" s="408">
        <v>0</v>
      </c>
      <c r="AS217" s="408"/>
      <c r="AT217" s="408"/>
      <c r="AU217" s="408">
        <v>0</v>
      </c>
      <c r="AV217" s="408">
        <v>0</v>
      </c>
      <c r="AW217" s="408">
        <v>0</v>
      </c>
      <c r="AX217" s="408"/>
      <c r="AY217" s="408"/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/>
      <c r="BG217" s="408">
        <v>0</v>
      </c>
      <c r="BH217" s="408">
        <v>0</v>
      </c>
      <c r="BI217" s="408">
        <v>0</v>
      </c>
      <c r="BJ217" s="408">
        <v>0</v>
      </c>
      <c r="BK217" s="408">
        <v>10.46</v>
      </c>
      <c r="BL217" s="408">
        <v>4</v>
      </c>
      <c r="BM217" s="408"/>
      <c r="BN217" s="408"/>
      <c r="BO217" s="408"/>
      <c r="BP217" s="408"/>
      <c r="BQ217" s="408"/>
      <c r="BR217" s="408">
        <v>957.45360000000187</v>
      </c>
      <c r="BS217" s="408"/>
      <c r="BT217" s="408"/>
      <c r="BU217" s="408"/>
      <c r="BV217" s="408">
        <v>0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22978.886400000003</v>
      </c>
      <c r="CJ217" s="408">
        <v>-14681.828399999999</v>
      </c>
      <c r="CK217" s="408"/>
      <c r="CL217" s="408"/>
      <c r="CM217" s="408"/>
      <c r="CN217" s="408"/>
      <c r="CO217" s="408">
        <v>-15293.539999999997</v>
      </c>
      <c r="CP217" s="408">
        <v>0</v>
      </c>
      <c r="CQ217" s="408">
        <v>30</v>
      </c>
      <c r="CR217" s="408">
        <v>-36.863821060564078</v>
      </c>
      <c r="CS217" s="408">
        <v>0</v>
      </c>
      <c r="CT217" s="408">
        <v>0</v>
      </c>
      <c r="CU217" s="408">
        <v>0</v>
      </c>
      <c r="CV217" s="408">
        <v>0</v>
      </c>
      <c r="CW217" s="408"/>
      <c r="CX217" s="408"/>
      <c r="CY217" s="408"/>
      <c r="CZ217" s="408">
        <v>-36.863821060564078</v>
      </c>
      <c r="DA217" s="408">
        <v>0</v>
      </c>
      <c r="DB217" s="408">
        <v>0</v>
      </c>
      <c r="DC217" s="408"/>
      <c r="DD217" s="408"/>
      <c r="DE217" s="408">
        <v>0</v>
      </c>
      <c r="DF217" s="408">
        <v>0</v>
      </c>
      <c r="DG217" s="408">
        <v>0</v>
      </c>
      <c r="DH217" s="408">
        <v>0</v>
      </c>
      <c r="DI217" s="408">
        <v>0</v>
      </c>
      <c r="DJ217" s="408"/>
      <c r="DK217" s="408">
        <v>0</v>
      </c>
      <c r="DL217" s="408">
        <v>0</v>
      </c>
      <c r="DM217" s="408"/>
      <c r="DN217" s="408">
        <v>0</v>
      </c>
      <c r="DO217" s="408">
        <v>0</v>
      </c>
      <c r="DP217" s="408">
        <v>0</v>
      </c>
      <c r="DQ217" s="408">
        <v>0</v>
      </c>
      <c r="DR217" s="408">
        <v>0</v>
      </c>
      <c r="DS217" s="408"/>
      <c r="DT217" s="408"/>
      <c r="DU217" s="408">
        <v>24885.750491311912</v>
      </c>
      <c r="DV217" s="408"/>
      <c r="DW217" s="408">
        <v>0</v>
      </c>
      <c r="DX217" s="408">
        <v>0</v>
      </c>
      <c r="DY217" s="408">
        <v>-15293.539999999997</v>
      </c>
      <c r="DZ217" s="408"/>
      <c r="EA217" s="408">
        <v>0</v>
      </c>
      <c r="EB217" s="408"/>
      <c r="EC217" s="408">
        <v>-15258.576516448482</v>
      </c>
      <c r="ED217" s="408"/>
      <c r="EE217" s="408">
        <v>0</v>
      </c>
      <c r="EF217" s="408">
        <v>0</v>
      </c>
      <c r="EG217" s="408"/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/>
      <c r="EN217" s="408"/>
      <c r="EO217" s="408">
        <v>0</v>
      </c>
      <c r="EP217" s="408">
        <v>0</v>
      </c>
      <c r="EQ217" s="408"/>
      <c r="ER217" s="408">
        <v>0</v>
      </c>
      <c r="ES217" s="408"/>
      <c r="ET217" s="408">
        <v>0</v>
      </c>
      <c r="EU217" s="408"/>
      <c r="EV217" s="408">
        <v>265</v>
      </c>
      <c r="EW217" s="408"/>
      <c r="EX217" s="408"/>
      <c r="EY217" s="408"/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224</v>
      </c>
      <c r="B218" s="408" t="s">
        <v>1031</v>
      </c>
      <c r="C218" s="408" t="s">
        <v>2227</v>
      </c>
      <c r="D218" s="408" t="s">
        <v>1952</v>
      </c>
      <c r="E218" s="408" t="s">
        <v>2238</v>
      </c>
      <c r="F218" s="408" t="s">
        <v>1317</v>
      </c>
      <c r="G218" s="408" t="s">
        <v>1317</v>
      </c>
      <c r="H218" s="408" t="s">
        <v>1317</v>
      </c>
      <c r="I218" s="408" t="s">
        <v>1317</v>
      </c>
      <c r="J218" s="408" t="s">
        <v>2228</v>
      </c>
      <c r="K218" s="828">
        <v>44501</v>
      </c>
      <c r="L218" s="408">
        <v>0</v>
      </c>
      <c r="M218" s="408">
        <v>0</v>
      </c>
      <c r="N218" s="408">
        <v>182.09200000000001</v>
      </c>
      <c r="O218" s="408">
        <v>182.09200000000001</v>
      </c>
      <c r="P218" s="408">
        <v>182.09200000000001</v>
      </c>
      <c r="Q218" s="408">
        <v>182.09200000000001</v>
      </c>
      <c r="R218" s="408"/>
      <c r="S218" s="408">
        <v>739.04</v>
      </c>
      <c r="T218" s="408">
        <v>252.22</v>
      </c>
      <c r="U218" s="408"/>
      <c r="V218" s="408">
        <v>180500.51592000001</v>
      </c>
      <c r="W218" s="408">
        <v>180500.51592000001</v>
      </c>
      <c r="X218" s="408">
        <v>123452.91324000001</v>
      </c>
      <c r="Y218" s="408">
        <v>0</v>
      </c>
      <c r="Z218" s="408">
        <v>11262.964995869264</v>
      </c>
      <c r="AA218" s="408">
        <v>0</v>
      </c>
      <c r="AB218" s="408">
        <v>0</v>
      </c>
      <c r="AC218" s="408">
        <v>0</v>
      </c>
      <c r="AD218" s="408">
        <v>22487.921500557222</v>
      </c>
      <c r="AE218" s="408">
        <v>92318.417024587208</v>
      </c>
      <c r="AF218" s="408">
        <v>45927.748175414425</v>
      </c>
      <c r="AG218" s="408">
        <v>0</v>
      </c>
      <c r="AH218" s="408">
        <v>0</v>
      </c>
      <c r="AI218" s="408">
        <v>0</v>
      </c>
      <c r="AJ218" s="408">
        <v>0</v>
      </c>
      <c r="AK218" s="408">
        <v>0</v>
      </c>
      <c r="AL218" s="408">
        <v>1740.9869261727954</v>
      </c>
      <c r="AM218" s="408"/>
      <c r="AN218" s="408">
        <v>426.69591759693634</v>
      </c>
      <c r="AO218" s="408">
        <v>0</v>
      </c>
      <c r="AP218" s="408">
        <v>0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>
        <v>0</v>
      </c>
      <c r="BG218" s="408">
        <v>6335.7541998178776</v>
      </c>
      <c r="BH218" s="408">
        <v>0</v>
      </c>
      <c r="BI218" s="408">
        <v>0</v>
      </c>
      <c r="BJ218" s="408">
        <v>0</v>
      </c>
      <c r="BK218" s="408">
        <v>58756.05</v>
      </c>
      <c r="BL218" s="408">
        <v>368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52263.502375232303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123451.55730000001</v>
      </c>
      <c r="CJ218" s="408">
        <v>-57048.988620000018</v>
      </c>
      <c r="CK218" s="408"/>
      <c r="CL218" s="408"/>
      <c r="CM218" s="408"/>
      <c r="CN218" s="408"/>
      <c r="CO218" s="408">
        <v>-57047.602679999996</v>
      </c>
      <c r="CP218" s="408">
        <v>0</v>
      </c>
      <c r="CQ218" s="408">
        <v>30</v>
      </c>
      <c r="CR218" s="408">
        <v>-442.88360337931954</v>
      </c>
      <c r="CS218" s="408">
        <v>0</v>
      </c>
      <c r="CT218" s="408">
        <v>0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-57.795938586263219</v>
      </c>
      <c r="DA218" s="408">
        <v>0</v>
      </c>
      <c r="DB218" s="408">
        <v>0</v>
      </c>
      <c r="DC218" s="408">
        <v>-6.4387786551378667E-6</v>
      </c>
      <c r="DD218" s="408">
        <v>0</v>
      </c>
      <c r="DE218" s="408">
        <v>0</v>
      </c>
      <c r="DF218" s="408">
        <v>0</v>
      </c>
      <c r="DG218" s="408">
        <v>-8.8822707766667008E-7</v>
      </c>
      <c r="DH218" s="408">
        <v>0</v>
      </c>
      <c r="DI218" s="408">
        <v>-327.49423600678165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-43.73727220110527</v>
      </c>
      <c r="DP218" s="408">
        <v>-13.856149258166965</v>
      </c>
      <c r="DQ218" s="408">
        <v>0</v>
      </c>
      <c r="DR218" s="408">
        <v>0</v>
      </c>
      <c r="DS218" s="408"/>
      <c r="DT218" s="408"/>
      <c r="DU218" s="408"/>
      <c r="DV218" s="408">
        <v>92318.417024587208</v>
      </c>
      <c r="DW218" s="408">
        <v>0</v>
      </c>
      <c r="DX218" s="408">
        <v>0</v>
      </c>
      <c r="DY218" s="408">
        <v>-57047.602679999996</v>
      </c>
      <c r="DZ218" s="408">
        <v>0</v>
      </c>
      <c r="EA218" s="408">
        <v>0</v>
      </c>
      <c r="EB218" s="408">
        <v>0</v>
      </c>
      <c r="EC218" s="408">
        <v>-56604.58705229115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265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225</v>
      </c>
      <c r="B219" s="408" t="s">
        <v>2230</v>
      </c>
      <c r="C219" s="408" t="s">
        <v>2227</v>
      </c>
      <c r="D219" s="408" t="s">
        <v>1952</v>
      </c>
      <c r="E219" s="408" t="s">
        <v>2238</v>
      </c>
      <c r="F219" s="408" t="s">
        <v>1317</v>
      </c>
      <c r="G219" s="408" t="s">
        <v>1317</v>
      </c>
      <c r="H219" s="408" t="s">
        <v>1317</v>
      </c>
      <c r="I219" s="408" t="s">
        <v>1317</v>
      </c>
      <c r="J219" s="408" t="s">
        <v>2228</v>
      </c>
      <c r="K219" s="828">
        <v>44501</v>
      </c>
      <c r="L219" s="408">
        <v>0</v>
      </c>
      <c r="M219" s="408">
        <v>0</v>
      </c>
      <c r="N219" s="408">
        <v>0.45200000000000001</v>
      </c>
      <c r="O219" s="408">
        <v>0.45200000000000001</v>
      </c>
      <c r="P219" s="408">
        <v>0.45200000000000001</v>
      </c>
      <c r="Q219" s="408">
        <v>0.45200000000000001</v>
      </c>
      <c r="R219" s="408"/>
      <c r="S219" s="408">
        <v>739.04</v>
      </c>
      <c r="T219" s="408">
        <v>252.22</v>
      </c>
      <c r="U219" s="408"/>
      <c r="V219" s="408">
        <v>448.04952000000003</v>
      </c>
      <c r="W219" s="408">
        <v>448.04952000000003</v>
      </c>
      <c r="X219" s="408">
        <v>306.44243999999998</v>
      </c>
      <c r="Y219" s="408">
        <v>0</v>
      </c>
      <c r="Z219" s="408">
        <v>27.957626793779557</v>
      </c>
      <c r="AA219" s="408">
        <v>0</v>
      </c>
      <c r="AB219" s="408">
        <v>0</v>
      </c>
      <c r="AC219" s="408">
        <v>0</v>
      </c>
      <c r="AD219" s="408">
        <v>55.82090656509822</v>
      </c>
      <c r="AE219" s="408">
        <v>229.15847206419511</v>
      </c>
      <c r="AF219" s="408">
        <v>114.00469089958547</v>
      </c>
      <c r="AG219" s="408">
        <v>0</v>
      </c>
      <c r="AH219" s="408">
        <v>0</v>
      </c>
      <c r="AI219" s="408">
        <v>0</v>
      </c>
      <c r="AJ219" s="408">
        <v>0</v>
      </c>
      <c r="AK219" s="408">
        <v>0</v>
      </c>
      <c r="AL219" s="408">
        <v>4.3215851911676708</v>
      </c>
      <c r="AM219" s="408"/>
      <c r="AN219" s="408">
        <v>1.0591709397107791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15.727000078628828</v>
      </c>
      <c r="BH219" s="408">
        <v>0</v>
      </c>
      <c r="BI219" s="408">
        <v>0</v>
      </c>
      <c r="BJ219" s="408">
        <v>0</v>
      </c>
      <c r="BK219" s="408">
        <v>255.51</v>
      </c>
      <c r="BL219" s="408">
        <v>2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129.73169097821429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305.0865</v>
      </c>
      <c r="CJ219" s="408">
        <v>-142.99302</v>
      </c>
      <c r="CK219" s="408"/>
      <c r="CL219" s="408"/>
      <c r="CM219" s="408"/>
      <c r="CN219" s="408"/>
      <c r="CO219" s="408">
        <v>-141.60708</v>
      </c>
      <c r="CP219" s="408">
        <v>0</v>
      </c>
      <c r="CQ219" s="408">
        <v>30</v>
      </c>
      <c r="CR219" s="408">
        <v>-1.0993530123644177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-0.14346464556923166</v>
      </c>
      <c r="DA219" s="408">
        <v>0</v>
      </c>
      <c r="DB219" s="408">
        <v>0</v>
      </c>
      <c r="DC219" s="408">
        <v>-1.598272092451225E-8</v>
      </c>
      <c r="DD219" s="408">
        <v>0</v>
      </c>
      <c r="DE219" s="408">
        <v>0</v>
      </c>
      <c r="DF219" s="408">
        <v>0</v>
      </c>
      <c r="DG219" s="408">
        <v>-2.2048123327067515E-9</v>
      </c>
      <c r="DH219" s="408">
        <v>0</v>
      </c>
      <c r="DI219" s="408">
        <v>-0.81292640354911327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-0.10856735625343017</v>
      </c>
      <c r="DP219" s="408">
        <v>-3.439458880506252E-2</v>
      </c>
      <c r="DQ219" s="408">
        <v>0</v>
      </c>
      <c r="DR219" s="408">
        <v>0</v>
      </c>
      <c r="DS219" s="408"/>
      <c r="DT219" s="408"/>
      <c r="DU219" s="408"/>
      <c r="DV219" s="408">
        <v>229.15847206419511</v>
      </c>
      <c r="DW219" s="408">
        <v>0</v>
      </c>
      <c r="DX219" s="408">
        <v>0</v>
      </c>
      <c r="DY219" s="408">
        <v>-141.60708000000002</v>
      </c>
      <c r="DZ219" s="408">
        <v>0</v>
      </c>
      <c r="EA219" s="408">
        <v>0</v>
      </c>
      <c r="EB219" s="408">
        <v>0</v>
      </c>
      <c r="EC219" s="408">
        <v>-140.50739926869713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265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226</v>
      </c>
      <c r="B220" s="408" t="s">
        <v>1031</v>
      </c>
      <c r="C220" s="408" t="s">
        <v>2227</v>
      </c>
      <c r="D220" s="408" t="s">
        <v>2240</v>
      </c>
      <c r="E220" s="408" t="s">
        <v>2241</v>
      </c>
      <c r="F220" s="408" t="s">
        <v>2242</v>
      </c>
      <c r="G220" s="408" t="s">
        <v>1317</v>
      </c>
      <c r="H220" s="408" t="s">
        <v>1317</v>
      </c>
      <c r="I220" s="408" t="s">
        <v>1317</v>
      </c>
      <c r="J220" s="408" t="s">
        <v>2228</v>
      </c>
      <c r="K220" s="828">
        <v>44501</v>
      </c>
      <c r="L220" s="408">
        <v>0</v>
      </c>
      <c r="M220" s="408">
        <v>0</v>
      </c>
      <c r="N220" s="408">
        <v>377.95699999999999</v>
      </c>
      <c r="O220" s="408">
        <v>377.95699999999999</v>
      </c>
      <c r="P220" s="408">
        <v>377.95699999999999</v>
      </c>
      <c r="Q220" s="408">
        <v>377.95699999999999</v>
      </c>
      <c r="R220" s="408"/>
      <c r="S220" s="408">
        <v>406.47</v>
      </c>
      <c r="T220" s="408">
        <v>138.72</v>
      </c>
      <c r="U220" s="408"/>
      <c r="V220" s="408">
        <v>206058.37682999999</v>
      </c>
      <c r="W220" s="408">
        <v>206058.37682999999</v>
      </c>
      <c r="X220" s="408">
        <v>140932.60616</v>
      </c>
      <c r="Y220" s="408">
        <v>0</v>
      </c>
      <c r="Z220" s="408">
        <v>12857.808434851962</v>
      </c>
      <c r="AA220" s="408">
        <v>0</v>
      </c>
      <c r="AB220" s="408">
        <v>0</v>
      </c>
      <c r="AC220" s="408">
        <v>0</v>
      </c>
      <c r="AD220" s="408">
        <v>25672.226350539157</v>
      </c>
      <c r="AE220" s="408">
        <v>105390.76713336693</v>
      </c>
      <c r="AF220" s="408">
        <v>52431.148290008772</v>
      </c>
      <c r="AG220" s="408">
        <v>0</v>
      </c>
      <c r="AH220" s="408">
        <v>0</v>
      </c>
      <c r="AI220" s="408">
        <v>0</v>
      </c>
      <c r="AJ220" s="408">
        <v>0</v>
      </c>
      <c r="AK220" s="408">
        <v>0</v>
      </c>
      <c r="AL220" s="408">
        <v>1987.5118490132472</v>
      </c>
      <c r="AM220" s="408"/>
      <c r="AN220" s="408">
        <v>487.11634728572426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7232.9012672457338</v>
      </c>
      <c r="BH220" s="408">
        <v>0</v>
      </c>
      <c r="BI220" s="408">
        <v>0</v>
      </c>
      <c r="BJ220" s="408">
        <v>0</v>
      </c>
      <c r="BK220" s="408">
        <v>48650.04</v>
      </c>
      <c r="BL220" s="408">
        <v>66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>
        <v>59664.049557254504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140933.7248</v>
      </c>
      <c r="CJ220" s="408">
        <v>-65124.682030000025</v>
      </c>
      <c r="CK220" s="408"/>
      <c r="CL220" s="408"/>
      <c r="CM220" s="408"/>
      <c r="CN220" s="408"/>
      <c r="CO220" s="408">
        <v>-65125.770670000013</v>
      </c>
      <c r="CP220" s="408">
        <v>0</v>
      </c>
      <c r="CQ220" s="408">
        <v>30</v>
      </c>
      <c r="CR220" s="408">
        <v>-505.59622029126331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-65.979882466814161</v>
      </c>
      <c r="DA220" s="408">
        <v>0</v>
      </c>
      <c r="DB220" s="408">
        <v>0</v>
      </c>
      <c r="DC220" s="408">
        <v>-7.3501214501447976E-6</v>
      </c>
      <c r="DD220" s="408">
        <v>0</v>
      </c>
      <c r="DE220" s="408">
        <v>0</v>
      </c>
      <c r="DF220" s="408">
        <v>0</v>
      </c>
      <c r="DG220" s="408">
        <v>-1.0139829100808129E-6</v>
      </c>
      <c r="DH220" s="408">
        <v>0</v>
      </c>
      <c r="DI220" s="408">
        <v>-373.86764068233242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-49.930499440516314</v>
      </c>
      <c r="DP220" s="408">
        <v>-15.818189337494914</v>
      </c>
      <c r="DQ220" s="408">
        <v>0</v>
      </c>
      <c r="DR220" s="408">
        <v>0</v>
      </c>
      <c r="DS220" s="408"/>
      <c r="DT220" s="408"/>
      <c r="DU220" s="408"/>
      <c r="DV220" s="408">
        <v>105390.76713336693</v>
      </c>
      <c r="DW220" s="408">
        <v>0</v>
      </c>
      <c r="DX220" s="408">
        <v>0</v>
      </c>
      <c r="DY220" s="408">
        <v>-65125.770669999998</v>
      </c>
      <c r="DZ220" s="408">
        <v>0</v>
      </c>
      <c r="EA220" s="408">
        <v>0</v>
      </c>
      <c r="EB220" s="408">
        <v>0</v>
      </c>
      <c r="EC220" s="408">
        <v>-64619.834752144736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265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227</v>
      </c>
      <c r="B221" s="408" t="s">
        <v>1031</v>
      </c>
      <c r="C221" s="408" t="s">
        <v>2227</v>
      </c>
      <c r="D221" s="408" t="s">
        <v>1952</v>
      </c>
      <c r="E221" s="408" t="s">
        <v>996</v>
      </c>
      <c r="F221" s="408" t="s">
        <v>2243</v>
      </c>
      <c r="G221" s="408" t="s">
        <v>1317</v>
      </c>
      <c r="H221" s="408" t="s">
        <v>1317</v>
      </c>
      <c r="I221" s="408" t="s">
        <v>1317</v>
      </c>
      <c r="J221" s="408" t="s">
        <v>2228</v>
      </c>
      <c r="K221" s="828">
        <v>44501</v>
      </c>
      <c r="L221" s="408">
        <v>0</v>
      </c>
      <c r="M221" s="408">
        <v>0</v>
      </c>
      <c r="N221" s="408">
        <v>81.462000000000003</v>
      </c>
      <c r="O221" s="408">
        <v>76.574280000000002</v>
      </c>
      <c r="P221" s="408">
        <v>81.462000000000003</v>
      </c>
      <c r="Q221" s="408">
        <v>76.574280000000002</v>
      </c>
      <c r="R221" s="408"/>
      <c r="S221" s="408">
        <v>739.04</v>
      </c>
      <c r="T221" s="408">
        <v>252.22</v>
      </c>
      <c r="U221" s="408"/>
      <c r="V221" s="408">
        <v>80750.022120000009</v>
      </c>
      <c r="W221" s="408">
        <v>80750.022120000009</v>
      </c>
      <c r="X221" s="408">
        <v>55228.792139999998</v>
      </c>
      <c r="Y221" s="408">
        <v>0</v>
      </c>
      <c r="Z221" s="408">
        <v>5038.6818448559079</v>
      </c>
      <c r="AA221" s="408">
        <v>0</v>
      </c>
      <c r="AB221" s="408">
        <v>0</v>
      </c>
      <c r="AC221" s="408">
        <v>0</v>
      </c>
      <c r="AD221" s="408">
        <v>10060.359934969096</v>
      </c>
      <c r="AE221" s="408">
        <v>41300.237724100582</v>
      </c>
      <c r="AF221" s="408">
        <v>20546.571084208037</v>
      </c>
      <c r="AG221" s="408">
        <v>0</v>
      </c>
      <c r="AH221" s="408">
        <v>0</v>
      </c>
      <c r="AI221" s="408">
        <v>0</v>
      </c>
      <c r="AJ221" s="408">
        <v>0</v>
      </c>
      <c r="AK221" s="408">
        <v>0</v>
      </c>
      <c r="AL221" s="408">
        <v>778.86055938694858</v>
      </c>
      <c r="AM221" s="408"/>
      <c r="AN221" s="408">
        <v>190.88978559893695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2834.4090274452692</v>
      </c>
      <c r="BH221" s="408">
        <v>0</v>
      </c>
      <c r="BI221" s="408">
        <v>0</v>
      </c>
      <c r="BJ221" s="408">
        <v>0</v>
      </c>
      <c r="BK221" s="408">
        <v>28619.94</v>
      </c>
      <c r="BL221" s="408">
        <v>28</v>
      </c>
      <c r="BM221" s="408"/>
      <c r="BN221" s="408"/>
      <c r="BO221" s="408"/>
      <c r="BP221" s="408"/>
      <c r="BQ221" s="408">
        <v>3313.7275284000016</v>
      </c>
      <c r="BR221" s="408"/>
      <c r="BS221" s="408"/>
      <c r="BT221" s="408"/>
      <c r="BU221" s="408"/>
      <c r="BV221" s="408">
        <v>23380.980111653305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51912.162899999996</v>
      </c>
      <c r="CJ221" s="408">
        <v>-23992.887892800005</v>
      </c>
      <c r="CK221" s="408"/>
      <c r="CL221" s="408"/>
      <c r="CM221" s="408"/>
      <c r="CN221" s="408"/>
      <c r="CO221" s="408">
        <v>-25521.229979999996</v>
      </c>
      <c r="CP221" s="408">
        <v>0</v>
      </c>
      <c r="CQ221" s="408">
        <v>30</v>
      </c>
      <c r="CR221" s="408">
        <v>-198.13162631244631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-25.856010967612747</v>
      </c>
      <c r="DA221" s="408">
        <v>0</v>
      </c>
      <c r="DB221" s="408">
        <v>0</v>
      </c>
      <c r="DC221" s="408">
        <v>-2.880500687751919E-6</v>
      </c>
      <c r="DD221" s="408">
        <v>0</v>
      </c>
      <c r="DE221" s="408">
        <v>0</v>
      </c>
      <c r="DF221" s="408">
        <v>0</v>
      </c>
      <c r="DG221" s="408">
        <v>-3.9736414692015387E-7</v>
      </c>
      <c r="DH221" s="408">
        <v>0</v>
      </c>
      <c r="DI221" s="408">
        <v>-146.51020063256146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-19.566623838754253</v>
      </c>
      <c r="DP221" s="408">
        <v>-6.1987875956593257</v>
      </c>
      <c r="DQ221" s="408">
        <v>0</v>
      </c>
      <c r="DR221" s="408">
        <v>0</v>
      </c>
      <c r="DS221" s="408"/>
      <c r="DT221" s="408"/>
      <c r="DU221" s="408"/>
      <c r="DV221" s="408">
        <v>41300.237724100582</v>
      </c>
      <c r="DW221" s="408">
        <v>0</v>
      </c>
      <c r="DX221" s="408">
        <v>0</v>
      </c>
      <c r="DY221" s="408">
        <v>-25521.229980000004</v>
      </c>
      <c r="DZ221" s="408">
        <v>0</v>
      </c>
      <c r="EA221" s="408">
        <v>0</v>
      </c>
      <c r="EB221" s="408">
        <v>0</v>
      </c>
      <c r="EC221" s="408">
        <v>-25323.039290324348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265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228</v>
      </c>
      <c r="B222" s="408" t="s">
        <v>1031</v>
      </c>
      <c r="C222" s="408" t="s">
        <v>2227</v>
      </c>
      <c r="D222" s="408" t="s">
        <v>1952</v>
      </c>
      <c r="E222" s="408" t="s">
        <v>2244</v>
      </c>
      <c r="F222" s="408" t="s">
        <v>1317</v>
      </c>
      <c r="G222" s="408" t="s">
        <v>1317</v>
      </c>
      <c r="H222" s="408" t="s">
        <v>1317</v>
      </c>
      <c r="I222" s="408" t="s">
        <v>1317</v>
      </c>
      <c r="J222" s="408" t="s">
        <v>2228</v>
      </c>
      <c r="K222" s="828">
        <v>44501</v>
      </c>
      <c r="L222" s="408">
        <v>0</v>
      </c>
      <c r="M222" s="408">
        <v>0</v>
      </c>
      <c r="N222" s="408">
        <v>7.1449999999999996</v>
      </c>
      <c r="O222" s="408">
        <v>7.1449999999999996</v>
      </c>
      <c r="P222" s="408">
        <v>7.1449999999999996</v>
      </c>
      <c r="Q222" s="408">
        <v>7.1449999999999996</v>
      </c>
      <c r="R222" s="408"/>
      <c r="S222" s="408">
        <v>739.04</v>
      </c>
      <c r="T222" s="408">
        <v>252.22</v>
      </c>
      <c r="U222" s="408"/>
      <c r="V222" s="408">
        <v>7082.5526999999993</v>
      </c>
      <c r="W222" s="408">
        <v>7082.5526999999993</v>
      </c>
      <c r="X222" s="408">
        <v>4844.0956499999993</v>
      </c>
      <c r="Y222" s="408">
        <v>0</v>
      </c>
      <c r="Z222" s="408">
        <v>441.94080407423655</v>
      </c>
      <c r="AA222" s="408">
        <v>0</v>
      </c>
      <c r="AB222" s="408">
        <v>0</v>
      </c>
      <c r="AC222" s="408">
        <v>0</v>
      </c>
      <c r="AD222" s="408">
        <v>882.39021550359894</v>
      </c>
      <c r="AE222" s="408">
        <v>3622.4276170324647</v>
      </c>
      <c r="AF222" s="408">
        <v>1802.1316736228721</v>
      </c>
      <c r="AG222" s="408">
        <v>0</v>
      </c>
      <c r="AH222" s="408">
        <v>0</v>
      </c>
      <c r="AI222" s="408">
        <v>0</v>
      </c>
      <c r="AJ222" s="408">
        <v>0</v>
      </c>
      <c r="AK222" s="408">
        <v>0</v>
      </c>
      <c r="AL222" s="408">
        <v>68.313553519674784</v>
      </c>
      <c r="AM222" s="408"/>
      <c r="AN222" s="408">
        <v>16.742868062463533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248.6049016854048</v>
      </c>
      <c r="BH222" s="408">
        <v>0</v>
      </c>
      <c r="BI222" s="408">
        <v>0</v>
      </c>
      <c r="BJ222" s="408">
        <v>0</v>
      </c>
      <c r="BK222" s="408">
        <v>2510.71</v>
      </c>
      <c r="BL222" s="408">
        <v>11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2050.7365753082768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4847.4855000000007</v>
      </c>
      <c r="CJ222" s="408">
        <v>-2235.0971999999992</v>
      </c>
      <c r="CK222" s="408"/>
      <c r="CL222" s="408"/>
      <c r="CM222" s="408"/>
      <c r="CN222" s="408"/>
      <c r="CO222" s="408">
        <v>-2238.4570499999995</v>
      </c>
      <c r="CP222" s="408">
        <v>0</v>
      </c>
      <c r="CQ222" s="408">
        <v>30</v>
      </c>
      <c r="CR222" s="408">
        <v>-17.378047064919429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-2.2678205588321134</v>
      </c>
      <c r="DA222" s="408">
        <v>0</v>
      </c>
      <c r="DB222" s="408">
        <v>0</v>
      </c>
      <c r="DC222" s="408">
        <v>-2.5264739633712452E-7</v>
      </c>
      <c r="DD222" s="408">
        <v>0</v>
      </c>
      <c r="DE222" s="408">
        <v>0</v>
      </c>
      <c r="DF222" s="408">
        <v>0</v>
      </c>
      <c r="DG222" s="408">
        <v>-3.4852632779802661E-8</v>
      </c>
      <c r="DH222" s="408">
        <v>0</v>
      </c>
      <c r="DI222" s="408">
        <v>-12.85035210920006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-1.7161808859087557</v>
      </c>
      <c r="DP222" s="408">
        <v>-0.54369322347825744</v>
      </c>
      <c r="DQ222" s="408">
        <v>0</v>
      </c>
      <c r="DR222" s="408">
        <v>0</v>
      </c>
      <c r="DS222" s="408"/>
      <c r="DT222" s="408"/>
      <c r="DU222" s="408"/>
      <c r="DV222" s="408">
        <v>3622.4276170324647</v>
      </c>
      <c r="DW222" s="408">
        <v>0</v>
      </c>
      <c r="DX222" s="408">
        <v>0</v>
      </c>
      <c r="DY222" s="408">
        <v>-2238.4570499999995</v>
      </c>
      <c r="DZ222" s="408">
        <v>0</v>
      </c>
      <c r="EA222" s="408">
        <v>0</v>
      </c>
      <c r="EB222" s="408">
        <v>0</v>
      </c>
      <c r="EC222" s="408">
        <v>-2221.0738225107102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265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229</v>
      </c>
      <c r="B223" s="408" t="s">
        <v>1031</v>
      </c>
      <c r="C223" s="408" t="s">
        <v>2227</v>
      </c>
      <c r="D223" s="408" t="s">
        <v>2237</v>
      </c>
      <c r="E223" s="408" t="s">
        <v>969</v>
      </c>
      <c r="F223" s="408" t="s">
        <v>2245</v>
      </c>
      <c r="G223" s="408" t="s">
        <v>2246</v>
      </c>
      <c r="H223" s="408" t="s">
        <v>1317</v>
      </c>
      <c r="I223" s="408" t="s">
        <v>1317</v>
      </c>
      <c r="J223" s="408" t="s">
        <v>2228</v>
      </c>
      <c r="K223" s="828">
        <v>44501</v>
      </c>
      <c r="L223" s="408">
        <v>0</v>
      </c>
      <c r="M223" s="408">
        <v>0</v>
      </c>
      <c r="N223" s="408">
        <v>0</v>
      </c>
      <c r="O223" s="408">
        <v>0</v>
      </c>
      <c r="P223" s="408">
        <v>0</v>
      </c>
      <c r="Q223" s="408">
        <v>0</v>
      </c>
      <c r="R223" s="408"/>
      <c r="S223" s="408"/>
      <c r="T223" s="408"/>
      <c r="U223" s="408"/>
      <c r="V223" s="408"/>
      <c r="W223" s="408"/>
      <c r="X223" s="408"/>
      <c r="Y223" s="408"/>
      <c r="Z223" s="408"/>
      <c r="AA223" s="408">
        <v>0</v>
      </c>
      <c r="AB223" s="408"/>
      <c r="AC223" s="408"/>
      <c r="AD223" s="408"/>
      <c r="AE223" s="408"/>
      <c r="AF223" s="408"/>
      <c r="AG223" s="408"/>
      <c r="AH223" s="408"/>
      <c r="AI223" s="408"/>
      <c r="AJ223" s="408"/>
      <c r="AK223" s="408"/>
      <c r="AL223" s="408"/>
      <c r="AM223" s="408"/>
      <c r="AN223" s="408"/>
      <c r="AO223" s="408"/>
      <c r="AP223" s="408"/>
      <c r="AQ223" s="408"/>
      <c r="AR223" s="408"/>
      <c r="AS223" s="408"/>
      <c r="AT223" s="408"/>
      <c r="AU223" s="408"/>
      <c r="AV223" s="408"/>
      <c r="AW223" s="408"/>
      <c r="AX223" s="408"/>
      <c r="AY223" s="408"/>
      <c r="AZ223" s="408">
        <v>0</v>
      </c>
      <c r="BA223" s="408"/>
      <c r="BB223" s="408"/>
      <c r="BC223" s="408"/>
      <c r="BD223" s="408"/>
      <c r="BE223" s="408"/>
      <c r="BF223" s="408"/>
      <c r="BG223" s="408"/>
      <c r="BH223" s="408"/>
      <c r="BI223" s="408">
        <v>0</v>
      </c>
      <c r="BJ223" s="408">
        <v>0</v>
      </c>
      <c r="BK223" s="408">
        <v>357.44</v>
      </c>
      <c r="BL223" s="408">
        <v>32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/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/>
      <c r="CJ223" s="408">
        <v>-0.03</v>
      </c>
      <c r="CK223" s="408"/>
      <c r="CL223" s="408"/>
      <c r="CM223" s="408"/>
      <c r="CN223" s="408"/>
      <c r="CO223" s="408">
        <v>0</v>
      </c>
      <c r="CP223" s="408">
        <v>0</v>
      </c>
      <c r="CQ223" s="408">
        <v>30</v>
      </c>
      <c r="CR223" s="408"/>
      <c r="CS223" s="408"/>
      <c r="CT223" s="408"/>
      <c r="CU223" s="408"/>
      <c r="CV223" s="408"/>
      <c r="CW223" s="408"/>
      <c r="CX223" s="408"/>
      <c r="CY223" s="408"/>
      <c r="CZ223" s="408"/>
      <c r="DA223" s="408"/>
      <c r="DB223" s="408"/>
      <c r="DC223" s="408"/>
      <c r="DD223" s="408"/>
      <c r="DE223" s="408"/>
      <c r="DF223" s="408"/>
      <c r="DG223" s="408"/>
      <c r="DH223" s="408"/>
      <c r="DI223" s="408"/>
      <c r="DJ223" s="408"/>
      <c r="DK223" s="408">
        <v>0</v>
      </c>
      <c r="DL223" s="408"/>
      <c r="DM223" s="408"/>
      <c r="DN223" s="408"/>
      <c r="DO223" s="408"/>
      <c r="DP223" s="408"/>
      <c r="DQ223" s="408"/>
      <c r="DR223" s="408"/>
      <c r="DS223" s="408"/>
      <c r="DT223" s="408"/>
      <c r="DU223" s="408"/>
      <c r="DV223" s="408"/>
      <c r="DW223" s="408"/>
      <c r="DX223" s="408"/>
      <c r="DY223" s="408"/>
      <c r="DZ223" s="408"/>
      <c r="EA223" s="408"/>
      <c r="EB223" s="408"/>
      <c r="EC223" s="408"/>
      <c r="ED223" s="408"/>
      <c r="EE223" s="408"/>
      <c r="EF223" s="408"/>
      <c r="EG223" s="408"/>
      <c r="EH223" s="408"/>
      <c r="EI223" s="408"/>
      <c r="EJ223" s="408"/>
      <c r="EK223" s="408"/>
      <c r="EL223" s="408"/>
      <c r="EM223" s="408"/>
      <c r="EN223" s="408"/>
      <c r="EO223" s="408"/>
      <c r="EP223" s="408"/>
      <c r="EQ223" s="408"/>
      <c r="ER223" s="408"/>
      <c r="ES223" s="408"/>
      <c r="ET223" s="408"/>
      <c r="EU223" s="408"/>
      <c r="EV223" s="408">
        <v>265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230</v>
      </c>
      <c r="B224" s="408" t="s">
        <v>2230</v>
      </c>
      <c r="C224" s="408" t="s">
        <v>2227</v>
      </c>
      <c r="D224" s="408" t="s">
        <v>2237</v>
      </c>
      <c r="E224" s="408" t="s">
        <v>969</v>
      </c>
      <c r="F224" s="408" t="s">
        <v>2245</v>
      </c>
      <c r="G224" s="408" t="s">
        <v>2246</v>
      </c>
      <c r="H224" s="408" t="s">
        <v>1317</v>
      </c>
      <c r="I224" s="408" t="s">
        <v>1317</v>
      </c>
      <c r="J224" s="408" t="s">
        <v>2228</v>
      </c>
      <c r="K224" s="828">
        <v>44501</v>
      </c>
      <c r="L224" s="408">
        <v>0</v>
      </c>
      <c r="M224" s="408">
        <v>0</v>
      </c>
      <c r="N224" s="408">
        <v>0</v>
      </c>
      <c r="O224" s="408">
        <v>0</v>
      </c>
      <c r="P224" s="408">
        <v>0</v>
      </c>
      <c r="Q224" s="408">
        <v>0</v>
      </c>
      <c r="R224" s="408"/>
      <c r="S224" s="408"/>
      <c r="T224" s="408"/>
      <c r="U224" s="408"/>
      <c r="V224" s="408"/>
      <c r="W224" s="408"/>
      <c r="X224" s="408"/>
      <c r="Y224" s="408"/>
      <c r="Z224" s="408"/>
      <c r="AA224" s="408">
        <v>0</v>
      </c>
      <c r="AB224" s="408"/>
      <c r="AC224" s="408"/>
      <c r="AD224" s="408"/>
      <c r="AE224" s="408"/>
      <c r="AF224" s="408"/>
      <c r="AG224" s="408"/>
      <c r="AH224" s="408"/>
      <c r="AI224" s="408"/>
      <c r="AJ224" s="408"/>
      <c r="AK224" s="408"/>
      <c r="AL224" s="408"/>
      <c r="AM224" s="408"/>
      <c r="AN224" s="408"/>
      <c r="AO224" s="408"/>
      <c r="AP224" s="408"/>
      <c r="AQ224" s="408"/>
      <c r="AR224" s="408"/>
      <c r="AS224" s="408"/>
      <c r="AT224" s="408"/>
      <c r="AU224" s="408"/>
      <c r="AV224" s="408"/>
      <c r="AW224" s="408"/>
      <c r="AX224" s="408"/>
      <c r="AY224" s="408"/>
      <c r="AZ224" s="408">
        <v>0</v>
      </c>
      <c r="BA224" s="408"/>
      <c r="BB224" s="408"/>
      <c r="BC224" s="408"/>
      <c r="BD224" s="408"/>
      <c r="BE224" s="408"/>
      <c r="BF224" s="408"/>
      <c r="BG224" s="408"/>
      <c r="BH224" s="408"/>
      <c r="BI224" s="408">
        <v>0</v>
      </c>
      <c r="BJ224" s="408">
        <v>0</v>
      </c>
      <c r="BK224" s="408">
        <v>11.34</v>
      </c>
      <c r="BL224" s="408">
        <v>1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/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/>
      <c r="CJ224" s="408">
        <v>-0.03</v>
      </c>
      <c r="CK224" s="408"/>
      <c r="CL224" s="408"/>
      <c r="CM224" s="408"/>
      <c r="CN224" s="408"/>
      <c r="CO224" s="408">
        <v>0</v>
      </c>
      <c r="CP224" s="408">
        <v>0</v>
      </c>
      <c r="CQ224" s="408">
        <v>30</v>
      </c>
      <c r="CR224" s="408"/>
      <c r="CS224" s="408"/>
      <c r="CT224" s="408"/>
      <c r="CU224" s="408"/>
      <c r="CV224" s="408"/>
      <c r="CW224" s="408"/>
      <c r="CX224" s="408"/>
      <c r="CY224" s="408"/>
      <c r="CZ224" s="408"/>
      <c r="DA224" s="408"/>
      <c r="DB224" s="408"/>
      <c r="DC224" s="408"/>
      <c r="DD224" s="408"/>
      <c r="DE224" s="408"/>
      <c r="DF224" s="408"/>
      <c r="DG224" s="408"/>
      <c r="DH224" s="408"/>
      <c r="DI224" s="408"/>
      <c r="DJ224" s="408"/>
      <c r="DK224" s="408">
        <v>0</v>
      </c>
      <c r="DL224" s="408"/>
      <c r="DM224" s="408"/>
      <c r="DN224" s="408"/>
      <c r="DO224" s="408"/>
      <c r="DP224" s="408"/>
      <c r="DQ224" s="408"/>
      <c r="DR224" s="408"/>
      <c r="DS224" s="408"/>
      <c r="DT224" s="408"/>
      <c r="DU224" s="408"/>
      <c r="DV224" s="408"/>
      <c r="DW224" s="408"/>
      <c r="DX224" s="408"/>
      <c r="DY224" s="408"/>
      <c r="DZ224" s="408"/>
      <c r="EA224" s="408"/>
      <c r="EB224" s="408"/>
      <c r="EC224" s="408"/>
      <c r="ED224" s="408"/>
      <c r="EE224" s="408"/>
      <c r="EF224" s="408"/>
      <c r="EG224" s="408"/>
      <c r="EH224" s="408"/>
      <c r="EI224" s="408"/>
      <c r="EJ224" s="408"/>
      <c r="EK224" s="408"/>
      <c r="EL224" s="408"/>
      <c r="EM224" s="408"/>
      <c r="EN224" s="408"/>
      <c r="EO224" s="408"/>
      <c r="EP224" s="408"/>
      <c r="EQ224" s="408"/>
      <c r="ER224" s="408"/>
      <c r="ES224" s="408"/>
      <c r="ET224" s="408"/>
      <c r="EU224" s="408"/>
      <c r="EV224" s="408">
        <v>265</v>
      </c>
      <c r="EW224" s="408"/>
      <c r="EX224" s="408"/>
      <c r="EY224" s="408"/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231</v>
      </c>
      <c r="B225" s="408" t="s">
        <v>1031</v>
      </c>
      <c r="C225" s="408" t="s">
        <v>2227</v>
      </c>
      <c r="D225" s="408" t="s">
        <v>2237</v>
      </c>
      <c r="E225" s="408" t="s">
        <v>969</v>
      </c>
      <c r="F225" s="408" t="s">
        <v>2245</v>
      </c>
      <c r="G225" s="408" t="s">
        <v>2246</v>
      </c>
      <c r="H225" s="408" t="s">
        <v>1317</v>
      </c>
      <c r="I225" s="408" t="s">
        <v>1317</v>
      </c>
      <c r="J225" s="408" t="s">
        <v>2228</v>
      </c>
      <c r="K225" s="828">
        <v>44501</v>
      </c>
      <c r="L225" s="408">
        <v>0</v>
      </c>
      <c r="M225" s="408">
        <v>0</v>
      </c>
      <c r="N225" s="408">
        <v>83.301000000000002</v>
      </c>
      <c r="O225" s="408">
        <v>83.301000000000002</v>
      </c>
      <c r="P225" s="408">
        <v>83.301000000000002</v>
      </c>
      <c r="Q225" s="408">
        <v>83.301000000000002</v>
      </c>
      <c r="R225" s="408"/>
      <c r="S225" s="408">
        <v>739.04</v>
      </c>
      <c r="T225" s="408">
        <v>252.22</v>
      </c>
      <c r="U225" s="408"/>
      <c r="V225" s="408">
        <v>82572.949259999994</v>
      </c>
      <c r="W225" s="408">
        <v>82572.949259999994</v>
      </c>
      <c r="X225" s="408">
        <v>56475.578970000002</v>
      </c>
      <c r="Y225" s="408">
        <v>0</v>
      </c>
      <c r="Z225" s="408">
        <v>5152.4297998863512</v>
      </c>
      <c r="AA225" s="408">
        <v>0</v>
      </c>
      <c r="AB225" s="408">
        <v>0</v>
      </c>
      <c r="AC225" s="408">
        <v>0</v>
      </c>
      <c r="AD225" s="408">
        <v>10287.471986237271</v>
      </c>
      <c r="AE225" s="408">
        <v>42232.58823322902</v>
      </c>
      <c r="AF225" s="408">
        <v>21010.408753598163</v>
      </c>
      <c r="AG225" s="408">
        <v>0</v>
      </c>
      <c r="AH225" s="408">
        <v>0</v>
      </c>
      <c r="AI225" s="408">
        <v>0</v>
      </c>
      <c r="AJ225" s="408">
        <v>0</v>
      </c>
      <c r="AK225" s="408">
        <v>0</v>
      </c>
      <c r="AL225" s="408">
        <v>796.44329205632323</v>
      </c>
      <c r="AM225" s="408"/>
      <c r="AN225" s="408">
        <v>195.19911161249473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2898.3956494465929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>
        <v>6776.5363499999967</v>
      </c>
      <c r="BS225" s="408"/>
      <c r="BT225" s="408"/>
      <c r="BU225" s="408"/>
      <c r="BV225" s="408">
        <v>23908.804403044756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49698.445999999996</v>
      </c>
      <c r="CJ225" s="408">
        <v>-22965.879310000004</v>
      </c>
      <c r="CK225" s="408"/>
      <c r="CL225" s="408"/>
      <c r="CM225" s="408"/>
      <c r="CN225" s="408"/>
      <c r="CO225" s="408">
        <v>-26097.370289999999</v>
      </c>
      <c r="CP225" s="408">
        <v>0</v>
      </c>
      <c r="CQ225" s="408">
        <v>30</v>
      </c>
      <c r="CR225" s="408">
        <v>-202.60443646673957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-26.439708939296906</v>
      </c>
      <c r="DA225" s="408">
        <v>0</v>
      </c>
      <c r="DB225" s="408">
        <v>0</v>
      </c>
      <c r="DC225" s="408">
        <v>-2.9455259209498763E-6</v>
      </c>
      <c r="DD225" s="408">
        <v>0</v>
      </c>
      <c r="DE225" s="408">
        <v>0</v>
      </c>
      <c r="DF225" s="408">
        <v>0</v>
      </c>
      <c r="DG225" s="408">
        <v>-4.0633403841638938E-7</v>
      </c>
      <c r="DH225" s="408">
        <v>0</v>
      </c>
      <c r="DI225" s="408">
        <v>-149.81766004877136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-20.008339255015358</v>
      </c>
      <c r="DP225" s="408">
        <v>-6.3387248717931755</v>
      </c>
      <c r="DQ225" s="408">
        <v>0</v>
      </c>
      <c r="DR225" s="408">
        <v>0</v>
      </c>
      <c r="DS225" s="408"/>
      <c r="DT225" s="408"/>
      <c r="DU225" s="408"/>
      <c r="DV225" s="408">
        <v>42232.58823322902</v>
      </c>
      <c r="DW225" s="408">
        <v>0</v>
      </c>
      <c r="DX225" s="408">
        <v>0</v>
      </c>
      <c r="DY225" s="408">
        <v>-26097.370289999999</v>
      </c>
      <c r="DZ225" s="408">
        <v>0</v>
      </c>
      <c r="EA225" s="408">
        <v>0</v>
      </c>
      <c r="EB225" s="408">
        <v>0</v>
      </c>
      <c r="EC225" s="408">
        <v>-25894.70545681801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265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232</v>
      </c>
      <c r="B226" s="408" t="s">
        <v>2229</v>
      </c>
      <c r="C226" s="408" t="s">
        <v>2227</v>
      </c>
      <c r="D226" s="408" t="s">
        <v>2237</v>
      </c>
      <c r="E226" s="408" t="s">
        <v>969</v>
      </c>
      <c r="F226" s="408" t="s">
        <v>2245</v>
      </c>
      <c r="G226" s="408" t="s">
        <v>2246</v>
      </c>
      <c r="H226" s="408" t="s">
        <v>1317</v>
      </c>
      <c r="I226" s="408" t="s">
        <v>1317</v>
      </c>
      <c r="J226" s="408" t="s">
        <v>2228</v>
      </c>
      <c r="K226" s="828">
        <v>44501</v>
      </c>
      <c r="L226" s="408">
        <v>0</v>
      </c>
      <c r="M226" s="408">
        <v>0</v>
      </c>
      <c r="N226" s="408">
        <v>0.2</v>
      </c>
      <c r="O226" s="408">
        <v>0.2</v>
      </c>
      <c r="P226" s="408">
        <v>0.2</v>
      </c>
      <c r="Q226" s="408">
        <v>0.2</v>
      </c>
      <c r="R226" s="408"/>
      <c r="S226" s="408">
        <v>739.04</v>
      </c>
      <c r="T226" s="408">
        <v>252.22</v>
      </c>
      <c r="U226" s="408"/>
      <c r="V226" s="408">
        <v>198.25200000000001</v>
      </c>
      <c r="W226" s="408">
        <v>198.25200000000001</v>
      </c>
      <c r="X226" s="408">
        <v>135.59399999999999</v>
      </c>
      <c r="Y226" s="408">
        <v>0</v>
      </c>
      <c r="Z226" s="408">
        <v>12.37063132468122</v>
      </c>
      <c r="AA226" s="408">
        <v>0</v>
      </c>
      <c r="AB226" s="408">
        <v>0</v>
      </c>
      <c r="AC226" s="408">
        <v>0</v>
      </c>
      <c r="AD226" s="408">
        <v>24.699516179246999</v>
      </c>
      <c r="AE226" s="408">
        <v>101.3975540107058</v>
      </c>
      <c r="AF226" s="408">
        <v>50.444553495391801</v>
      </c>
      <c r="AG226" s="408">
        <v>0</v>
      </c>
      <c r="AH226" s="408">
        <v>0</v>
      </c>
      <c r="AI226" s="408">
        <v>0</v>
      </c>
      <c r="AJ226" s="408">
        <v>0</v>
      </c>
      <c r="AK226" s="408">
        <v>0</v>
      </c>
      <c r="AL226" s="408">
        <v>1.9122058367998542</v>
      </c>
      <c r="AM226" s="408"/>
      <c r="AN226" s="408">
        <v>0.46865970783662797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6.9588495923136406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/>
      <c r="BR226" s="408">
        <v>16.269999999999996</v>
      </c>
      <c r="BS226" s="408"/>
      <c r="BT226" s="408"/>
      <c r="BU226" s="408"/>
      <c r="BV226" s="408">
        <v>57.403403087705442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119.32400000000001</v>
      </c>
      <c r="CJ226" s="408">
        <v>-55.167999999999978</v>
      </c>
      <c r="CK226" s="408"/>
      <c r="CL226" s="408"/>
      <c r="CM226" s="408"/>
      <c r="CN226" s="408"/>
      <c r="CO226" s="408">
        <v>-62.657999999999994</v>
      </c>
      <c r="CP226" s="408">
        <v>0</v>
      </c>
      <c r="CQ226" s="408">
        <v>30</v>
      </c>
      <c r="CR226" s="408">
        <v>-0.48643938600194758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-6.347993166779986E-2</v>
      </c>
      <c r="DA226" s="408">
        <v>0</v>
      </c>
      <c r="DB226" s="408">
        <v>0</v>
      </c>
      <c r="DC226" s="408">
        <v>-7.0720034273108467E-9</v>
      </c>
      <c r="DD226" s="408">
        <v>0</v>
      </c>
      <c r="DE226" s="408">
        <v>0</v>
      </c>
      <c r="DF226" s="408">
        <v>0</v>
      </c>
      <c r="DG226" s="408">
        <v>-9.7558050526913576E-10</v>
      </c>
      <c r="DH226" s="408">
        <v>0</v>
      </c>
      <c r="DI226" s="408">
        <v>-0.35970194847305947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-4.8038653209482307E-2</v>
      </c>
      <c r="DP226" s="408">
        <v>-1.5218844604009962E-2</v>
      </c>
      <c r="DQ226" s="408">
        <v>0</v>
      </c>
      <c r="DR226" s="408">
        <v>0</v>
      </c>
      <c r="DS226" s="408"/>
      <c r="DT226" s="408"/>
      <c r="DU226" s="408"/>
      <c r="DV226" s="408">
        <v>101.3975540107058</v>
      </c>
      <c r="DW226" s="408">
        <v>0</v>
      </c>
      <c r="DX226" s="408">
        <v>0</v>
      </c>
      <c r="DY226" s="408">
        <v>-62.657999999999987</v>
      </c>
      <c r="DZ226" s="408">
        <v>0</v>
      </c>
      <c r="EA226" s="408">
        <v>0</v>
      </c>
      <c r="EB226" s="408">
        <v>0</v>
      </c>
      <c r="EC226" s="408">
        <v>-62.171415605618201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265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233</v>
      </c>
      <c r="B227" s="408" t="s">
        <v>2230</v>
      </c>
      <c r="C227" s="408" t="s">
        <v>2227</v>
      </c>
      <c r="D227" s="408" t="s">
        <v>2237</v>
      </c>
      <c r="E227" s="408" t="s">
        <v>969</v>
      </c>
      <c r="F227" s="408" t="s">
        <v>2245</v>
      </c>
      <c r="G227" s="408" t="s">
        <v>2246</v>
      </c>
      <c r="H227" s="408" t="s">
        <v>1317</v>
      </c>
      <c r="I227" s="408" t="s">
        <v>1317</v>
      </c>
      <c r="J227" s="408" t="s">
        <v>2228</v>
      </c>
      <c r="K227" s="828">
        <v>44501</v>
      </c>
      <c r="L227" s="408">
        <v>0</v>
      </c>
      <c r="M227" s="408">
        <v>0</v>
      </c>
      <c r="N227" s="408">
        <v>1.4670000000000001</v>
      </c>
      <c r="O227" s="408">
        <v>1.4670000000000001</v>
      </c>
      <c r="P227" s="408">
        <v>1.4670000000000001</v>
      </c>
      <c r="Q227" s="408">
        <v>1.4670000000000001</v>
      </c>
      <c r="R227" s="408"/>
      <c r="S227" s="408">
        <v>739.04</v>
      </c>
      <c r="T227" s="408">
        <v>252.22</v>
      </c>
      <c r="U227" s="408"/>
      <c r="V227" s="408">
        <v>1454.17842</v>
      </c>
      <c r="W227" s="408">
        <v>1454.17842</v>
      </c>
      <c r="X227" s="408">
        <v>994.58199000000002</v>
      </c>
      <c r="Y227" s="408">
        <v>0</v>
      </c>
      <c r="Z227" s="408">
        <v>90.738580766536757</v>
      </c>
      <c r="AA227" s="408">
        <v>0</v>
      </c>
      <c r="AB227" s="408">
        <v>0</v>
      </c>
      <c r="AC227" s="408">
        <v>0</v>
      </c>
      <c r="AD227" s="408">
        <v>181.17095117477675</v>
      </c>
      <c r="AE227" s="408">
        <v>743.75105866852709</v>
      </c>
      <c r="AF227" s="408">
        <v>370.0107998886989</v>
      </c>
      <c r="AG227" s="408">
        <v>0</v>
      </c>
      <c r="AH227" s="408">
        <v>0</v>
      </c>
      <c r="AI227" s="408">
        <v>0</v>
      </c>
      <c r="AJ227" s="408">
        <v>0</v>
      </c>
      <c r="AK227" s="408">
        <v>0</v>
      </c>
      <c r="AL227" s="408">
        <v>14.026029812926931</v>
      </c>
      <c r="AM227" s="408"/>
      <c r="AN227" s="408">
        <v>3.4376189569816664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51.04316175962056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>
        <v>119.34044999999995</v>
      </c>
      <c r="BS227" s="408"/>
      <c r="BT227" s="408"/>
      <c r="BU227" s="408"/>
      <c r="BV227" s="408">
        <v>421.05396164831944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877.03140000000008</v>
      </c>
      <c r="CJ227" s="408">
        <v>-402.67737000000011</v>
      </c>
      <c r="CK227" s="408"/>
      <c r="CL227" s="408"/>
      <c r="CM227" s="408"/>
      <c r="CN227" s="408"/>
      <c r="CO227" s="408">
        <v>-459.59643</v>
      </c>
      <c r="CP227" s="408">
        <v>0</v>
      </c>
      <c r="CQ227" s="408">
        <v>30</v>
      </c>
      <c r="CR227" s="408">
        <v>-3.5680328963242118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-0.46562529878332271</v>
      </c>
      <c r="DA227" s="408">
        <v>0</v>
      </c>
      <c r="DB227" s="408">
        <v>0</v>
      </c>
      <c r="DC227" s="408">
        <v>-5.1873144002456684E-8</v>
      </c>
      <c r="DD227" s="408">
        <v>0</v>
      </c>
      <c r="DE227" s="408">
        <v>0</v>
      </c>
      <c r="DF227" s="408">
        <v>0</v>
      </c>
      <c r="DG227" s="408">
        <v>-7.1558901026946842E-9</v>
      </c>
      <c r="DH227" s="408">
        <v>0</v>
      </c>
      <c r="DI227" s="408">
        <v>-2.6384137920498887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-0.35236352129155257</v>
      </c>
      <c r="DP227" s="408">
        <v>-0.11163022517041332</v>
      </c>
      <c r="DQ227" s="408">
        <v>0</v>
      </c>
      <c r="DR227" s="408">
        <v>0</v>
      </c>
      <c r="DS227" s="408"/>
      <c r="DT227" s="408"/>
      <c r="DU227" s="408"/>
      <c r="DV227" s="408">
        <v>743.75105866852709</v>
      </c>
      <c r="DW227" s="408">
        <v>0</v>
      </c>
      <c r="DX227" s="408">
        <v>0</v>
      </c>
      <c r="DY227" s="408">
        <v>-459.59642999999994</v>
      </c>
      <c r="DZ227" s="408">
        <v>0</v>
      </c>
      <c r="EA227" s="408">
        <v>0</v>
      </c>
      <c r="EB227" s="408">
        <v>0</v>
      </c>
      <c r="EC227" s="408">
        <v>-456.02733346720953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265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234</v>
      </c>
      <c r="B228" s="408" t="s">
        <v>1031</v>
      </c>
      <c r="C228" s="408" t="s">
        <v>2227</v>
      </c>
      <c r="D228" s="408" t="s">
        <v>2237</v>
      </c>
      <c r="E228" s="408" t="s">
        <v>969</v>
      </c>
      <c r="F228" s="408" t="s">
        <v>2245</v>
      </c>
      <c r="G228" s="408" t="s">
        <v>2247</v>
      </c>
      <c r="H228" s="408" t="s">
        <v>1317</v>
      </c>
      <c r="I228" s="408" t="s">
        <v>1317</v>
      </c>
      <c r="J228" s="408" t="s">
        <v>2228</v>
      </c>
      <c r="K228" s="828">
        <v>44501</v>
      </c>
      <c r="L228" s="408">
        <v>0</v>
      </c>
      <c r="M228" s="408">
        <v>0</v>
      </c>
      <c r="N228" s="408">
        <v>103.77800000000001</v>
      </c>
      <c r="O228" s="408">
        <v>41.511200000000002</v>
      </c>
      <c r="P228" s="408">
        <v>103.77800000000001</v>
      </c>
      <c r="Q228" s="408">
        <v>41.511200000000002</v>
      </c>
      <c r="R228" s="408"/>
      <c r="S228" s="408">
        <v>739.04</v>
      </c>
      <c r="T228" s="408">
        <v>252.22</v>
      </c>
      <c r="U228" s="408"/>
      <c r="V228" s="408">
        <v>102870.98028</v>
      </c>
      <c r="W228" s="408">
        <v>102870.98028</v>
      </c>
      <c r="X228" s="408">
        <v>70358.37066</v>
      </c>
      <c r="Y228" s="408">
        <v>0</v>
      </c>
      <c r="Z228" s="408">
        <v>6418.9968880638389</v>
      </c>
      <c r="AA228" s="408">
        <v>0</v>
      </c>
      <c r="AB228" s="408">
        <v>0</v>
      </c>
      <c r="AC228" s="408">
        <v>0</v>
      </c>
      <c r="AD228" s="408">
        <v>12816.331950249476</v>
      </c>
      <c r="AE228" s="408">
        <v>52614.176800615132</v>
      </c>
      <c r="AF228" s="408">
        <v>26175.174363223854</v>
      </c>
      <c r="AG228" s="408">
        <v>0</v>
      </c>
      <c r="AH228" s="408">
        <v>0</v>
      </c>
      <c r="AI228" s="408">
        <v>0</v>
      </c>
      <c r="AJ228" s="408">
        <v>0</v>
      </c>
      <c r="AK228" s="408">
        <v>0</v>
      </c>
      <c r="AL228" s="408">
        <v>992.22448665707634</v>
      </c>
      <c r="AM228" s="408"/>
      <c r="AN228" s="408">
        <v>243.18283579934788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3610.8774649556253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/>
      <c r="BS228" s="408">
        <v>45591.958515999999</v>
      </c>
      <c r="BT228" s="408"/>
      <c r="BU228" s="408"/>
      <c r="BV228" s="408">
        <v>29786.051828179479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24765.696199999998</v>
      </c>
      <c r="CJ228" s="408">
        <v>-11444.968672000003</v>
      </c>
      <c r="CK228" s="408"/>
      <c r="CL228" s="408"/>
      <c r="CM228" s="408"/>
      <c r="CN228" s="408"/>
      <c r="CO228" s="408">
        <v>-32512.609619999999</v>
      </c>
      <c r="CP228" s="408">
        <v>0</v>
      </c>
      <c r="CQ228" s="408">
        <v>30</v>
      </c>
      <c r="CR228" s="408">
        <v>-252.40853300254093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-32.939101743104402</v>
      </c>
      <c r="DA228" s="408">
        <v>0</v>
      </c>
      <c r="DB228" s="408">
        <v>0</v>
      </c>
      <c r="DC228" s="408">
        <v>-3.6695928429253399E-6</v>
      </c>
      <c r="DD228" s="408">
        <v>0</v>
      </c>
      <c r="DE228" s="408">
        <v>0</v>
      </c>
      <c r="DF228" s="408">
        <v>0</v>
      </c>
      <c r="DG228" s="408">
        <v>-5.0621929403860122E-7</v>
      </c>
      <c r="DH228" s="408">
        <v>0</v>
      </c>
      <c r="DI228" s="408">
        <v>-186.64574404318591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-24.926776763868247</v>
      </c>
      <c r="DP228" s="408">
        <v>-7.8969062765747253</v>
      </c>
      <c r="DQ228" s="408">
        <v>0</v>
      </c>
      <c r="DR228" s="408">
        <v>0</v>
      </c>
      <c r="DS228" s="408"/>
      <c r="DT228" s="408"/>
      <c r="DU228" s="408"/>
      <c r="DV228" s="408">
        <v>52614.176800615132</v>
      </c>
      <c r="DW228" s="408">
        <v>0</v>
      </c>
      <c r="DX228" s="408">
        <v>0</v>
      </c>
      <c r="DY228" s="408">
        <v>-32512.609620000003</v>
      </c>
      <c r="DZ228" s="408">
        <v>0</v>
      </c>
      <c r="EA228" s="408">
        <v>0</v>
      </c>
      <c r="EB228" s="408">
        <v>0</v>
      </c>
      <c r="EC228" s="408">
        <v>-32260.125843599224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265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235</v>
      </c>
      <c r="B229" s="408" t="s">
        <v>2229</v>
      </c>
      <c r="C229" s="408" t="s">
        <v>2227</v>
      </c>
      <c r="D229" s="408" t="s">
        <v>2237</v>
      </c>
      <c r="E229" s="408" t="s">
        <v>969</v>
      </c>
      <c r="F229" s="408" t="s">
        <v>2245</v>
      </c>
      <c r="G229" s="408" t="s">
        <v>2247</v>
      </c>
      <c r="H229" s="408" t="s">
        <v>1317</v>
      </c>
      <c r="I229" s="408" t="s">
        <v>1317</v>
      </c>
      <c r="J229" s="408" t="s">
        <v>2228</v>
      </c>
      <c r="K229" s="828">
        <v>44501</v>
      </c>
      <c r="L229" s="408">
        <v>0</v>
      </c>
      <c r="M229" s="408">
        <v>0</v>
      </c>
      <c r="N229" s="408">
        <v>-12.36</v>
      </c>
      <c r="O229" s="408">
        <v>-4.944</v>
      </c>
      <c r="P229" s="408">
        <v>-12.36</v>
      </c>
      <c r="Q229" s="408">
        <v>-4.944</v>
      </c>
      <c r="R229" s="408"/>
      <c r="S229" s="408">
        <v>739.04</v>
      </c>
      <c r="T229" s="408">
        <v>252.22</v>
      </c>
      <c r="U229" s="408"/>
      <c r="V229" s="408">
        <v>-12251.973599999998</v>
      </c>
      <c r="W229" s="408">
        <v>-12251.973599999998</v>
      </c>
      <c r="X229" s="408">
        <v>-8379.7091999999993</v>
      </c>
      <c r="Y229" s="408">
        <v>0</v>
      </c>
      <c r="Z229" s="408">
        <v>-764.50501586529936</v>
      </c>
      <c r="AA229" s="408">
        <v>0</v>
      </c>
      <c r="AB229" s="408">
        <v>0</v>
      </c>
      <c r="AC229" s="408">
        <v>0</v>
      </c>
      <c r="AD229" s="408">
        <v>-1526.4300998774645</v>
      </c>
      <c r="AE229" s="408">
        <v>-6266.368837861618</v>
      </c>
      <c r="AF229" s="408">
        <v>-3117.4734060152132</v>
      </c>
      <c r="AG229" s="408">
        <v>0</v>
      </c>
      <c r="AH229" s="408">
        <v>0</v>
      </c>
      <c r="AI229" s="408">
        <v>0</v>
      </c>
      <c r="AJ229" s="408">
        <v>0</v>
      </c>
      <c r="AK229" s="408">
        <v>0</v>
      </c>
      <c r="AL229" s="408">
        <v>-118.17432071423097</v>
      </c>
      <c r="AM229" s="408"/>
      <c r="AN229" s="408">
        <v>-28.963169944303605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-430.05690480498299</v>
      </c>
      <c r="BH229" s="408">
        <v>0</v>
      </c>
      <c r="BI229" s="408">
        <v>0</v>
      </c>
      <c r="BJ229" s="408">
        <v>0</v>
      </c>
      <c r="BK229" s="408">
        <v>0</v>
      </c>
      <c r="BL229" s="408">
        <v>0</v>
      </c>
      <c r="BM229" s="408"/>
      <c r="BN229" s="408"/>
      <c r="BO229" s="408"/>
      <c r="BP229" s="408"/>
      <c r="BQ229" s="408"/>
      <c r="BR229" s="408"/>
      <c r="BS229" s="408">
        <v>-5430.0199199999997</v>
      </c>
      <c r="BT229" s="408"/>
      <c r="BU229" s="408"/>
      <c r="BV229" s="408">
        <v>-3547.5303108201961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-2947.3028000000004</v>
      </c>
      <c r="CJ229" s="408">
        <v>1365.367839999999</v>
      </c>
      <c r="CK229" s="408"/>
      <c r="CL229" s="408"/>
      <c r="CM229" s="408"/>
      <c r="CN229" s="408"/>
      <c r="CO229" s="408">
        <v>3872.2643999999996</v>
      </c>
      <c r="CP229" s="408">
        <v>0</v>
      </c>
      <c r="CQ229" s="408">
        <v>30</v>
      </c>
      <c r="CR229" s="408">
        <v>30.061954054918715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3.9230597770701934</v>
      </c>
      <c r="DA229" s="408">
        <v>0</v>
      </c>
      <c r="DB229" s="408">
        <v>0</v>
      </c>
      <c r="DC229" s="408">
        <v>4.3704994823201559E-7</v>
      </c>
      <c r="DD229" s="408">
        <v>0</v>
      </c>
      <c r="DE229" s="408">
        <v>0</v>
      </c>
      <c r="DF229" s="408">
        <v>0</v>
      </c>
      <c r="DG229" s="408">
        <v>6.029091537129716E-8</v>
      </c>
      <c r="DH229" s="408">
        <v>0</v>
      </c>
      <c r="DI229" s="408">
        <v>22.229580415635041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2.9687887683460019</v>
      </c>
      <c r="DP229" s="408">
        <v>0.9405245965278155</v>
      </c>
      <c r="DQ229" s="408">
        <v>0</v>
      </c>
      <c r="DR229" s="408">
        <v>0</v>
      </c>
      <c r="DS229" s="408"/>
      <c r="DT229" s="408"/>
      <c r="DU229" s="408"/>
      <c r="DV229" s="408">
        <v>-6266.368837861618</v>
      </c>
      <c r="DW229" s="408">
        <v>0</v>
      </c>
      <c r="DX229" s="408">
        <v>0</v>
      </c>
      <c r="DY229" s="408">
        <v>3872.2643999999991</v>
      </c>
      <c r="DZ229" s="408">
        <v>0</v>
      </c>
      <c r="EA229" s="408">
        <v>0</v>
      </c>
      <c r="EB229" s="408">
        <v>0</v>
      </c>
      <c r="EC229" s="408">
        <v>3842.1934844272041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265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236</v>
      </c>
      <c r="B230" s="408" t="s">
        <v>2230</v>
      </c>
      <c r="C230" s="408" t="s">
        <v>2227</v>
      </c>
      <c r="D230" s="408" t="s">
        <v>2237</v>
      </c>
      <c r="E230" s="408" t="s">
        <v>969</v>
      </c>
      <c r="F230" s="408" t="s">
        <v>2245</v>
      </c>
      <c r="G230" s="408" t="s">
        <v>2247</v>
      </c>
      <c r="H230" s="408" t="s">
        <v>1317</v>
      </c>
      <c r="I230" s="408" t="s">
        <v>1317</v>
      </c>
      <c r="J230" s="408" t="s">
        <v>2228</v>
      </c>
      <c r="K230" s="828">
        <v>44501</v>
      </c>
      <c r="L230" s="408">
        <v>0</v>
      </c>
      <c r="M230" s="408">
        <v>0</v>
      </c>
      <c r="N230" s="408">
        <v>8.2799999999999994</v>
      </c>
      <c r="O230" s="408">
        <v>8.2799999999999994</v>
      </c>
      <c r="P230" s="408">
        <v>8.2799999999999994</v>
      </c>
      <c r="Q230" s="408">
        <v>8.2799999999999994</v>
      </c>
      <c r="R230" s="408"/>
      <c r="S230" s="408">
        <v>739.04</v>
      </c>
      <c r="T230" s="408">
        <v>252.22</v>
      </c>
      <c r="U230" s="408"/>
      <c r="V230" s="408">
        <v>8207.6327999999994</v>
      </c>
      <c r="W230" s="408">
        <v>8207.6327999999994</v>
      </c>
      <c r="X230" s="408">
        <v>5613.5915999999997</v>
      </c>
      <c r="Y230" s="408">
        <v>0</v>
      </c>
      <c r="Z230" s="408">
        <v>512.14413684180249</v>
      </c>
      <c r="AA230" s="408">
        <v>0</v>
      </c>
      <c r="AB230" s="408">
        <v>0</v>
      </c>
      <c r="AC230" s="408">
        <v>0</v>
      </c>
      <c r="AD230" s="408">
        <v>1022.5599698208257</v>
      </c>
      <c r="AE230" s="408">
        <v>4197.8587360432202</v>
      </c>
      <c r="AF230" s="408">
        <v>2088.4045147092206</v>
      </c>
      <c r="AG230" s="408">
        <v>0</v>
      </c>
      <c r="AH230" s="408">
        <v>0</v>
      </c>
      <c r="AI230" s="408">
        <v>0</v>
      </c>
      <c r="AJ230" s="408">
        <v>0</v>
      </c>
      <c r="AK230" s="408">
        <v>0</v>
      </c>
      <c r="AL230" s="408">
        <v>79.165321643513948</v>
      </c>
      <c r="AM230" s="408"/>
      <c r="AN230" s="408">
        <v>19.402511904436395</v>
      </c>
      <c r="AO230" s="408">
        <v>0</v>
      </c>
      <c r="AP230" s="408">
        <v>0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288.09637312178472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>
        <v>673.57799999999963</v>
      </c>
      <c r="BS230" s="408"/>
      <c r="BT230" s="408"/>
      <c r="BU230" s="408"/>
      <c r="BV230" s="408">
        <v>2376.5008878310055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4940.0136000000002</v>
      </c>
      <c r="CJ230" s="408">
        <v>-2282.7432000000008</v>
      </c>
      <c r="CK230" s="408"/>
      <c r="CL230" s="408"/>
      <c r="CM230" s="408"/>
      <c r="CN230" s="408"/>
      <c r="CO230" s="408">
        <v>-2594.0411999999997</v>
      </c>
      <c r="CP230" s="408">
        <v>0</v>
      </c>
      <c r="CQ230" s="408">
        <v>30</v>
      </c>
      <c r="CR230" s="408">
        <v>-20.138590580480468</v>
      </c>
      <c r="CS230" s="408">
        <v>0</v>
      </c>
      <c r="CT230" s="408">
        <v>0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-2.6280691710469455</v>
      </c>
      <c r="DA230" s="408">
        <v>0</v>
      </c>
      <c r="DB230" s="408">
        <v>0</v>
      </c>
      <c r="DC230" s="408">
        <v>-2.9278135116328485E-7</v>
      </c>
      <c r="DD230" s="408">
        <v>0</v>
      </c>
      <c r="DE230" s="408">
        <v>0</v>
      </c>
      <c r="DF230" s="408">
        <v>0</v>
      </c>
      <c r="DG230" s="408">
        <v>-4.038906809000764E-8</v>
      </c>
      <c r="DH230" s="408">
        <v>0</v>
      </c>
      <c r="DI230" s="408">
        <v>-14.891660666784674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-1.9888002428725571</v>
      </c>
      <c r="DP230" s="408">
        <v>-0.63006016660601105</v>
      </c>
      <c r="DQ230" s="408">
        <v>0</v>
      </c>
      <c r="DR230" s="408">
        <v>0</v>
      </c>
      <c r="DS230" s="408"/>
      <c r="DT230" s="408"/>
      <c r="DU230" s="408"/>
      <c r="DV230" s="408">
        <v>4197.8587360432202</v>
      </c>
      <c r="DW230" s="408">
        <v>0</v>
      </c>
      <c r="DX230" s="408">
        <v>0</v>
      </c>
      <c r="DY230" s="408">
        <v>-2594.0411999999992</v>
      </c>
      <c r="DZ230" s="408">
        <v>0</v>
      </c>
      <c r="EA230" s="408">
        <v>0</v>
      </c>
      <c r="EB230" s="408">
        <v>0</v>
      </c>
      <c r="EC230" s="408">
        <v>-2573.8966060725934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265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237</v>
      </c>
      <c r="B231" s="408" t="s">
        <v>1031</v>
      </c>
      <c r="C231" s="408" t="s">
        <v>2235</v>
      </c>
      <c r="D231" s="408" t="s">
        <v>596</v>
      </c>
      <c r="E231" s="408" t="s">
        <v>969</v>
      </c>
      <c r="F231" s="408" t="s">
        <v>2245</v>
      </c>
      <c r="G231" s="408" t="s">
        <v>1317</v>
      </c>
      <c r="H231" s="408" t="s">
        <v>1317</v>
      </c>
      <c r="I231" s="408" t="s">
        <v>968</v>
      </c>
      <c r="J231" s="408" t="s">
        <v>2228</v>
      </c>
      <c r="K231" s="828">
        <v>44501</v>
      </c>
      <c r="L231" s="408">
        <v>0</v>
      </c>
      <c r="M231" s="408">
        <v>0</v>
      </c>
      <c r="N231" s="408">
        <v>34.173000000000002</v>
      </c>
      <c r="O231" s="408">
        <v>32.806080000000001</v>
      </c>
      <c r="P231" s="408">
        <v>34.173000000000002</v>
      </c>
      <c r="Q231" s="408">
        <v>32.806080000000001</v>
      </c>
      <c r="R231" s="408"/>
      <c r="S231" s="408">
        <v>2641.06</v>
      </c>
      <c r="T231" s="408">
        <v>252.22</v>
      </c>
      <c r="U231" s="408"/>
      <c r="V231" s="408">
        <v>98872.057440000004</v>
      </c>
      <c r="W231" s="408">
        <v>98872.057440000004</v>
      </c>
      <c r="X231" s="408">
        <v>58686.659820000001</v>
      </c>
      <c r="Y231" s="408">
        <v>0</v>
      </c>
      <c r="Z231" s="408">
        <v>1838.9258915237413</v>
      </c>
      <c r="AA231" s="408">
        <v>0</v>
      </c>
      <c r="AB231" s="408">
        <v>0</v>
      </c>
      <c r="AC231" s="408">
        <v>0</v>
      </c>
      <c r="AD231" s="408">
        <v>22136.141367697346</v>
      </c>
      <c r="AE231" s="408">
        <v>65341.863212749304</v>
      </c>
      <c r="AF231" s="408">
        <v>8619.2086329901213</v>
      </c>
      <c r="AG231" s="408">
        <v>0</v>
      </c>
      <c r="AH231" s="408">
        <v>0</v>
      </c>
      <c r="AI231" s="408">
        <v>0</v>
      </c>
      <c r="AJ231" s="408">
        <v>0</v>
      </c>
      <c r="AK231" s="408">
        <v>0</v>
      </c>
      <c r="AL231" s="408">
        <v>326.72905030480706</v>
      </c>
      <c r="AM231" s="408"/>
      <c r="AN231" s="408">
        <v>82.21703044153584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527.04475480299641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>
        <v>2347.4663928000004</v>
      </c>
      <c r="BS231" s="408"/>
      <c r="BT231" s="408"/>
      <c r="BU231" s="408"/>
      <c r="BV231" s="408">
        <v>9146.2533877931182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56345.9254</v>
      </c>
      <c r="CJ231" s="408">
        <v>-38571.27974239998</v>
      </c>
      <c r="CK231" s="408"/>
      <c r="CL231" s="408"/>
      <c r="CM231" s="408"/>
      <c r="CN231" s="408"/>
      <c r="CO231" s="408">
        <v>-40185.397620000003</v>
      </c>
      <c r="CP231" s="408">
        <v>0</v>
      </c>
      <c r="CQ231" s="408">
        <v>30</v>
      </c>
      <c r="CR231" s="408">
        <v>-121.24041409874917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-56.891832666442497</v>
      </c>
      <c r="DA231" s="408">
        <v>0</v>
      </c>
      <c r="DB231" s="408">
        <v>0</v>
      </c>
      <c r="DC231" s="408">
        <v>-1.2083582987543195E-6</v>
      </c>
      <c r="DD231" s="408">
        <v>0</v>
      </c>
      <c r="DE231" s="408">
        <v>0</v>
      </c>
      <c r="DF231" s="408">
        <v>0</v>
      </c>
      <c r="DG231" s="408">
        <v>-7.3888827500923071E-8</v>
      </c>
      <c r="DH231" s="408">
        <v>0</v>
      </c>
      <c r="DI231" s="408">
        <v>-53.470611880488832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-8.2081244806381619</v>
      </c>
      <c r="DP231" s="408">
        <v>-2.6698437889377544</v>
      </c>
      <c r="DQ231" s="408">
        <v>0</v>
      </c>
      <c r="DR231" s="408">
        <v>0</v>
      </c>
      <c r="DS231" s="408"/>
      <c r="DT231" s="408"/>
      <c r="DU231" s="408"/>
      <c r="DV231" s="408">
        <v>65341.863212749304</v>
      </c>
      <c r="DW231" s="408">
        <v>0</v>
      </c>
      <c r="DX231" s="408">
        <v>0</v>
      </c>
      <c r="DY231" s="408">
        <v>-40185.397619999996</v>
      </c>
      <c r="DZ231" s="408">
        <v>0</v>
      </c>
      <c r="EA231" s="408">
        <v>0</v>
      </c>
      <c r="EB231" s="408">
        <v>0</v>
      </c>
      <c r="EC231" s="408">
        <v>-40064.044679187951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265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238</v>
      </c>
      <c r="B232" s="408" t="s">
        <v>1031</v>
      </c>
      <c r="C232" s="408" t="s">
        <v>2235</v>
      </c>
      <c r="D232" s="408" t="s">
        <v>596</v>
      </c>
      <c r="E232" s="408" t="s">
        <v>969</v>
      </c>
      <c r="F232" s="408" t="s">
        <v>2245</v>
      </c>
      <c r="G232" s="408" t="s">
        <v>1317</v>
      </c>
      <c r="H232" s="408" t="s">
        <v>1317</v>
      </c>
      <c r="I232" s="408" t="s">
        <v>2236</v>
      </c>
      <c r="J232" s="408" t="s">
        <v>2228</v>
      </c>
      <c r="K232" s="828">
        <v>44501</v>
      </c>
      <c r="L232" s="408">
        <v>0</v>
      </c>
      <c r="M232" s="408">
        <v>0</v>
      </c>
      <c r="N232" s="408">
        <v>410.56700000000001</v>
      </c>
      <c r="O232" s="408">
        <v>394.14431999999999</v>
      </c>
      <c r="P232" s="408">
        <v>410.56700000000001</v>
      </c>
      <c r="Q232" s="408">
        <v>394.14431999999999</v>
      </c>
      <c r="R232" s="408"/>
      <c r="S232" s="408">
        <v>81.2</v>
      </c>
      <c r="T232" s="408">
        <v>252.22</v>
      </c>
      <c r="U232" s="408"/>
      <c r="V232" s="408">
        <v>136891.24914</v>
      </c>
      <c r="W232" s="408">
        <v>136891.24914</v>
      </c>
      <c r="X232" s="408">
        <v>136119.38318</v>
      </c>
      <c r="Y232" s="408">
        <v>0</v>
      </c>
      <c r="Z232" s="408">
        <v>22093.532511199715</v>
      </c>
      <c r="AA232" s="408">
        <v>0</v>
      </c>
      <c r="AB232" s="408">
        <v>0</v>
      </c>
      <c r="AC232" s="408">
        <v>0</v>
      </c>
      <c r="AD232" s="408">
        <v>0</v>
      </c>
      <c r="AE232" s="408">
        <v>0</v>
      </c>
      <c r="AF232" s="408">
        <v>103554.34497471263</v>
      </c>
      <c r="AG232" s="408">
        <v>0</v>
      </c>
      <c r="AH232" s="408">
        <v>0</v>
      </c>
      <c r="AI232" s="408">
        <v>0</v>
      </c>
      <c r="AJ232" s="408">
        <v>0</v>
      </c>
      <c r="AK232" s="408">
        <v>0</v>
      </c>
      <c r="AL232" s="408">
        <v>3925.4430689870287</v>
      </c>
      <c r="AM232" s="408"/>
      <c r="AN232" s="408">
        <v>987.78566521201071</v>
      </c>
      <c r="AO232" s="408">
        <v>0</v>
      </c>
      <c r="AP232" s="408">
        <v>0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0</v>
      </c>
      <c r="BE232" s="408">
        <v>0</v>
      </c>
      <c r="BF232" s="408">
        <v>0</v>
      </c>
      <c r="BG232" s="408">
        <v>6332.1096727007243</v>
      </c>
      <c r="BH232" s="408">
        <v>0</v>
      </c>
      <c r="BI232" s="408">
        <v>0</v>
      </c>
      <c r="BJ232" s="408">
        <v>0</v>
      </c>
      <c r="BK232" s="408">
        <v>0</v>
      </c>
      <c r="BL232" s="408">
        <v>0</v>
      </c>
      <c r="BM232" s="408"/>
      <c r="BN232" s="408"/>
      <c r="BO232" s="408"/>
      <c r="BP232" s="408"/>
      <c r="BQ232" s="408"/>
      <c r="BR232" s="408">
        <v>5444.7753272000045</v>
      </c>
      <c r="BS232" s="408"/>
      <c r="BT232" s="408"/>
      <c r="BU232" s="408"/>
      <c r="BV232" s="408">
        <v>109886.45464741335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130673.17559999999</v>
      </c>
      <c r="CJ232" s="408">
        <v>-742.45357440001681</v>
      </c>
      <c r="CK232" s="408"/>
      <c r="CL232" s="408"/>
      <c r="CM232" s="408"/>
      <c r="CN232" s="408"/>
      <c r="CO232" s="408">
        <v>-771.86596000000395</v>
      </c>
      <c r="CP232" s="408">
        <v>0</v>
      </c>
      <c r="CQ232" s="408">
        <v>30</v>
      </c>
      <c r="CR232" s="408">
        <v>-773.10754200455267</v>
      </c>
      <c r="CS232" s="408">
        <v>0</v>
      </c>
      <c r="CT232" s="408">
        <v>0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0</v>
      </c>
      <c r="DA232" s="408">
        <v>0</v>
      </c>
      <c r="DB232" s="408">
        <v>0</v>
      </c>
      <c r="DC232" s="408">
        <v>-1.4517660019919276E-5</v>
      </c>
      <c r="DD232" s="408">
        <v>0</v>
      </c>
      <c r="DE232" s="408">
        <v>0</v>
      </c>
      <c r="DF232" s="408">
        <v>0</v>
      </c>
      <c r="DG232" s="408">
        <v>-8.8772776507539675E-7</v>
      </c>
      <c r="DH232" s="408">
        <v>0</v>
      </c>
      <c r="DI232" s="408">
        <v>-642.41561197251212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-98.615428661287751</v>
      </c>
      <c r="DP232" s="408">
        <v>-32.076485965317715</v>
      </c>
      <c r="DQ232" s="408">
        <v>0</v>
      </c>
      <c r="DR232" s="408">
        <v>0</v>
      </c>
      <c r="DS232" s="408"/>
      <c r="DT232" s="408"/>
      <c r="DU232" s="408"/>
      <c r="DV232" s="408">
        <v>0</v>
      </c>
      <c r="DW232" s="408">
        <v>0</v>
      </c>
      <c r="DX232" s="408">
        <v>0</v>
      </c>
      <c r="DY232" s="408">
        <v>-771.86596000000645</v>
      </c>
      <c r="DZ232" s="408">
        <v>0</v>
      </c>
      <c r="EA232" s="408">
        <v>0</v>
      </c>
      <c r="EB232" s="408">
        <v>0</v>
      </c>
      <c r="EC232" s="408">
        <v>0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0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265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239</v>
      </c>
      <c r="B233" s="408" t="s">
        <v>2230</v>
      </c>
      <c r="C233" s="408" t="s">
        <v>2235</v>
      </c>
      <c r="D233" s="408" t="s">
        <v>596</v>
      </c>
      <c r="E233" s="408" t="s">
        <v>969</v>
      </c>
      <c r="F233" s="408" t="s">
        <v>2245</v>
      </c>
      <c r="G233" s="408" t="s">
        <v>1317</v>
      </c>
      <c r="H233" s="408" t="s">
        <v>1317</v>
      </c>
      <c r="I233" s="408" t="s">
        <v>2236</v>
      </c>
      <c r="J233" s="408" t="s">
        <v>2228</v>
      </c>
      <c r="K233" s="828">
        <v>44501</v>
      </c>
      <c r="L233" s="408">
        <v>0</v>
      </c>
      <c r="M233" s="408">
        <v>0</v>
      </c>
      <c r="N233" s="408">
        <v>23.623000000000001</v>
      </c>
      <c r="O233" s="408">
        <v>22.678080000000001</v>
      </c>
      <c r="P233" s="408">
        <v>23.623000000000001</v>
      </c>
      <c r="Q233" s="408">
        <v>22.678080000000001</v>
      </c>
      <c r="R233" s="408"/>
      <c r="S233" s="408">
        <v>81.2</v>
      </c>
      <c r="T233" s="408">
        <v>252.22</v>
      </c>
      <c r="U233" s="408"/>
      <c r="V233" s="408">
        <v>7876.3806600000007</v>
      </c>
      <c r="W233" s="408">
        <v>7876.3806600000007</v>
      </c>
      <c r="X233" s="408">
        <v>7831.9694200000004</v>
      </c>
      <c r="Y233" s="408">
        <v>0</v>
      </c>
      <c r="Z233" s="408">
        <v>1271.2066934558084</v>
      </c>
      <c r="AA233" s="408">
        <v>0</v>
      </c>
      <c r="AB233" s="408">
        <v>0</v>
      </c>
      <c r="AC233" s="408">
        <v>0</v>
      </c>
      <c r="AD233" s="408">
        <v>0</v>
      </c>
      <c r="AE233" s="408">
        <v>0</v>
      </c>
      <c r="AF233" s="408">
        <v>5958.2584361082027</v>
      </c>
      <c r="AG233" s="408">
        <v>0</v>
      </c>
      <c r="AH233" s="408">
        <v>0</v>
      </c>
      <c r="AI233" s="408">
        <v>0</v>
      </c>
      <c r="AJ233" s="408">
        <v>0</v>
      </c>
      <c r="AK233" s="408">
        <v>0</v>
      </c>
      <c r="AL233" s="408">
        <v>225.86019241361478</v>
      </c>
      <c r="AM233" s="408"/>
      <c r="AN233" s="408">
        <v>56.834720689444914</v>
      </c>
      <c r="AO233" s="408">
        <v>0</v>
      </c>
      <c r="AP233" s="408">
        <v>0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364.33377937878402</v>
      </c>
      <c r="BH233" s="408">
        <v>0</v>
      </c>
      <c r="BI233" s="408">
        <v>0</v>
      </c>
      <c r="BJ233" s="408">
        <v>0</v>
      </c>
      <c r="BK233" s="408">
        <v>0</v>
      </c>
      <c r="BL233" s="408">
        <v>0</v>
      </c>
      <c r="BM233" s="408"/>
      <c r="BN233" s="408"/>
      <c r="BO233" s="408"/>
      <c r="BP233" s="408"/>
      <c r="BQ233" s="408"/>
      <c r="BR233" s="408">
        <v>313.27877679999995</v>
      </c>
      <c r="BS233" s="408"/>
      <c r="BT233" s="408"/>
      <c r="BU233" s="408"/>
      <c r="BV233" s="408">
        <v>6322.5922154869868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7519.3271999999997</v>
      </c>
      <c r="CJ233" s="408">
        <v>-42.028233600000931</v>
      </c>
      <c r="CK233" s="408"/>
      <c r="CL233" s="408"/>
      <c r="CM233" s="408"/>
      <c r="CN233" s="408"/>
      <c r="CO233" s="408">
        <v>-44.411240000000234</v>
      </c>
      <c r="CP233" s="408">
        <v>0</v>
      </c>
      <c r="CQ233" s="408">
        <v>30</v>
      </c>
      <c r="CR233" s="408">
        <v>-44.482677528325439</v>
      </c>
      <c r="CS233" s="408">
        <v>0</v>
      </c>
      <c r="CT233" s="408">
        <v>0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0</v>
      </c>
      <c r="DA233" s="408">
        <v>0</v>
      </c>
      <c r="DB233" s="408">
        <v>0</v>
      </c>
      <c r="DC233" s="408">
        <v>-8.3530903793871403E-7</v>
      </c>
      <c r="DD233" s="408">
        <v>0</v>
      </c>
      <c r="DE233" s="408">
        <v>0</v>
      </c>
      <c r="DF233" s="408">
        <v>0</v>
      </c>
      <c r="DG233" s="408">
        <v>-5.1077677198918536E-8</v>
      </c>
      <c r="DH233" s="408">
        <v>0</v>
      </c>
      <c r="DI233" s="408">
        <v>-36.962990210188991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-5.6740855238380163</v>
      </c>
      <c r="DP233" s="408">
        <v>-1.8456009079119866</v>
      </c>
      <c r="DQ233" s="408">
        <v>0</v>
      </c>
      <c r="DR233" s="408">
        <v>0</v>
      </c>
      <c r="DS233" s="408"/>
      <c r="DT233" s="408"/>
      <c r="DU233" s="408"/>
      <c r="DV233" s="408">
        <v>0</v>
      </c>
      <c r="DW233" s="408">
        <v>0</v>
      </c>
      <c r="DX233" s="408">
        <v>0</v>
      </c>
      <c r="DY233" s="408">
        <v>-44.411240000000362</v>
      </c>
      <c r="DZ233" s="408">
        <v>0</v>
      </c>
      <c r="EA233" s="408">
        <v>0</v>
      </c>
      <c r="EB233" s="408">
        <v>0</v>
      </c>
      <c r="EC233" s="408">
        <v>0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265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240</v>
      </c>
      <c r="B234" s="408" t="s">
        <v>1031</v>
      </c>
      <c r="C234" s="408" t="s">
        <v>2235</v>
      </c>
      <c r="D234" s="408" t="s">
        <v>596</v>
      </c>
      <c r="E234" s="408" t="s">
        <v>969</v>
      </c>
      <c r="F234" s="408" t="s">
        <v>2245</v>
      </c>
      <c r="G234" s="408" t="s">
        <v>1317</v>
      </c>
      <c r="H234" s="408" t="s">
        <v>1317</v>
      </c>
      <c r="I234" s="408" t="s">
        <v>1317</v>
      </c>
      <c r="J234" s="408" t="s">
        <v>2228</v>
      </c>
      <c r="K234" s="828">
        <v>44501</v>
      </c>
      <c r="L234" s="408">
        <v>3630</v>
      </c>
      <c r="M234" s="408">
        <v>3484.8</v>
      </c>
      <c r="N234" s="408">
        <v>0</v>
      </c>
      <c r="O234" s="408">
        <v>0</v>
      </c>
      <c r="P234" s="408">
        <v>0</v>
      </c>
      <c r="Q234" s="408">
        <v>0</v>
      </c>
      <c r="R234" s="408">
        <v>74.44</v>
      </c>
      <c r="S234" s="408"/>
      <c r="T234" s="408"/>
      <c r="U234" s="408">
        <v>270217.2</v>
      </c>
      <c r="V234" s="408"/>
      <c r="W234" s="408">
        <v>270217.2</v>
      </c>
      <c r="X234" s="408">
        <v>164874.6</v>
      </c>
      <c r="Y234" s="408">
        <v>0</v>
      </c>
      <c r="Z234" s="408">
        <v>0</v>
      </c>
      <c r="AA234" s="408">
        <v>0</v>
      </c>
      <c r="AB234" s="408">
        <v>0</v>
      </c>
      <c r="AC234" s="408">
        <v>0</v>
      </c>
      <c r="AD234" s="408">
        <v>98798.045885540036</v>
      </c>
      <c r="AE234" s="408">
        <v>171414.18270106686</v>
      </c>
      <c r="AF234" s="408"/>
      <c r="AG234" s="408"/>
      <c r="AH234" s="408"/>
      <c r="AI234" s="408">
        <v>0</v>
      </c>
      <c r="AJ234" s="408">
        <v>0</v>
      </c>
      <c r="AK234" s="408">
        <v>0</v>
      </c>
      <c r="AL234" s="408">
        <v>0</v>
      </c>
      <c r="AM234" s="408"/>
      <c r="AN234" s="408">
        <v>0</v>
      </c>
      <c r="AO234" s="408">
        <v>0</v>
      </c>
      <c r="AP234" s="408">
        <v>0</v>
      </c>
      <c r="AQ234" s="408">
        <v>0</v>
      </c>
      <c r="AR234" s="408">
        <v>0</v>
      </c>
      <c r="AS234" s="408"/>
      <c r="AT234" s="408"/>
      <c r="AU234" s="408">
        <v>0</v>
      </c>
      <c r="AV234" s="408">
        <v>0</v>
      </c>
      <c r="AW234" s="408">
        <v>0</v>
      </c>
      <c r="AX234" s="408"/>
      <c r="AY234" s="408"/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/>
      <c r="BG234" s="408">
        <v>0</v>
      </c>
      <c r="BH234" s="408">
        <v>0</v>
      </c>
      <c r="BI234" s="408">
        <v>0</v>
      </c>
      <c r="BJ234" s="408">
        <v>0</v>
      </c>
      <c r="BK234" s="408">
        <v>154.61000000000001</v>
      </c>
      <c r="BL234" s="408">
        <v>24</v>
      </c>
      <c r="BM234" s="408"/>
      <c r="BN234" s="408"/>
      <c r="BO234" s="408"/>
      <c r="BP234" s="408"/>
      <c r="BQ234" s="408"/>
      <c r="BR234" s="408">
        <v>6594.9839999999922</v>
      </c>
      <c r="BS234" s="408"/>
      <c r="BT234" s="408"/>
      <c r="BU234" s="408"/>
      <c r="BV234" s="408">
        <v>0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158279.61600000001</v>
      </c>
      <c r="CJ234" s="408">
        <v>-101128.92600000004</v>
      </c>
      <c r="CK234" s="408"/>
      <c r="CL234" s="408"/>
      <c r="CM234" s="408"/>
      <c r="CN234" s="408"/>
      <c r="CO234" s="408">
        <v>-105342.59999999999</v>
      </c>
      <c r="CP234" s="408">
        <v>0</v>
      </c>
      <c r="CQ234" s="408">
        <v>30</v>
      </c>
      <c r="CR234" s="408">
        <v>-253.91967827295593</v>
      </c>
      <c r="CS234" s="408">
        <v>0</v>
      </c>
      <c r="CT234" s="408">
        <v>0</v>
      </c>
      <c r="CU234" s="408">
        <v>0</v>
      </c>
      <c r="CV234" s="408">
        <v>0</v>
      </c>
      <c r="CW234" s="408"/>
      <c r="CX234" s="408"/>
      <c r="CY234" s="408"/>
      <c r="CZ234" s="408">
        <v>-253.91967827295593</v>
      </c>
      <c r="DA234" s="408">
        <v>0</v>
      </c>
      <c r="DB234" s="408">
        <v>0</v>
      </c>
      <c r="DC234" s="408"/>
      <c r="DD234" s="408"/>
      <c r="DE234" s="408">
        <v>0</v>
      </c>
      <c r="DF234" s="408">
        <v>0</v>
      </c>
      <c r="DG234" s="408">
        <v>0</v>
      </c>
      <c r="DH234" s="408">
        <v>0</v>
      </c>
      <c r="DI234" s="408">
        <v>0</v>
      </c>
      <c r="DJ234" s="408"/>
      <c r="DK234" s="408">
        <v>0</v>
      </c>
      <c r="DL234" s="408">
        <v>0</v>
      </c>
      <c r="DM234" s="408"/>
      <c r="DN234" s="408">
        <v>0</v>
      </c>
      <c r="DO234" s="408">
        <v>0</v>
      </c>
      <c r="DP234" s="408">
        <v>0</v>
      </c>
      <c r="DQ234" s="408">
        <v>0</v>
      </c>
      <c r="DR234" s="408">
        <v>0</v>
      </c>
      <c r="DS234" s="408"/>
      <c r="DT234" s="408"/>
      <c r="DU234" s="408">
        <v>171414.18270106686</v>
      </c>
      <c r="DV234" s="408"/>
      <c r="DW234" s="408">
        <v>0</v>
      </c>
      <c r="DX234" s="408">
        <v>0</v>
      </c>
      <c r="DY234" s="408">
        <v>-105342.6</v>
      </c>
      <c r="DZ234" s="408"/>
      <c r="EA234" s="408">
        <v>0</v>
      </c>
      <c r="EB234" s="408"/>
      <c r="EC234" s="408">
        <v>-105101.76993303224</v>
      </c>
      <c r="ED234" s="408"/>
      <c r="EE234" s="408">
        <v>0</v>
      </c>
      <c r="EF234" s="408">
        <v>0</v>
      </c>
      <c r="EG234" s="408"/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/>
      <c r="EN234" s="408"/>
      <c r="EO234" s="408">
        <v>0</v>
      </c>
      <c r="EP234" s="408">
        <v>0</v>
      </c>
      <c r="EQ234" s="408"/>
      <c r="ER234" s="408">
        <v>0</v>
      </c>
      <c r="ES234" s="408"/>
      <c r="ET234" s="408">
        <v>0</v>
      </c>
      <c r="EU234" s="408"/>
      <c r="EV234" s="408">
        <v>265</v>
      </c>
      <c r="EW234" s="408"/>
      <c r="EX234" s="408"/>
      <c r="EY234" s="408"/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241</v>
      </c>
      <c r="B235" s="408" t="s">
        <v>2230</v>
      </c>
      <c r="C235" s="408" t="s">
        <v>2235</v>
      </c>
      <c r="D235" s="408" t="s">
        <v>596</v>
      </c>
      <c r="E235" s="408" t="s">
        <v>969</v>
      </c>
      <c r="F235" s="408" t="s">
        <v>2245</v>
      </c>
      <c r="G235" s="408" t="s">
        <v>1317</v>
      </c>
      <c r="H235" s="408" t="s">
        <v>1317</v>
      </c>
      <c r="I235" s="408" t="s">
        <v>1317</v>
      </c>
      <c r="J235" s="408" t="s">
        <v>2228</v>
      </c>
      <c r="K235" s="828">
        <v>44501</v>
      </c>
      <c r="L235" s="408">
        <v>257</v>
      </c>
      <c r="M235" s="408">
        <v>246.72</v>
      </c>
      <c r="N235" s="408">
        <v>0</v>
      </c>
      <c r="O235" s="408">
        <v>0</v>
      </c>
      <c r="P235" s="408">
        <v>0</v>
      </c>
      <c r="Q235" s="408">
        <v>0</v>
      </c>
      <c r="R235" s="408">
        <v>74.44</v>
      </c>
      <c r="S235" s="408"/>
      <c r="T235" s="408"/>
      <c r="U235" s="408">
        <v>19131.079999999998</v>
      </c>
      <c r="V235" s="408"/>
      <c r="W235" s="408">
        <v>19131.079999999998</v>
      </c>
      <c r="X235" s="408">
        <v>11672.94</v>
      </c>
      <c r="Y235" s="408">
        <v>0</v>
      </c>
      <c r="Z235" s="408">
        <v>0</v>
      </c>
      <c r="AA235" s="408">
        <v>0</v>
      </c>
      <c r="AB235" s="408">
        <v>0</v>
      </c>
      <c r="AC235" s="408">
        <v>0</v>
      </c>
      <c r="AD235" s="408">
        <v>6994.7927803261127</v>
      </c>
      <c r="AE235" s="408">
        <v>12135.935249083797</v>
      </c>
      <c r="AF235" s="408"/>
      <c r="AG235" s="408"/>
      <c r="AH235" s="408"/>
      <c r="AI235" s="408">
        <v>0</v>
      </c>
      <c r="AJ235" s="408">
        <v>0</v>
      </c>
      <c r="AK235" s="408">
        <v>0</v>
      </c>
      <c r="AL235" s="408">
        <v>0</v>
      </c>
      <c r="AM235" s="408"/>
      <c r="AN235" s="408">
        <v>0</v>
      </c>
      <c r="AO235" s="408">
        <v>0</v>
      </c>
      <c r="AP235" s="408">
        <v>0</v>
      </c>
      <c r="AQ235" s="408">
        <v>0</v>
      </c>
      <c r="AR235" s="408">
        <v>0</v>
      </c>
      <c r="AS235" s="408"/>
      <c r="AT235" s="408"/>
      <c r="AU235" s="408">
        <v>0</v>
      </c>
      <c r="AV235" s="408">
        <v>0</v>
      </c>
      <c r="AW235" s="408">
        <v>0</v>
      </c>
      <c r="AX235" s="408"/>
      <c r="AY235" s="408"/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/>
      <c r="BG235" s="408">
        <v>0</v>
      </c>
      <c r="BH235" s="408">
        <v>0</v>
      </c>
      <c r="BI235" s="408">
        <v>0</v>
      </c>
      <c r="BJ235" s="408">
        <v>0</v>
      </c>
      <c r="BK235" s="408">
        <v>123.27</v>
      </c>
      <c r="BL235" s="408">
        <v>1</v>
      </c>
      <c r="BM235" s="408"/>
      <c r="BN235" s="408"/>
      <c r="BO235" s="408"/>
      <c r="BP235" s="408"/>
      <c r="BQ235" s="408"/>
      <c r="BR235" s="408">
        <v>466.91760000000005</v>
      </c>
      <c r="BS235" s="408"/>
      <c r="BT235" s="408"/>
      <c r="BU235" s="408"/>
      <c r="BV235" s="408">
        <v>0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11206.0224</v>
      </c>
      <c r="CJ235" s="408">
        <v>-7159.8443999999963</v>
      </c>
      <c r="CK235" s="408"/>
      <c r="CL235" s="408"/>
      <c r="CM235" s="408"/>
      <c r="CN235" s="408"/>
      <c r="CO235" s="408">
        <v>-7458.1399999999994</v>
      </c>
      <c r="CP235" s="408">
        <v>0</v>
      </c>
      <c r="CQ235" s="408">
        <v>30</v>
      </c>
      <c r="CR235" s="408">
        <v>-17.977233420427183</v>
      </c>
      <c r="CS235" s="408">
        <v>0</v>
      </c>
      <c r="CT235" s="408">
        <v>0</v>
      </c>
      <c r="CU235" s="408">
        <v>0</v>
      </c>
      <c r="CV235" s="408">
        <v>0</v>
      </c>
      <c r="CW235" s="408"/>
      <c r="CX235" s="408"/>
      <c r="CY235" s="408"/>
      <c r="CZ235" s="408">
        <v>-17.977233420427183</v>
      </c>
      <c r="DA235" s="408">
        <v>0</v>
      </c>
      <c r="DB235" s="408">
        <v>0</v>
      </c>
      <c r="DC235" s="408"/>
      <c r="DD235" s="408"/>
      <c r="DE235" s="408">
        <v>0</v>
      </c>
      <c r="DF235" s="408">
        <v>0</v>
      </c>
      <c r="DG235" s="408">
        <v>0</v>
      </c>
      <c r="DH235" s="408">
        <v>0</v>
      </c>
      <c r="DI235" s="408">
        <v>0</v>
      </c>
      <c r="DJ235" s="408"/>
      <c r="DK235" s="408">
        <v>0</v>
      </c>
      <c r="DL235" s="408">
        <v>0</v>
      </c>
      <c r="DM235" s="408"/>
      <c r="DN235" s="408">
        <v>0</v>
      </c>
      <c r="DO235" s="408">
        <v>0</v>
      </c>
      <c r="DP235" s="408">
        <v>0</v>
      </c>
      <c r="DQ235" s="408">
        <v>0</v>
      </c>
      <c r="DR235" s="408">
        <v>0</v>
      </c>
      <c r="DS235" s="408"/>
      <c r="DT235" s="408"/>
      <c r="DU235" s="408">
        <v>12135.935249083797</v>
      </c>
      <c r="DV235" s="408"/>
      <c r="DW235" s="408">
        <v>0</v>
      </c>
      <c r="DX235" s="408">
        <v>0</v>
      </c>
      <c r="DY235" s="408">
        <v>-7458.1399999999976</v>
      </c>
      <c r="DZ235" s="408"/>
      <c r="EA235" s="408">
        <v>0</v>
      </c>
      <c r="EB235" s="408"/>
      <c r="EC235" s="408">
        <v>-7441.0894966361666</v>
      </c>
      <c r="ED235" s="408"/>
      <c r="EE235" s="408">
        <v>0</v>
      </c>
      <c r="EF235" s="408">
        <v>0</v>
      </c>
      <c r="EG235" s="408"/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/>
      <c r="EN235" s="408"/>
      <c r="EO235" s="408">
        <v>0</v>
      </c>
      <c r="EP235" s="408">
        <v>0</v>
      </c>
      <c r="EQ235" s="408"/>
      <c r="ER235" s="408">
        <v>0</v>
      </c>
      <c r="ES235" s="408"/>
      <c r="ET235" s="408">
        <v>0</v>
      </c>
      <c r="EU235" s="408"/>
      <c r="EV235" s="408">
        <v>265</v>
      </c>
      <c r="EW235" s="408"/>
      <c r="EX235" s="408"/>
      <c r="EY235" s="408"/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242</v>
      </c>
      <c r="B236" s="408" t="s">
        <v>1031</v>
      </c>
      <c r="C236" s="408" t="s">
        <v>2235</v>
      </c>
      <c r="D236" s="408" t="s">
        <v>596</v>
      </c>
      <c r="E236" s="408" t="s">
        <v>969</v>
      </c>
      <c r="F236" s="408" t="s">
        <v>2245</v>
      </c>
      <c r="G236" s="408" t="s">
        <v>2247</v>
      </c>
      <c r="H236" s="408" t="s">
        <v>1317</v>
      </c>
      <c r="I236" s="408" t="s">
        <v>2236</v>
      </c>
      <c r="J236" s="408" t="s">
        <v>2228</v>
      </c>
      <c r="K236" s="828">
        <v>44501</v>
      </c>
      <c r="L236" s="408">
        <v>0</v>
      </c>
      <c r="M236" s="408">
        <v>0</v>
      </c>
      <c r="N236" s="408">
        <v>313.84899999999999</v>
      </c>
      <c r="O236" s="408">
        <v>94.154700000000005</v>
      </c>
      <c r="P236" s="408">
        <v>313.84899999999999</v>
      </c>
      <c r="Q236" s="408">
        <v>94.154700000000005</v>
      </c>
      <c r="R236" s="408"/>
      <c r="S236" s="408">
        <v>81.2</v>
      </c>
      <c r="T236" s="408">
        <v>252.22</v>
      </c>
      <c r="U236" s="408"/>
      <c r="V236" s="408">
        <v>104643.53357999999</v>
      </c>
      <c r="W236" s="408">
        <v>104643.53357999999</v>
      </c>
      <c r="X236" s="408">
        <v>104053.49745999998</v>
      </c>
      <c r="Y236" s="408">
        <v>0</v>
      </c>
      <c r="Z236" s="408">
        <v>16888.91967719646</v>
      </c>
      <c r="AA236" s="408">
        <v>0</v>
      </c>
      <c r="AB236" s="408">
        <v>0</v>
      </c>
      <c r="AC236" s="408">
        <v>0</v>
      </c>
      <c r="AD236" s="408">
        <v>0</v>
      </c>
      <c r="AE236" s="408">
        <v>0</v>
      </c>
      <c r="AF236" s="408">
        <v>79159.863349876105</v>
      </c>
      <c r="AG236" s="408">
        <v>0</v>
      </c>
      <c r="AH236" s="408">
        <v>0</v>
      </c>
      <c r="AI236" s="408">
        <v>0</v>
      </c>
      <c r="AJ236" s="408">
        <v>0</v>
      </c>
      <c r="AK236" s="408">
        <v>0</v>
      </c>
      <c r="AL236" s="408">
        <v>3000.7194483689868</v>
      </c>
      <c r="AM236" s="408"/>
      <c r="AN236" s="408">
        <v>755.09123539184679</v>
      </c>
      <c r="AO236" s="408">
        <v>0</v>
      </c>
      <c r="AP236" s="408">
        <v>0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>
        <v>0</v>
      </c>
      <c r="BG236" s="408">
        <v>4840.4433105131429</v>
      </c>
      <c r="BH236" s="408">
        <v>0</v>
      </c>
      <c r="BI236" s="408">
        <v>0</v>
      </c>
      <c r="BJ236" s="408">
        <v>0</v>
      </c>
      <c r="BK236" s="408">
        <v>0</v>
      </c>
      <c r="BL236" s="408">
        <v>0</v>
      </c>
      <c r="BM236" s="408"/>
      <c r="BN236" s="408"/>
      <c r="BO236" s="408"/>
      <c r="BP236" s="408"/>
      <c r="BQ236" s="408"/>
      <c r="BR236" s="408"/>
      <c r="BS236" s="408">
        <v>72837.448222000006</v>
      </c>
      <c r="BT236" s="408"/>
      <c r="BU236" s="408"/>
      <c r="BV236" s="408">
        <v>84000.306660389251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31214.491000000002</v>
      </c>
      <c r="CJ236" s="408">
        <v>-178.59907400000156</v>
      </c>
      <c r="CK236" s="408"/>
      <c r="CL236" s="408"/>
      <c r="CM236" s="408"/>
      <c r="CN236" s="408"/>
      <c r="CO236" s="408">
        <v>-590.03612000000305</v>
      </c>
      <c r="CP236" s="408">
        <v>0</v>
      </c>
      <c r="CQ236" s="408">
        <v>30</v>
      </c>
      <c r="CR236" s="408">
        <v>-590.98522031867469</v>
      </c>
      <c r="CS236" s="408">
        <v>0</v>
      </c>
      <c r="CT236" s="408">
        <v>0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0</v>
      </c>
      <c r="DA236" s="408">
        <v>0</v>
      </c>
      <c r="DB236" s="408">
        <v>0</v>
      </c>
      <c r="DC236" s="408">
        <v>-1.1097712558694184E-5</v>
      </c>
      <c r="DD236" s="408">
        <v>0</v>
      </c>
      <c r="DE236" s="408">
        <v>0</v>
      </c>
      <c r="DF236" s="408">
        <v>0</v>
      </c>
      <c r="DG236" s="408">
        <v>-6.7860401031794026E-7</v>
      </c>
      <c r="DH236" s="408">
        <v>0</v>
      </c>
      <c r="DI236" s="408">
        <v>-491.0806211944946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-75.384416355713711</v>
      </c>
      <c r="DP236" s="408">
        <v>-24.520170992137764</v>
      </c>
      <c r="DQ236" s="408">
        <v>0</v>
      </c>
      <c r="DR236" s="408">
        <v>0</v>
      </c>
      <c r="DS236" s="408"/>
      <c r="DT236" s="408"/>
      <c r="DU236" s="408"/>
      <c r="DV236" s="408">
        <v>0</v>
      </c>
      <c r="DW236" s="408">
        <v>0</v>
      </c>
      <c r="DX236" s="408">
        <v>0</v>
      </c>
      <c r="DY236" s="408">
        <v>-590.03612000000066</v>
      </c>
      <c r="DZ236" s="408">
        <v>0</v>
      </c>
      <c r="EA236" s="408">
        <v>0</v>
      </c>
      <c r="EB236" s="408">
        <v>0</v>
      </c>
      <c r="EC236" s="408">
        <v>0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265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243</v>
      </c>
      <c r="B237" s="408" t="s">
        <v>1031</v>
      </c>
      <c r="C237" s="408" t="s">
        <v>2227</v>
      </c>
      <c r="D237" s="408" t="s">
        <v>1949</v>
      </c>
      <c r="E237" s="408" t="s">
        <v>964</v>
      </c>
      <c r="F237" s="408" t="s">
        <v>964</v>
      </c>
      <c r="G237" s="408" t="s">
        <v>1317</v>
      </c>
      <c r="H237" s="408" t="s">
        <v>1317</v>
      </c>
      <c r="I237" s="408" t="s">
        <v>1317</v>
      </c>
      <c r="J237" s="408" t="s">
        <v>2228</v>
      </c>
      <c r="K237" s="828">
        <v>44531</v>
      </c>
      <c r="L237" s="408">
        <v>0</v>
      </c>
      <c r="M237" s="408">
        <v>0</v>
      </c>
      <c r="N237" s="408">
        <v>1113.55</v>
      </c>
      <c r="O237" s="408">
        <v>1113.55</v>
      </c>
      <c r="P237" s="408">
        <v>1113.55</v>
      </c>
      <c r="Q237" s="408">
        <v>1113.55</v>
      </c>
      <c r="R237" s="408"/>
      <c r="S237" s="408">
        <v>739.04</v>
      </c>
      <c r="T237" s="408">
        <v>252.22</v>
      </c>
      <c r="U237" s="408"/>
      <c r="V237" s="408">
        <v>1103817.5729999999</v>
      </c>
      <c r="W237" s="408">
        <v>1103817.5729999999</v>
      </c>
      <c r="X237" s="408">
        <v>754953.49349999998</v>
      </c>
      <c r="Y237" s="408">
        <v>0</v>
      </c>
      <c r="Z237" s="408">
        <v>68876.582557993854</v>
      </c>
      <c r="AA237" s="408">
        <v>0</v>
      </c>
      <c r="AB237" s="408">
        <v>0</v>
      </c>
      <c r="AC237" s="408">
        <v>0</v>
      </c>
      <c r="AD237" s="408">
        <v>137520.73120700248</v>
      </c>
      <c r="AE237" s="408">
        <v>564556.23134310718</v>
      </c>
      <c r="AF237" s="408">
        <v>280862.66272396769</v>
      </c>
      <c r="AG237" s="408">
        <v>0</v>
      </c>
      <c r="AH237" s="408">
        <v>0</v>
      </c>
      <c r="AI237" s="408">
        <v>0</v>
      </c>
      <c r="AJ237" s="408">
        <v>0</v>
      </c>
      <c r="AK237" s="408">
        <v>0</v>
      </c>
      <c r="AL237" s="408">
        <v>10646.684047842387</v>
      </c>
      <c r="AM237" s="408"/>
      <c r="AN237" s="408">
        <v>2609.380088307385</v>
      </c>
      <c r="AO237" s="408">
        <v>0</v>
      </c>
      <c r="AP237" s="408">
        <v>0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38745.134817604274</v>
      </c>
      <c r="BH237" s="408">
        <v>0</v>
      </c>
      <c r="BI237" s="408">
        <v>0</v>
      </c>
      <c r="BJ237" s="408">
        <v>0</v>
      </c>
      <c r="BK237" s="408">
        <v>375949.78</v>
      </c>
      <c r="BL237" s="408">
        <v>8224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319607.79754157196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754953.49349999998</v>
      </c>
      <c r="CJ237" s="408">
        <v>-348864.1094999999</v>
      </c>
      <c r="CK237" s="408"/>
      <c r="CL237" s="408"/>
      <c r="CM237" s="408"/>
      <c r="CN237" s="408"/>
      <c r="CO237" s="408">
        <v>-348864.07949999993</v>
      </c>
      <c r="CP237" s="408">
        <v>0</v>
      </c>
      <c r="CQ237" s="408"/>
      <c r="CR237" s="408">
        <v>-2708.372891412233</v>
      </c>
      <c r="CS237" s="408">
        <v>0</v>
      </c>
      <c r="CT237" s="408">
        <v>0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-353.44038954339339</v>
      </c>
      <c r="DA237" s="408">
        <v>0</v>
      </c>
      <c r="DB237" s="408">
        <v>0</v>
      </c>
      <c r="DC237" s="408">
        <v>-3.9375154301524162E-5</v>
      </c>
      <c r="DD237" s="408">
        <v>0</v>
      </c>
      <c r="DE237" s="408">
        <v>0</v>
      </c>
      <c r="DF237" s="408">
        <v>0</v>
      </c>
      <c r="DG237" s="408">
        <v>-5.4317933972924948E-6</v>
      </c>
      <c r="DH237" s="408">
        <v>0</v>
      </c>
      <c r="DI237" s="408">
        <v>-2002.7305236108659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-267.46721140709451</v>
      </c>
      <c r="DP237" s="408">
        <v>-84.73472204397649</v>
      </c>
      <c r="DQ237" s="408">
        <v>0</v>
      </c>
      <c r="DR237" s="408">
        <v>0</v>
      </c>
      <c r="DS237" s="408"/>
      <c r="DT237" s="408"/>
      <c r="DU237" s="408"/>
      <c r="DV237" s="408">
        <v>564556.23134310718</v>
      </c>
      <c r="DW237" s="408">
        <v>0</v>
      </c>
      <c r="DX237" s="408">
        <v>0</v>
      </c>
      <c r="DY237" s="408">
        <v>-348864.07949999999</v>
      </c>
      <c r="DZ237" s="408">
        <v>0</v>
      </c>
      <c r="EA237" s="408">
        <v>0</v>
      </c>
      <c r="EB237" s="408">
        <v>0</v>
      </c>
      <c r="EC237" s="408">
        <v>-346154.89923818072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265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244</v>
      </c>
      <c r="B238" s="408" t="s">
        <v>2229</v>
      </c>
      <c r="C238" s="408" t="s">
        <v>2227</v>
      </c>
      <c r="D238" s="408" t="s">
        <v>1949</v>
      </c>
      <c r="E238" s="408" t="s">
        <v>964</v>
      </c>
      <c r="F238" s="408" t="s">
        <v>964</v>
      </c>
      <c r="G238" s="408" t="s">
        <v>1317</v>
      </c>
      <c r="H238" s="408" t="s">
        <v>1317</v>
      </c>
      <c r="I238" s="408" t="s">
        <v>1317</v>
      </c>
      <c r="J238" s="408" t="s">
        <v>2228</v>
      </c>
      <c r="K238" s="828">
        <v>44531</v>
      </c>
      <c r="L238" s="408">
        <v>0</v>
      </c>
      <c r="M238" s="408">
        <v>0</v>
      </c>
      <c r="N238" s="408">
        <v>-4.1000000000000002E-2</v>
      </c>
      <c r="O238" s="408">
        <v>-4.1000000000000002E-2</v>
      </c>
      <c r="P238" s="408">
        <v>-4.1000000000000002E-2</v>
      </c>
      <c r="Q238" s="408">
        <v>-4.1000000000000002E-2</v>
      </c>
      <c r="R238" s="408"/>
      <c r="S238" s="408">
        <v>739.04</v>
      </c>
      <c r="T238" s="408">
        <v>252.22</v>
      </c>
      <c r="U238" s="408"/>
      <c r="V238" s="408">
        <v>-40.641660000000002</v>
      </c>
      <c r="W238" s="408">
        <v>-40.641660000000002</v>
      </c>
      <c r="X238" s="408">
        <v>-27.796770000000002</v>
      </c>
      <c r="Y238" s="408">
        <v>0</v>
      </c>
      <c r="Z238" s="408">
        <v>-2.5359794215596501</v>
      </c>
      <c r="AA238" s="408">
        <v>0</v>
      </c>
      <c r="AB238" s="408">
        <v>0</v>
      </c>
      <c r="AC238" s="408">
        <v>0</v>
      </c>
      <c r="AD238" s="408">
        <v>-5.0634008167456352</v>
      </c>
      <c r="AE238" s="408">
        <v>-20.786498572194692</v>
      </c>
      <c r="AF238" s="408">
        <v>-10.34113346655532</v>
      </c>
      <c r="AG238" s="408">
        <v>0</v>
      </c>
      <c r="AH238" s="408">
        <v>0</v>
      </c>
      <c r="AI238" s="408">
        <v>0</v>
      </c>
      <c r="AJ238" s="408">
        <v>0</v>
      </c>
      <c r="AK238" s="408">
        <v>0</v>
      </c>
      <c r="AL238" s="408">
        <v>-0.39200219654397012</v>
      </c>
      <c r="AM238" s="408"/>
      <c r="AN238" s="408">
        <v>-9.6075240106508739E-2</v>
      </c>
      <c r="AO238" s="408">
        <v>0</v>
      </c>
      <c r="AP238" s="408">
        <v>0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-1.4265641664242963</v>
      </c>
      <c r="BH238" s="408">
        <v>0</v>
      </c>
      <c r="BI238" s="408">
        <v>0</v>
      </c>
      <c r="BJ238" s="408">
        <v>0</v>
      </c>
      <c r="BK238" s="408">
        <v>-21.59</v>
      </c>
      <c r="BL238" s="408">
        <v>0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-11.767697632979615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-27.1188</v>
      </c>
      <c r="CJ238" s="408">
        <v>13.49286</v>
      </c>
      <c r="CK238" s="408"/>
      <c r="CL238" s="408"/>
      <c r="CM238" s="408"/>
      <c r="CN238" s="408"/>
      <c r="CO238" s="408">
        <v>12.844889999999999</v>
      </c>
      <c r="CP238" s="408">
        <v>0</v>
      </c>
      <c r="CQ238" s="408"/>
      <c r="CR238" s="408">
        <v>9.9720074130399183E-2</v>
      </c>
      <c r="CS238" s="408">
        <v>0</v>
      </c>
      <c r="CT238" s="408">
        <v>0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1.3013385991899717E-2</v>
      </c>
      <c r="DA238" s="408">
        <v>0</v>
      </c>
      <c r="DB238" s="408">
        <v>0</v>
      </c>
      <c r="DC238" s="408">
        <v>1.4497611999786386E-9</v>
      </c>
      <c r="DD238" s="408">
        <v>0</v>
      </c>
      <c r="DE238" s="408">
        <v>0</v>
      </c>
      <c r="DF238" s="408">
        <v>0</v>
      </c>
      <c r="DG238" s="408">
        <v>1.9999402134374122E-10</v>
      </c>
      <c r="DH238" s="408">
        <v>0</v>
      </c>
      <c r="DI238" s="408">
        <v>7.3738899436976979E-2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9.8479239079438674E-3</v>
      </c>
      <c r="DP238" s="408">
        <v>3.119863143822052E-3</v>
      </c>
      <c r="DQ238" s="408">
        <v>0</v>
      </c>
      <c r="DR238" s="408">
        <v>0</v>
      </c>
      <c r="DS238" s="408"/>
      <c r="DT238" s="408"/>
      <c r="DU238" s="408"/>
      <c r="DV238" s="408">
        <v>-20.786498572194692</v>
      </c>
      <c r="DW238" s="408">
        <v>0</v>
      </c>
      <c r="DX238" s="408">
        <v>0</v>
      </c>
      <c r="DY238" s="408">
        <v>12.844889999999999</v>
      </c>
      <c r="DZ238" s="408">
        <v>0</v>
      </c>
      <c r="EA238" s="408">
        <v>0</v>
      </c>
      <c r="EB238" s="408">
        <v>0</v>
      </c>
      <c r="EC238" s="408">
        <v>12.745140199151733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265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245</v>
      </c>
      <c r="B239" s="408" t="s">
        <v>2230</v>
      </c>
      <c r="C239" s="408" t="s">
        <v>2227</v>
      </c>
      <c r="D239" s="408" t="s">
        <v>1949</v>
      </c>
      <c r="E239" s="408" t="s">
        <v>964</v>
      </c>
      <c r="F239" s="408" t="s">
        <v>964</v>
      </c>
      <c r="G239" s="408" t="s">
        <v>1317</v>
      </c>
      <c r="H239" s="408" t="s">
        <v>1317</v>
      </c>
      <c r="I239" s="408" t="s">
        <v>1317</v>
      </c>
      <c r="J239" s="408" t="s">
        <v>2228</v>
      </c>
      <c r="K239" s="828">
        <v>44531</v>
      </c>
      <c r="L239" s="408">
        <v>0</v>
      </c>
      <c r="M239" s="408">
        <v>0</v>
      </c>
      <c r="N239" s="408">
        <v>28.027000000000001</v>
      </c>
      <c r="O239" s="408">
        <v>28.027000000000001</v>
      </c>
      <c r="P239" s="408">
        <v>28.027000000000001</v>
      </c>
      <c r="Q239" s="408">
        <v>28.027000000000001</v>
      </c>
      <c r="R239" s="408"/>
      <c r="S239" s="408">
        <v>739.04</v>
      </c>
      <c r="T239" s="408">
        <v>252.22</v>
      </c>
      <c r="U239" s="408"/>
      <c r="V239" s="408">
        <v>27782.044019999998</v>
      </c>
      <c r="W239" s="408">
        <v>27782.044019999998</v>
      </c>
      <c r="X239" s="408">
        <v>19001.465189999999</v>
      </c>
      <c r="Y239" s="408">
        <v>0</v>
      </c>
      <c r="Z239" s="408">
        <v>1733.5584206842029</v>
      </c>
      <c r="AA239" s="408">
        <v>0</v>
      </c>
      <c r="AB239" s="408">
        <v>0</v>
      </c>
      <c r="AC239" s="408">
        <v>0</v>
      </c>
      <c r="AD239" s="408">
        <v>3461.2666997787783</v>
      </c>
      <c r="AE239" s="408">
        <v>14209.346231290257</v>
      </c>
      <c r="AF239" s="408">
        <v>7069.0475040767305</v>
      </c>
      <c r="AG239" s="408">
        <v>0</v>
      </c>
      <c r="AH239" s="408">
        <v>0</v>
      </c>
      <c r="AI239" s="408">
        <v>0</v>
      </c>
      <c r="AJ239" s="408">
        <v>0</v>
      </c>
      <c r="AK239" s="408">
        <v>0</v>
      </c>
      <c r="AL239" s="408">
        <v>267.96696493994756</v>
      </c>
      <c r="AM239" s="408"/>
      <c r="AN239" s="408">
        <v>65.675628157685864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975.17838761887208</v>
      </c>
      <c r="BH239" s="408">
        <v>0</v>
      </c>
      <c r="BI239" s="408">
        <v>0</v>
      </c>
      <c r="BJ239" s="408">
        <v>0</v>
      </c>
      <c r="BK239" s="408">
        <v>32115.41</v>
      </c>
      <c r="BL239" s="408">
        <v>505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8044.2258916956025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19003.499100000001</v>
      </c>
      <c r="CJ239" s="408">
        <v>-8778.5749199999918</v>
      </c>
      <c r="CK239" s="408"/>
      <c r="CL239" s="408"/>
      <c r="CM239" s="408"/>
      <c r="CN239" s="408"/>
      <c r="CO239" s="408">
        <v>-8780.5788299999986</v>
      </c>
      <c r="CP239" s="408">
        <v>0</v>
      </c>
      <c r="CQ239" s="408"/>
      <c r="CR239" s="408">
        <v>-68.167183357381873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-8.8957602242671783</v>
      </c>
      <c r="DA239" s="408">
        <v>0</v>
      </c>
      <c r="DB239" s="408">
        <v>0</v>
      </c>
      <c r="DC239" s="408">
        <v>-9.9103544926038012E-7</v>
      </c>
      <c r="DD239" s="408">
        <v>0</v>
      </c>
      <c r="DE239" s="408">
        <v>0</v>
      </c>
      <c r="DF239" s="408">
        <v>0</v>
      </c>
      <c r="DG239" s="408">
        <v>-1.3671308352058986E-7</v>
      </c>
      <c r="DH239" s="408">
        <v>0</v>
      </c>
      <c r="DI239" s="408">
        <v>-50.406832549272394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-6.7318966675107959</v>
      </c>
      <c r="DP239" s="408">
        <v>-2.1326927885829434</v>
      </c>
      <c r="DQ239" s="408">
        <v>0</v>
      </c>
      <c r="DR239" s="408">
        <v>0</v>
      </c>
      <c r="DS239" s="408"/>
      <c r="DT239" s="408"/>
      <c r="DU239" s="408"/>
      <c r="DV239" s="408">
        <v>14209.346231290257</v>
      </c>
      <c r="DW239" s="408">
        <v>0</v>
      </c>
      <c r="DX239" s="408">
        <v>0</v>
      </c>
      <c r="DY239" s="408">
        <v>-8780.5788299999986</v>
      </c>
      <c r="DZ239" s="408">
        <v>0</v>
      </c>
      <c r="EA239" s="408">
        <v>0</v>
      </c>
      <c r="EB239" s="408">
        <v>0</v>
      </c>
      <c r="EC239" s="408">
        <v>-8712.3913258933062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265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246</v>
      </c>
      <c r="B240" s="408" t="s">
        <v>1031</v>
      </c>
      <c r="C240" s="408" t="s">
        <v>2227</v>
      </c>
      <c r="D240" s="408" t="s">
        <v>1949</v>
      </c>
      <c r="E240" s="408" t="s">
        <v>964</v>
      </c>
      <c r="F240" s="408" t="s">
        <v>2231</v>
      </c>
      <c r="G240" s="408" t="s">
        <v>1317</v>
      </c>
      <c r="H240" s="408" t="s">
        <v>1317</v>
      </c>
      <c r="I240" s="408" t="s">
        <v>1317</v>
      </c>
      <c r="J240" s="408" t="s">
        <v>2228</v>
      </c>
      <c r="K240" s="828">
        <v>44531</v>
      </c>
      <c r="L240" s="408">
        <v>0</v>
      </c>
      <c r="M240" s="408">
        <v>0</v>
      </c>
      <c r="N240" s="408">
        <v>9.06</v>
      </c>
      <c r="O240" s="408">
        <v>9.06</v>
      </c>
      <c r="P240" s="408">
        <v>9.06</v>
      </c>
      <c r="Q240" s="408">
        <v>9.06</v>
      </c>
      <c r="R240" s="408"/>
      <c r="S240" s="408">
        <v>667.62</v>
      </c>
      <c r="T240" s="408">
        <v>252.22</v>
      </c>
      <c r="U240" s="408"/>
      <c r="V240" s="408">
        <v>8333.7504000000008</v>
      </c>
      <c r="W240" s="408">
        <v>8333.7504000000008</v>
      </c>
      <c r="X240" s="408">
        <v>5513.8254000000006</v>
      </c>
      <c r="Y240" s="408">
        <v>0</v>
      </c>
      <c r="Z240" s="408">
        <v>0</v>
      </c>
      <c r="AA240" s="408">
        <v>0</v>
      </c>
      <c r="AB240" s="408">
        <v>0</v>
      </c>
      <c r="AC240" s="408">
        <v>0</v>
      </c>
      <c r="AD240" s="408">
        <v>1118.888082919889</v>
      </c>
      <c r="AE240" s="408">
        <v>4593.3091966849734</v>
      </c>
      <c r="AF240" s="408">
        <v>2285.1382733412488</v>
      </c>
      <c r="AG240" s="408">
        <v>0</v>
      </c>
      <c r="AH240" s="408">
        <v>0</v>
      </c>
      <c r="AI240" s="408">
        <v>0</v>
      </c>
      <c r="AJ240" s="408">
        <v>0</v>
      </c>
      <c r="AK240" s="408">
        <v>0</v>
      </c>
      <c r="AL240" s="408">
        <v>0</v>
      </c>
      <c r="AM240" s="408"/>
      <c r="AN240" s="408">
        <v>21.230284764999247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315.23588653180792</v>
      </c>
      <c r="BH240" s="408">
        <v>0</v>
      </c>
      <c r="BI240" s="408">
        <v>0</v>
      </c>
      <c r="BJ240" s="408">
        <v>0</v>
      </c>
      <c r="BK240" s="408">
        <v>752.3</v>
      </c>
      <c r="BL240" s="408">
        <v>13</v>
      </c>
      <c r="BM240" s="408"/>
      <c r="BN240" s="408"/>
      <c r="BO240" s="408"/>
      <c r="BP240" s="408"/>
      <c r="BQ240" s="408"/>
      <c r="BR240" s="408"/>
      <c r="BS240" s="408"/>
      <c r="BT240" s="408">
        <v>3583.9547999999995</v>
      </c>
      <c r="BU240" s="408"/>
      <c r="BV240" s="408">
        <v>2600.3741598730567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1929.8706000000002</v>
      </c>
      <c r="CJ240" s="408">
        <v>-987.02640000000065</v>
      </c>
      <c r="CK240" s="408"/>
      <c r="CL240" s="408"/>
      <c r="CM240" s="408"/>
      <c r="CN240" s="408"/>
      <c r="CO240" s="408">
        <v>-2819.9250000000002</v>
      </c>
      <c r="CP240" s="408">
        <v>0</v>
      </c>
      <c r="CQ240" s="408"/>
      <c r="CR240" s="408">
        <v>-3.5650549296683494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-2.8756409045513465</v>
      </c>
      <c r="DA240" s="408">
        <v>0</v>
      </c>
      <c r="DB240" s="408">
        <v>0</v>
      </c>
      <c r="DC240" s="408">
        <v>-3.203617779945489E-7</v>
      </c>
      <c r="DD240" s="408">
        <v>0</v>
      </c>
      <c r="DE240" s="408">
        <v>0</v>
      </c>
      <c r="DF240" s="408">
        <v>0</v>
      </c>
      <c r="DG240" s="408">
        <v>-4.4193768644618103E-8</v>
      </c>
      <c r="DH240" s="408">
        <v>0</v>
      </c>
      <c r="DI240" s="408">
        <v>0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0</v>
      </c>
      <c r="DP240" s="408">
        <v>-0.68941366056165165</v>
      </c>
      <c r="DQ240" s="408">
        <v>0</v>
      </c>
      <c r="DR240" s="408">
        <v>0</v>
      </c>
      <c r="DS240" s="408"/>
      <c r="DT240" s="408"/>
      <c r="DU240" s="408"/>
      <c r="DV240" s="408">
        <v>4593.3091966849734</v>
      </c>
      <c r="DW240" s="408">
        <v>0</v>
      </c>
      <c r="DX240" s="408">
        <v>0</v>
      </c>
      <c r="DY240" s="408">
        <v>-2819.9249999999997</v>
      </c>
      <c r="DZ240" s="408">
        <v>0</v>
      </c>
      <c r="EA240" s="408">
        <v>0</v>
      </c>
      <c r="EB240" s="408">
        <v>0</v>
      </c>
      <c r="EC240" s="408">
        <v>-2816.3651269345046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265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247</v>
      </c>
      <c r="B241" s="408" t="s">
        <v>2230</v>
      </c>
      <c r="C241" s="408" t="s">
        <v>2227</v>
      </c>
      <c r="D241" s="408" t="s">
        <v>1949</v>
      </c>
      <c r="E241" s="408" t="s">
        <v>964</v>
      </c>
      <c r="F241" s="408" t="s">
        <v>2231</v>
      </c>
      <c r="G241" s="408" t="s">
        <v>1317</v>
      </c>
      <c r="H241" s="408" t="s">
        <v>1317</v>
      </c>
      <c r="I241" s="408" t="s">
        <v>1317</v>
      </c>
      <c r="J241" s="408" t="s">
        <v>2228</v>
      </c>
      <c r="K241" s="828">
        <v>44531</v>
      </c>
      <c r="L241" s="408">
        <v>0</v>
      </c>
      <c r="M241" s="408">
        <v>0</v>
      </c>
      <c r="N241" s="408">
        <v>0.06</v>
      </c>
      <c r="O241" s="408">
        <v>-5.7000000000000002E-2</v>
      </c>
      <c r="P241" s="408">
        <v>0.06</v>
      </c>
      <c r="Q241" s="408">
        <v>-5.7000000000000002E-2</v>
      </c>
      <c r="R241" s="408"/>
      <c r="S241" s="408">
        <v>667.62</v>
      </c>
      <c r="T241" s="408">
        <v>252.22</v>
      </c>
      <c r="U241" s="408"/>
      <c r="V241" s="408">
        <v>55.190399999999997</v>
      </c>
      <c r="W241" s="408">
        <v>55.190399999999997</v>
      </c>
      <c r="X241" s="408">
        <v>36.5154</v>
      </c>
      <c r="Y241" s="408">
        <v>0</v>
      </c>
      <c r="Z241" s="408">
        <v>0</v>
      </c>
      <c r="AA241" s="408">
        <v>0</v>
      </c>
      <c r="AB241" s="408">
        <v>0</v>
      </c>
      <c r="AC241" s="408">
        <v>0</v>
      </c>
      <c r="AD241" s="408">
        <v>7.4098548537740996</v>
      </c>
      <c r="AE241" s="408">
        <v>30.419266203211738</v>
      </c>
      <c r="AF241" s="408">
        <v>15.133366048617539</v>
      </c>
      <c r="AG241" s="408">
        <v>0</v>
      </c>
      <c r="AH241" s="408">
        <v>0</v>
      </c>
      <c r="AI241" s="408">
        <v>0</v>
      </c>
      <c r="AJ241" s="408">
        <v>0</v>
      </c>
      <c r="AK241" s="408">
        <v>0</v>
      </c>
      <c r="AL241" s="408">
        <v>0</v>
      </c>
      <c r="AM241" s="408"/>
      <c r="AN241" s="408">
        <v>0.14059791235098837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2.0876548776940922</v>
      </c>
      <c r="BH241" s="408">
        <v>0</v>
      </c>
      <c r="BI241" s="408">
        <v>0</v>
      </c>
      <c r="BJ241" s="408">
        <v>0</v>
      </c>
      <c r="BK241" s="408">
        <v>7.06</v>
      </c>
      <c r="BL241" s="408">
        <v>0</v>
      </c>
      <c r="BM241" s="408"/>
      <c r="BN241" s="408"/>
      <c r="BO241" s="408"/>
      <c r="BP241" s="408"/>
      <c r="BQ241" s="408"/>
      <c r="BR241" s="408"/>
      <c r="BS241" s="408"/>
      <c r="BT241" s="408">
        <v>48.656970000000001</v>
      </c>
      <c r="BU241" s="408"/>
      <c r="BV241" s="408">
        <v>17.221020926311631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-12.7806</v>
      </c>
      <c r="CJ241" s="408">
        <v>5.5405499999999996</v>
      </c>
      <c r="CK241" s="408"/>
      <c r="CL241" s="408"/>
      <c r="CM241" s="408"/>
      <c r="CN241" s="408"/>
      <c r="CO241" s="408">
        <v>-18.675000000000001</v>
      </c>
      <c r="CP241" s="408">
        <v>0</v>
      </c>
      <c r="CQ241" s="408"/>
      <c r="CR241" s="408">
        <v>-2.3609635295816389E-2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-1.9043979500340313E-2</v>
      </c>
      <c r="DA241" s="408">
        <v>0</v>
      </c>
      <c r="DB241" s="408">
        <v>0</v>
      </c>
      <c r="DC241" s="408">
        <v>-2.1216006729218861E-9</v>
      </c>
      <c r="DD241" s="408">
        <v>0</v>
      </c>
      <c r="DE241" s="408">
        <v>0</v>
      </c>
      <c r="DF241" s="408">
        <v>0</v>
      </c>
      <c r="DG241" s="408">
        <v>-2.9267432921642467E-10</v>
      </c>
      <c r="DH241" s="408">
        <v>0</v>
      </c>
      <c r="DI241" s="408">
        <v>0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0</v>
      </c>
      <c r="DP241" s="408">
        <v>-4.5656533812029887E-3</v>
      </c>
      <c r="DQ241" s="408">
        <v>0</v>
      </c>
      <c r="DR241" s="408">
        <v>0</v>
      </c>
      <c r="DS241" s="408"/>
      <c r="DT241" s="408"/>
      <c r="DU241" s="408"/>
      <c r="DV241" s="408">
        <v>30.419266203211738</v>
      </c>
      <c r="DW241" s="408">
        <v>0</v>
      </c>
      <c r="DX241" s="408">
        <v>0</v>
      </c>
      <c r="DY241" s="408">
        <v>-18.675000000000001</v>
      </c>
      <c r="DZ241" s="408">
        <v>0</v>
      </c>
      <c r="EA241" s="408">
        <v>0</v>
      </c>
      <c r="EB241" s="408">
        <v>0</v>
      </c>
      <c r="EC241" s="408">
        <v>-18.651424681685455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265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248</v>
      </c>
      <c r="B242" s="408" t="s">
        <v>1031</v>
      </c>
      <c r="C242" s="408" t="s">
        <v>2227</v>
      </c>
      <c r="D242" s="408" t="s">
        <v>1949</v>
      </c>
      <c r="E242" s="408" t="s">
        <v>964</v>
      </c>
      <c r="F242" s="408" t="s">
        <v>2232</v>
      </c>
      <c r="G242" s="408" t="s">
        <v>1317</v>
      </c>
      <c r="H242" s="408" t="s">
        <v>1317</v>
      </c>
      <c r="I242" s="408" t="s">
        <v>1317</v>
      </c>
      <c r="J242" s="408" t="s">
        <v>2228</v>
      </c>
      <c r="K242" s="828">
        <v>44531</v>
      </c>
      <c r="L242" s="408">
        <v>0</v>
      </c>
      <c r="M242" s="408">
        <v>0</v>
      </c>
      <c r="N242" s="408">
        <v>17.369</v>
      </c>
      <c r="O242" s="408">
        <v>17.369</v>
      </c>
      <c r="P242" s="408">
        <v>17.369</v>
      </c>
      <c r="Q242" s="408">
        <v>17.369</v>
      </c>
      <c r="R242" s="408"/>
      <c r="S242" s="408">
        <v>667.62</v>
      </c>
      <c r="T242" s="408">
        <v>252.22</v>
      </c>
      <c r="U242" s="408"/>
      <c r="V242" s="408">
        <v>15976.70096</v>
      </c>
      <c r="W242" s="408">
        <v>15976.70096</v>
      </c>
      <c r="X242" s="408">
        <v>10570.59971</v>
      </c>
      <c r="Y242" s="408">
        <v>0</v>
      </c>
      <c r="Z242" s="408">
        <v>0</v>
      </c>
      <c r="AA242" s="408">
        <v>0</v>
      </c>
      <c r="AB242" s="408">
        <v>0</v>
      </c>
      <c r="AC242" s="408">
        <v>0</v>
      </c>
      <c r="AD242" s="408">
        <v>2145.0294825867054</v>
      </c>
      <c r="AE242" s="408">
        <v>8805.8705780597447</v>
      </c>
      <c r="AF242" s="408">
        <v>4380.8572483073012</v>
      </c>
      <c r="AG242" s="408">
        <v>0</v>
      </c>
      <c r="AH242" s="408">
        <v>0</v>
      </c>
      <c r="AI242" s="408">
        <v>0</v>
      </c>
      <c r="AJ242" s="408">
        <v>0</v>
      </c>
      <c r="AK242" s="408">
        <v>0</v>
      </c>
      <c r="AL242" s="408">
        <v>0</v>
      </c>
      <c r="AM242" s="408"/>
      <c r="AN242" s="408">
        <v>40.700752327071953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604.34129284447806</v>
      </c>
      <c r="BH242" s="408">
        <v>0</v>
      </c>
      <c r="BI242" s="408">
        <v>0</v>
      </c>
      <c r="BJ242" s="408">
        <v>0</v>
      </c>
      <c r="BK242" s="408">
        <v>2702.04</v>
      </c>
      <c r="BL242" s="408">
        <v>100</v>
      </c>
      <c r="BM242" s="408"/>
      <c r="BN242" s="408"/>
      <c r="BO242" s="408"/>
      <c r="BP242" s="408"/>
      <c r="BQ242" s="408"/>
      <c r="BR242" s="408"/>
      <c r="BS242" s="408"/>
      <c r="BT242" s="408">
        <v>4228.3093600000002</v>
      </c>
      <c r="BU242" s="408"/>
      <c r="BV242" s="408">
        <v>4985.198541151779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6342.6555000000008</v>
      </c>
      <c r="CJ242" s="408">
        <v>-3243.3256000000001</v>
      </c>
      <c r="CK242" s="408"/>
      <c r="CL242" s="408"/>
      <c r="CM242" s="408"/>
      <c r="CN242" s="408"/>
      <c r="CO242" s="408">
        <v>-5406.1012499999997</v>
      </c>
      <c r="CP242" s="408">
        <v>0</v>
      </c>
      <c r="CQ242" s="408"/>
      <c r="CR242" s="408">
        <v>-6.8345959242169556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-5.5129146656900048</v>
      </c>
      <c r="DA242" s="408">
        <v>0</v>
      </c>
      <c r="DB242" s="408">
        <v>0</v>
      </c>
      <c r="DC242" s="408">
        <v>-6.1416812968673185E-7</v>
      </c>
      <c r="DD242" s="408">
        <v>0</v>
      </c>
      <c r="DE242" s="408">
        <v>0</v>
      </c>
      <c r="DF242" s="408">
        <v>0</v>
      </c>
      <c r="DG242" s="408">
        <v>-8.4724320004170295E-8</v>
      </c>
      <c r="DH242" s="408">
        <v>0</v>
      </c>
      <c r="DI242" s="408">
        <v>0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0</v>
      </c>
      <c r="DP242" s="408">
        <v>-1.3216805596352472</v>
      </c>
      <c r="DQ242" s="408">
        <v>0</v>
      </c>
      <c r="DR242" s="408">
        <v>0</v>
      </c>
      <c r="DS242" s="408"/>
      <c r="DT242" s="408"/>
      <c r="DU242" s="408"/>
      <c r="DV242" s="408">
        <v>8805.8705780597447</v>
      </c>
      <c r="DW242" s="408">
        <v>0</v>
      </c>
      <c r="DX242" s="408">
        <v>0</v>
      </c>
      <c r="DY242" s="408">
        <v>-5406.1012499999997</v>
      </c>
      <c r="DZ242" s="408">
        <v>0</v>
      </c>
      <c r="EA242" s="408">
        <v>0</v>
      </c>
      <c r="EB242" s="408">
        <v>0</v>
      </c>
      <c r="EC242" s="408">
        <v>-5399.2765882699114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265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249</v>
      </c>
      <c r="B243" s="408" t="s">
        <v>2230</v>
      </c>
      <c r="C243" s="408" t="s">
        <v>2227</v>
      </c>
      <c r="D243" s="408" t="s">
        <v>1949</v>
      </c>
      <c r="E243" s="408" t="s">
        <v>964</v>
      </c>
      <c r="F243" s="408" t="s">
        <v>2232</v>
      </c>
      <c r="G243" s="408" t="s">
        <v>1317</v>
      </c>
      <c r="H243" s="408" t="s">
        <v>1317</v>
      </c>
      <c r="I243" s="408" t="s">
        <v>1317</v>
      </c>
      <c r="J243" s="408" t="s">
        <v>2228</v>
      </c>
      <c r="K243" s="828">
        <v>44531</v>
      </c>
      <c r="L243" s="408">
        <v>0</v>
      </c>
      <c r="M243" s="408">
        <v>0</v>
      </c>
      <c r="N243" s="408">
        <v>0.14000000000000001</v>
      </c>
      <c r="O243" s="408">
        <v>-2.8000000000000001E-2</v>
      </c>
      <c r="P243" s="408">
        <v>0.14000000000000001</v>
      </c>
      <c r="Q243" s="408">
        <v>-2.8000000000000001E-2</v>
      </c>
      <c r="R243" s="408"/>
      <c r="S243" s="408">
        <v>667.62</v>
      </c>
      <c r="T243" s="408">
        <v>252.22</v>
      </c>
      <c r="U243" s="408"/>
      <c r="V243" s="408">
        <v>128.77760000000001</v>
      </c>
      <c r="W243" s="408">
        <v>128.77760000000001</v>
      </c>
      <c r="X243" s="408">
        <v>85.202600000000004</v>
      </c>
      <c r="Y243" s="408">
        <v>0</v>
      </c>
      <c r="Z243" s="408">
        <v>0</v>
      </c>
      <c r="AA243" s="408">
        <v>0</v>
      </c>
      <c r="AB243" s="408">
        <v>0</v>
      </c>
      <c r="AC243" s="408">
        <v>0</v>
      </c>
      <c r="AD243" s="408">
        <v>17.289661325472899</v>
      </c>
      <c r="AE243" s="408">
        <v>70.97828780749407</v>
      </c>
      <c r="AF243" s="408">
        <v>35.311187446774262</v>
      </c>
      <c r="AG243" s="408">
        <v>0</v>
      </c>
      <c r="AH243" s="408">
        <v>0</v>
      </c>
      <c r="AI243" s="408">
        <v>0</v>
      </c>
      <c r="AJ243" s="408">
        <v>0</v>
      </c>
      <c r="AK243" s="408">
        <v>0</v>
      </c>
      <c r="AL243" s="408">
        <v>0</v>
      </c>
      <c r="AM243" s="408"/>
      <c r="AN243" s="408">
        <v>0.32806179548563963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4.8711947146195493</v>
      </c>
      <c r="BH243" s="408">
        <v>0</v>
      </c>
      <c r="BI243" s="408">
        <v>0</v>
      </c>
      <c r="BJ243" s="408">
        <v>0</v>
      </c>
      <c r="BK243" s="408">
        <v>28.31</v>
      </c>
      <c r="BL243" s="408">
        <v>0</v>
      </c>
      <c r="BM243" s="408"/>
      <c r="BN243" s="408"/>
      <c r="BO243" s="408"/>
      <c r="BP243" s="408"/>
      <c r="BQ243" s="408"/>
      <c r="BR243" s="408"/>
      <c r="BS243" s="408"/>
      <c r="BT243" s="408">
        <v>95.426800000000014</v>
      </c>
      <c r="BU243" s="408"/>
      <c r="BV243" s="408">
        <v>40.182382161393811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-10.954499999999999</v>
      </c>
      <c r="CJ243" s="408">
        <v>4.4687000000000037</v>
      </c>
      <c r="CK243" s="408"/>
      <c r="CL243" s="408"/>
      <c r="CM243" s="408"/>
      <c r="CN243" s="408"/>
      <c r="CO243" s="408">
        <v>-43.575000000000003</v>
      </c>
      <c r="CP243" s="408">
        <v>0</v>
      </c>
      <c r="CQ243" s="408"/>
      <c r="CR243" s="408">
        <v>-5.5089149023565653E-2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-4.4435952167457771E-2</v>
      </c>
      <c r="DA243" s="408">
        <v>0</v>
      </c>
      <c r="DB243" s="408">
        <v>0</v>
      </c>
      <c r="DC243" s="408">
        <v>-4.9504009780321212E-9</v>
      </c>
      <c r="DD243" s="408">
        <v>0</v>
      </c>
      <c r="DE243" s="408">
        <v>0</v>
      </c>
      <c r="DF243" s="408">
        <v>0</v>
      </c>
      <c r="DG243" s="408">
        <v>-6.8290706423113079E-10</v>
      </c>
      <c r="DH243" s="408">
        <v>0</v>
      </c>
      <c r="DI243" s="408">
        <v>0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0</v>
      </c>
      <c r="DP243" s="408">
        <v>-1.0653191222807001E-2</v>
      </c>
      <c r="DQ243" s="408">
        <v>0</v>
      </c>
      <c r="DR243" s="408">
        <v>0</v>
      </c>
      <c r="DS243" s="408"/>
      <c r="DT243" s="408"/>
      <c r="DU243" s="408"/>
      <c r="DV243" s="408">
        <v>70.97828780749407</v>
      </c>
      <c r="DW243" s="408">
        <v>0</v>
      </c>
      <c r="DX243" s="408">
        <v>0</v>
      </c>
      <c r="DY243" s="408">
        <v>-43.575000000000003</v>
      </c>
      <c r="DZ243" s="408">
        <v>0</v>
      </c>
      <c r="EA243" s="408">
        <v>0</v>
      </c>
      <c r="EB243" s="408">
        <v>0</v>
      </c>
      <c r="EC243" s="408">
        <v>-43.519990923932745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265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250</v>
      </c>
      <c r="B244" s="408" t="s">
        <v>1031</v>
      </c>
      <c r="C244" s="408" t="s">
        <v>2227</v>
      </c>
      <c r="D244" s="408" t="s">
        <v>1949</v>
      </c>
      <c r="E244" s="408" t="s">
        <v>964</v>
      </c>
      <c r="F244" s="408" t="s">
        <v>2233</v>
      </c>
      <c r="G244" s="408" t="s">
        <v>1317</v>
      </c>
      <c r="H244" s="408" t="s">
        <v>1317</v>
      </c>
      <c r="I244" s="408" t="s">
        <v>1317</v>
      </c>
      <c r="J244" s="408" t="s">
        <v>2228</v>
      </c>
      <c r="K244" s="828">
        <v>44531</v>
      </c>
      <c r="L244" s="408">
        <v>0</v>
      </c>
      <c r="M244" s="408">
        <v>0</v>
      </c>
      <c r="N244" s="408">
        <v>13.093</v>
      </c>
      <c r="O244" s="408">
        <v>13.093</v>
      </c>
      <c r="P244" s="408">
        <v>13.093</v>
      </c>
      <c r="Q244" s="408">
        <v>13.093</v>
      </c>
      <c r="R244" s="408"/>
      <c r="S244" s="408">
        <v>667.62</v>
      </c>
      <c r="T244" s="408">
        <v>252.22</v>
      </c>
      <c r="U244" s="408"/>
      <c r="V244" s="408">
        <v>12043.465120000001</v>
      </c>
      <c r="W244" s="408">
        <v>12043.465120000001</v>
      </c>
      <c r="X244" s="408">
        <v>7968.2688699999999</v>
      </c>
      <c r="Y244" s="408">
        <v>0</v>
      </c>
      <c r="Z244" s="408">
        <v>0</v>
      </c>
      <c r="AA244" s="408">
        <v>0</v>
      </c>
      <c r="AB244" s="408">
        <v>0</v>
      </c>
      <c r="AC244" s="408">
        <v>0</v>
      </c>
      <c r="AD244" s="408">
        <v>1616.9538266744048</v>
      </c>
      <c r="AE244" s="408">
        <v>6637.990873310855</v>
      </c>
      <c r="AF244" s="408">
        <v>3302.3526945758244</v>
      </c>
      <c r="AG244" s="408">
        <v>0</v>
      </c>
      <c r="AH244" s="408">
        <v>0</v>
      </c>
      <c r="AI244" s="408">
        <v>0</v>
      </c>
      <c r="AJ244" s="408">
        <v>0</v>
      </c>
      <c r="AK244" s="408">
        <v>0</v>
      </c>
      <c r="AL244" s="408">
        <v>0</v>
      </c>
      <c r="AM244" s="408"/>
      <c r="AN244" s="408">
        <v>30.680807773524851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455.56108856081249</v>
      </c>
      <c r="BH244" s="408">
        <v>0</v>
      </c>
      <c r="BI244" s="408">
        <v>0</v>
      </c>
      <c r="BJ244" s="408">
        <v>0</v>
      </c>
      <c r="BK244" s="408">
        <v>3186.76</v>
      </c>
      <c r="BL244" s="408">
        <v>143</v>
      </c>
      <c r="BM244" s="408"/>
      <c r="BN244" s="408"/>
      <c r="BO244" s="408"/>
      <c r="BP244" s="408"/>
      <c r="BQ244" s="408"/>
      <c r="BR244" s="408"/>
      <c r="BS244" s="408"/>
      <c r="BT244" s="408">
        <v>796.70904999999993</v>
      </c>
      <c r="BU244" s="408"/>
      <c r="BV244" s="408">
        <v>3757.913783136637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7169.9166000000005</v>
      </c>
      <c r="CJ244" s="408">
        <v>-3669.2843799999991</v>
      </c>
      <c r="CK244" s="408"/>
      <c r="CL244" s="408"/>
      <c r="CM244" s="408"/>
      <c r="CN244" s="408"/>
      <c r="CO244" s="408">
        <v>-4075.19625</v>
      </c>
      <c r="CP244" s="408">
        <v>0</v>
      </c>
      <c r="CQ244" s="408"/>
      <c r="CR244" s="408">
        <v>-5.1520159154688372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-4.1557137266324844</v>
      </c>
      <c r="DA244" s="408">
        <v>0</v>
      </c>
      <c r="DB244" s="408">
        <v>0</v>
      </c>
      <c r="DC244" s="408">
        <v>-4.629687282431405E-7</v>
      </c>
      <c r="DD244" s="408">
        <v>0</v>
      </c>
      <c r="DE244" s="408">
        <v>0</v>
      </c>
      <c r="DF244" s="408">
        <v>0</v>
      </c>
      <c r="DG244" s="408">
        <v>-6.3866423261060845E-8</v>
      </c>
      <c r="DH244" s="408">
        <v>0</v>
      </c>
      <c r="DI244" s="408">
        <v>0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0</v>
      </c>
      <c r="DP244" s="408">
        <v>-0.99630166200151393</v>
      </c>
      <c r="DQ244" s="408">
        <v>0</v>
      </c>
      <c r="DR244" s="408">
        <v>0</v>
      </c>
      <c r="DS244" s="408"/>
      <c r="DT244" s="408"/>
      <c r="DU244" s="408"/>
      <c r="DV244" s="408">
        <v>6637.990873310855</v>
      </c>
      <c r="DW244" s="408">
        <v>0</v>
      </c>
      <c r="DX244" s="408">
        <v>0</v>
      </c>
      <c r="DY244" s="408">
        <v>-4075.1962500000009</v>
      </c>
      <c r="DZ244" s="408">
        <v>0</v>
      </c>
      <c r="EA244" s="408">
        <v>0</v>
      </c>
      <c r="EB244" s="408">
        <v>0</v>
      </c>
      <c r="EC244" s="408">
        <v>-4070.0517226217953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265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251</v>
      </c>
      <c r="B245" s="408" t="s">
        <v>2230</v>
      </c>
      <c r="C245" s="408" t="s">
        <v>2227</v>
      </c>
      <c r="D245" s="408" t="s">
        <v>1949</v>
      </c>
      <c r="E245" s="408" t="s">
        <v>964</v>
      </c>
      <c r="F245" s="408" t="s">
        <v>2233</v>
      </c>
      <c r="G245" s="408" t="s">
        <v>1317</v>
      </c>
      <c r="H245" s="408" t="s">
        <v>1317</v>
      </c>
      <c r="I245" s="408" t="s">
        <v>1317</v>
      </c>
      <c r="J245" s="408" t="s">
        <v>2228</v>
      </c>
      <c r="K245" s="828">
        <v>44531</v>
      </c>
      <c r="L245" s="408">
        <v>0</v>
      </c>
      <c r="M245" s="408">
        <v>0</v>
      </c>
      <c r="N245" s="408">
        <v>0.13</v>
      </c>
      <c r="O245" s="408">
        <v>9.0999999999999998E-2</v>
      </c>
      <c r="P245" s="408">
        <v>0.13</v>
      </c>
      <c r="Q245" s="408">
        <v>9.0999999999999998E-2</v>
      </c>
      <c r="R245" s="408"/>
      <c r="S245" s="408">
        <v>667.62</v>
      </c>
      <c r="T245" s="408">
        <v>252.22</v>
      </c>
      <c r="U245" s="408"/>
      <c r="V245" s="408">
        <v>119.5792</v>
      </c>
      <c r="W245" s="408">
        <v>119.5792</v>
      </c>
      <c r="X245" s="408">
        <v>79.116700000000009</v>
      </c>
      <c r="Y245" s="408">
        <v>0</v>
      </c>
      <c r="Z245" s="408">
        <v>0</v>
      </c>
      <c r="AA245" s="408">
        <v>0</v>
      </c>
      <c r="AB245" s="408">
        <v>0</v>
      </c>
      <c r="AC245" s="408">
        <v>0</v>
      </c>
      <c r="AD245" s="408">
        <v>16.054685516510549</v>
      </c>
      <c r="AE245" s="408">
        <v>65.908410106958769</v>
      </c>
      <c r="AF245" s="408">
        <v>32.788959772004674</v>
      </c>
      <c r="AG245" s="408">
        <v>0</v>
      </c>
      <c r="AH245" s="408">
        <v>0</v>
      </c>
      <c r="AI245" s="408">
        <v>0</v>
      </c>
      <c r="AJ245" s="408">
        <v>0</v>
      </c>
      <c r="AK245" s="408">
        <v>0</v>
      </c>
      <c r="AL245" s="408">
        <v>0</v>
      </c>
      <c r="AM245" s="408"/>
      <c r="AN245" s="408">
        <v>0.30462881009380821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4.5232522350038664</v>
      </c>
      <c r="BH245" s="408">
        <v>0</v>
      </c>
      <c r="BI245" s="408">
        <v>0</v>
      </c>
      <c r="BJ245" s="408">
        <v>0</v>
      </c>
      <c r="BK245" s="408">
        <v>53.68</v>
      </c>
      <c r="BL245" s="408">
        <v>1</v>
      </c>
      <c r="BM245" s="408"/>
      <c r="BN245" s="408"/>
      <c r="BO245" s="408"/>
      <c r="BP245" s="408"/>
      <c r="BQ245" s="408"/>
      <c r="BR245" s="408"/>
      <c r="BS245" s="408"/>
      <c r="BT245" s="408">
        <v>29.272360000000003</v>
      </c>
      <c r="BU245" s="408"/>
      <c r="BV245" s="408">
        <v>37.31221200700854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49.296599999999998</v>
      </c>
      <c r="CJ245" s="408">
        <v>-26.068660000000008</v>
      </c>
      <c r="CK245" s="408"/>
      <c r="CL245" s="408"/>
      <c r="CM245" s="408"/>
      <c r="CN245" s="408"/>
      <c r="CO245" s="408">
        <v>-40.462499999999999</v>
      </c>
      <c r="CP245" s="408">
        <v>0</v>
      </c>
      <c r="CQ245" s="408"/>
      <c r="CR245" s="408">
        <v>-5.1154209807599216E-2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-4.1261955584069199E-2</v>
      </c>
      <c r="DA245" s="408">
        <v>0</v>
      </c>
      <c r="DB245" s="408">
        <v>0</v>
      </c>
      <c r="DC245" s="408">
        <v>-4.5968064910084649E-9</v>
      </c>
      <c r="DD245" s="408">
        <v>0</v>
      </c>
      <c r="DE245" s="408">
        <v>0</v>
      </c>
      <c r="DF245" s="408">
        <v>0</v>
      </c>
      <c r="DG245" s="408">
        <v>-6.3412741724278021E-10</v>
      </c>
      <c r="DH245" s="408">
        <v>0</v>
      </c>
      <c r="DI245" s="408">
        <v>0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0</v>
      </c>
      <c r="DP245" s="408">
        <v>-9.8922489926064894E-3</v>
      </c>
      <c r="DQ245" s="408">
        <v>0</v>
      </c>
      <c r="DR245" s="408">
        <v>0</v>
      </c>
      <c r="DS245" s="408"/>
      <c r="DT245" s="408"/>
      <c r="DU245" s="408"/>
      <c r="DV245" s="408">
        <v>65.908410106958769</v>
      </c>
      <c r="DW245" s="408">
        <v>0</v>
      </c>
      <c r="DX245" s="408">
        <v>0</v>
      </c>
      <c r="DY245" s="408">
        <v>-40.462499999999999</v>
      </c>
      <c r="DZ245" s="408">
        <v>0</v>
      </c>
      <c r="EA245" s="408">
        <v>0</v>
      </c>
      <c r="EB245" s="408">
        <v>0</v>
      </c>
      <c r="EC245" s="408">
        <v>-40.411420143651824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265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252</v>
      </c>
      <c r="B246" s="408" t="s">
        <v>1031</v>
      </c>
      <c r="C246" s="408" t="s">
        <v>2227</v>
      </c>
      <c r="D246" s="408" t="s">
        <v>1949</v>
      </c>
      <c r="E246" s="408" t="s">
        <v>964</v>
      </c>
      <c r="F246" s="408" t="s">
        <v>2234</v>
      </c>
      <c r="G246" s="408" t="s">
        <v>1317</v>
      </c>
      <c r="H246" s="408" t="s">
        <v>1317</v>
      </c>
      <c r="I246" s="408" t="s">
        <v>1317</v>
      </c>
      <c r="J246" s="408" t="s">
        <v>2228</v>
      </c>
      <c r="K246" s="828">
        <v>44531</v>
      </c>
      <c r="L246" s="408">
        <v>0</v>
      </c>
      <c r="M246" s="408">
        <v>0</v>
      </c>
      <c r="N246" s="408">
        <v>4.069</v>
      </c>
      <c r="O246" s="408">
        <v>4.069</v>
      </c>
      <c r="P246" s="408">
        <v>4.069</v>
      </c>
      <c r="Q246" s="408">
        <v>4.069</v>
      </c>
      <c r="R246" s="408"/>
      <c r="S246" s="408">
        <v>667.62</v>
      </c>
      <c r="T246" s="408">
        <v>252.22</v>
      </c>
      <c r="U246" s="408"/>
      <c r="V246" s="408">
        <v>3742.8289599999998</v>
      </c>
      <c r="W246" s="408">
        <v>3742.8289599999998</v>
      </c>
      <c r="X246" s="408">
        <v>2476.3527100000001</v>
      </c>
      <c r="Y246" s="408">
        <v>0</v>
      </c>
      <c r="Z246" s="408">
        <v>0</v>
      </c>
      <c r="AA246" s="408">
        <v>0</v>
      </c>
      <c r="AB246" s="408">
        <v>0</v>
      </c>
      <c r="AC246" s="408">
        <v>0</v>
      </c>
      <c r="AD246" s="408">
        <v>502.5116566667802</v>
      </c>
      <c r="AE246" s="408">
        <v>2062.9332363478093</v>
      </c>
      <c r="AF246" s="408">
        <v>1026.2944408637461</v>
      </c>
      <c r="AG246" s="408">
        <v>0</v>
      </c>
      <c r="AH246" s="408">
        <v>0</v>
      </c>
      <c r="AI246" s="408">
        <v>0</v>
      </c>
      <c r="AJ246" s="408">
        <v>0</v>
      </c>
      <c r="AK246" s="408">
        <v>0</v>
      </c>
      <c r="AL246" s="408">
        <v>0</v>
      </c>
      <c r="AM246" s="408"/>
      <c r="AN246" s="408">
        <v>9.5348817559361958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141.57779495562102</v>
      </c>
      <c r="BH246" s="408">
        <v>0</v>
      </c>
      <c r="BI246" s="408">
        <v>0</v>
      </c>
      <c r="BJ246" s="408">
        <v>0</v>
      </c>
      <c r="BK246" s="408">
        <v>1152.23</v>
      </c>
      <c r="BL246" s="408">
        <v>46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1167.8722358193672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2476.9612999999999</v>
      </c>
      <c r="CJ246" s="408">
        <v>-1265.8976600000005</v>
      </c>
      <c r="CK246" s="408"/>
      <c r="CL246" s="408"/>
      <c r="CM246" s="408"/>
      <c r="CN246" s="408"/>
      <c r="CO246" s="408">
        <v>-1266.4762499999999</v>
      </c>
      <c r="CP246" s="408">
        <v>0</v>
      </c>
      <c r="CQ246" s="408"/>
      <c r="CR246" s="408">
        <v>-1.6011267669780409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-1.2914992097814206</v>
      </c>
      <c r="DA246" s="408">
        <v>0</v>
      </c>
      <c r="DB246" s="408">
        <v>0</v>
      </c>
      <c r="DC246" s="408">
        <v>-1.4387978808372281E-7</v>
      </c>
      <c r="DD246" s="408">
        <v>0</v>
      </c>
      <c r="DE246" s="408">
        <v>0</v>
      </c>
      <c r="DF246" s="408">
        <v>0</v>
      </c>
      <c r="DG246" s="408">
        <v>-1.9848187093884917E-8</v>
      </c>
      <c r="DH246" s="408">
        <v>0</v>
      </c>
      <c r="DI246" s="408">
        <v>0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0</v>
      </c>
      <c r="DP246" s="408">
        <v>-0.30962739346858292</v>
      </c>
      <c r="DQ246" s="408">
        <v>0</v>
      </c>
      <c r="DR246" s="408">
        <v>0</v>
      </c>
      <c r="DS246" s="408"/>
      <c r="DT246" s="408"/>
      <c r="DU246" s="408"/>
      <c r="DV246" s="408">
        <v>2062.9332363478093</v>
      </c>
      <c r="DW246" s="408">
        <v>0</v>
      </c>
      <c r="DX246" s="408">
        <v>0</v>
      </c>
      <c r="DY246" s="408">
        <v>-1266.4762499999999</v>
      </c>
      <c r="DZ246" s="408">
        <v>0</v>
      </c>
      <c r="EA246" s="408">
        <v>0</v>
      </c>
      <c r="EB246" s="408">
        <v>0</v>
      </c>
      <c r="EC246" s="408">
        <v>-1264.8774504963021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265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253</v>
      </c>
      <c r="B247" s="408" t="s">
        <v>2230</v>
      </c>
      <c r="C247" s="408" t="s">
        <v>2227</v>
      </c>
      <c r="D247" s="408" t="s">
        <v>1949</v>
      </c>
      <c r="E247" s="408" t="s">
        <v>964</v>
      </c>
      <c r="F247" s="408" t="s">
        <v>2234</v>
      </c>
      <c r="G247" s="408" t="s">
        <v>1317</v>
      </c>
      <c r="H247" s="408" t="s">
        <v>1317</v>
      </c>
      <c r="I247" s="408" t="s">
        <v>1317</v>
      </c>
      <c r="J247" s="408" t="s">
        <v>2228</v>
      </c>
      <c r="K247" s="828">
        <v>44531</v>
      </c>
      <c r="L247" s="408">
        <v>0</v>
      </c>
      <c r="M247" s="408">
        <v>0</v>
      </c>
      <c r="N247" s="408">
        <v>0</v>
      </c>
      <c r="O247" s="408">
        <v>0</v>
      </c>
      <c r="P247" s="408">
        <v>0</v>
      </c>
      <c r="Q247" s="408">
        <v>0</v>
      </c>
      <c r="R247" s="408"/>
      <c r="S247" s="408"/>
      <c r="T247" s="408"/>
      <c r="U247" s="408"/>
      <c r="V247" s="408"/>
      <c r="W247" s="408"/>
      <c r="X247" s="408"/>
      <c r="Y247" s="408"/>
      <c r="Z247" s="408"/>
      <c r="AA247" s="408">
        <v>0</v>
      </c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  <c r="AM247" s="408"/>
      <c r="AN247" s="408"/>
      <c r="AO247" s="408"/>
      <c r="AP247" s="408"/>
      <c r="AQ247" s="408"/>
      <c r="AR247" s="408"/>
      <c r="AS247" s="408"/>
      <c r="AT247" s="408"/>
      <c r="AU247" s="408"/>
      <c r="AV247" s="408"/>
      <c r="AW247" s="408"/>
      <c r="AX247" s="408"/>
      <c r="AY247" s="408"/>
      <c r="AZ247" s="408">
        <v>0</v>
      </c>
      <c r="BA247" s="408"/>
      <c r="BB247" s="408"/>
      <c r="BC247" s="408"/>
      <c r="BD247" s="408"/>
      <c r="BE247" s="408"/>
      <c r="BF247" s="408"/>
      <c r="BG247" s="408"/>
      <c r="BH247" s="408"/>
      <c r="BI247" s="408">
        <v>0</v>
      </c>
      <c r="BJ247" s="408">
        <v>0</v>
      </c>
      <c r="BK247" s="408">
        <v>67.739999999999995</v>
      </c>
      <c r="BL247" s="408">
        <v>2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/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/>
      <c r="CJ247" s="408">
        <v>-0.03</v>
      </c>
      <c r="CK247" s="408"/>
      <c r="CL247" s="408"/>
      <c r="CM247" s="408"/>
      <c r="CN247" s="408"/>
      <c r="CO247" s="408">
        <v>0</v>
      </c>
      <c r="CP247" s="408">
        <v>0</v>
      </c>
      <c r="CQ247" s="408"/>
      <c r="CR247" s="408"/>
      <c r="CS247" s="408"/>
      <c r="CT247" s="408"/>
      <c r="CU247" s="408"/>
      <c r="CV247" s="408"/>
      <c r="CW247" s="408"/>
      <c r="CX247" s="408"/>
      <c r="CY247" s="408"/>
      <c r="CZ247" s="408"/>
      <c r="DA247" s="408"/>
      <c r="DB247" s="408"/>
      <c r="DC247" s="408"/>
      <c r="DD247" s="408"/>
      <c r="DE247" s="408"/>
      <c r="DF247" s="408"/>
      <c r="DG247" s="408"/>
      <c r="DH247" s="408"/>
      <c r="DI247" s="408"/>
      <c r="DJ247" s="408"/>
      <c r="DK247" s="408">
        <v>0</v>
      </c>
      <c r="DL247" s="408"/>
      <c r="DM247" s="408"/>
      <c r="DN247" s="408"/>
      <c r="DO247" s="408"/>
      <c r="DP247" s="408"/>
      <c r="DQ247" s="408"/>
      <c r="DR247" s="408"/>
      <c r="DS247" s="408"/>
      <c r="DT247" s="408"/>
      <c r="DU247" s="408"/>
      <c r="DV247" s="408"/>
      <c r="DW247" s="408"/>
      <c r="DX247" s="408"/>
      <c r="DY247" s="408"/>
      <c r="DZ247" s="408"/>
      <c r="EA247" s="408"/>
      <c r="EB247" s="408"/>
      <c r="EC247" s="408"/>
      <c r="ED247" s="408"/>
      <c r="EE247" s="408"/>
      <c r="EF247" s="408"/>
      <c r="EG247" s="408"/>
      <c r="EH247" s="408"/>
      <c r="EI247" s="408"/>
      <c r="EJ247" s="408"/>
      <c r="EK247" s="408"/>
      <c r="EL247" s="408"/>
      <c r="EM247" s="408"/>
      <c r="EN247" s="408"/>
      <c r="EO247" s="408"/>
      <c r="EP247" s="408"/>
      <c r="EQ247" s="408"/>
      <c r="ER247" s="408"/>
      <c r="ES247" s="408"/>
      <c r="ET247" s="408"/>
      <c r="EU247" s="408"/>
      <c r="EV247" s="408">
        <v>265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254</v>
      </c>
      <c r="B248" s="408" t="s">
        <v>1031</v>
      </c>
      <c r="C248" s="408" t="s">
        <v>2227</v>
      </c>
      <c r="D248" s="408" t="s">
        <v>1952</v>
      </c>
      <c r="E248" s="408" t="s">
        <v>965</v>
      </c>
      <c r="F248" s="408" t="s">
        <v>1317</v>
      </c>
      <c r="G248" s="408" t="s">
        <v>1317</v>
      </c>
      <c r="H248" s="408" t="s">
        <v>1317</v>
      </c>
      <c r="I248" s="408" t="s">
        <v>1317</v>
      </c>
      <c r="J248" s="408" t="s">
        <v>2228</v>
      </c>
      <c r="K248" s="828">
        <v>44531</v>
      </c>
      <c r="L248" s="408">
        <v>0</v>
      </c>
      <c r="M248" s="408">
        <v>0</v>
      </c>
      <c r="N248" s="408">
        <v>54.026000000000003</v>
      </c>
      <c r="O248" s="408">
        <v>54.026000000000003</v>
      </c>
      <c r="P248" s="408">
        <v>54.026000000000003</v>
      </c>
      <c r="Q248" s="408">
        <v>54.026000000000003</v>
      </c>
      <c r="R248" s="408"/>
      <c r="S248" s="408">
        <v>739.04</v>
      </c>
      <c r="T248" s="408">
        <v>252.22</v>
      </c>
      <c r="U248" s="408"/>
      <c r="V248" s="408">
        <v>53553.812760000001</v>
      </c>
      <c r="W248" s="408">
        <v>53553.812760000001</v>
      </c>
      <c r="X248" s="408">
        <v>36628.00722</v>
      </c>
      <c r="Y248" s="408">
        <v>0</v>
      </c>
      <c r="Z248" s="408">
        <v>3341.6786397361384</v>
      </c>
      <c r="AA248" s="408">
        <v>0</v>
      </c>
      <c r="AB248" s="408">
        <v>0</v>
      </c>
      <c r="AC248" s="408">
        <v>0</v>
      </c>
      <c r="AD248" s="408">
        <v>6672.0803054999924</v>
      </c>
      <c r="AE248" s="408">
        <v>27390.52126491196</v>
      </c>
      <c r="AF248" s="408">
        <v>13626.587235710189</v>
      </c>
      <c r="AG248" s="408">
        <v>0</v>
      </c>
      <c r="AH248" s="408">
        <v>0</v>
      </c>
      <c r="AI248" s="408">
        <v>0</v>
      </c>
      <c r="AJ248" s="408">
        <v>0</v>
      </c>
      <c r="AK248" s="408">
        <v>0</v>
      </c>
      <c r="AL248" s="408">
        <v>516.54416269474461</v>
      </c>
      <c r="AM248" s="408"/>
      <c r="AN248" s="408">
        <v>126.59904687790832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1879.7940403716839</v>
      </c>
      <c r="BH248" s="408">
        <v>0</v>
      </c>
      <c r="BI248" s="408">
        <v>0</v>
      </c>
      <c r="BJ248" s="408">
        <v>0</v>
      </c>
      <c r="BK248" s="408">
        <v>9396.74</v>
      </c>
      <c r="BL248" s="408">
        <v>18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15506.381276081873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36630.719100000002</v>
      </c>
      <c r="CJ248" s="408">
        <v>-16923.123660000005</v>
      </c>
      <c r="CK248" s="408"/>
      <c r="CL248" s="408"/>
      <c r="CM248" s="408"/>
      <c r="CN248" s="408"/>
      <c r="CO248" s="408">
        <v>-16925.805539999998</v>
      </c>
      <c r="CP248" s="408">
        <v>0</v>
      </c>
      <c r="CQ248" s="408"/>
      <c r="CR248" s="408">
        <v>-131.40187134070584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-17.147833941423414</v>
      </c>
      <c r="DA248" s="408">
        <v>0</v>
      </c>
      <c r="DB248" s="408">
        <v>0</v>
      </c>
      <c r="DC248" s="408">
        <v>-1.9103608792647719E-6</v>
      </c>
      <c r="DD248" s="408">
        <v>0</v>
      </c>
      <c r="DE248" s="408">
        <v>0</v>
      </c>
      <c r="DF248" s="408">
        <v>0</v>
      </c>
      <c r="DG248" s="408">
        <v>-2.6353359316999558E-7</v>
      </c>
      <c r="DH248" s="408">
        <v>0</v>
      </c>
      <c r="DI248" s="408">
        <v>-97.166287341027783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-12.976681391477427</v>
      </c>
      <c r="DP248" s="408">
        <v>-4.1110664928812213</v>
      </c>
      <c r="DQ248" s="408">
        <v>0</v>
      </c>
      <c r="DR248" s="408">
        <v>0</v>
      </c>
      <c r="DS248" s="408"/>
      <c r="DT248" s="408"/>
      <c r="DU248" s="408"/>
      <c r="DV248" s="408">
        <v>27390.52126491196</v>
      </c>
      <c r="DW248" s="408">
        <v>0</v>
      </c>
      <c r="DX248" s="408">
        <v>0</v>
      </c>
      <c r="DY248" s="408">
        <v>-16925.805539999998</v>
      </c>
      <c r="DZ248" s="408">
        <v>0</v>
      </c>
      <c r="EA248" s="408">
        <v>0</v>
      </c>
      <c r="EB248" s="408">
        <v>0</v>
      </c>
      <c r="EC248" s="408">
        <v>-16794.364497545648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265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255</v>
      </c>
      <c r="B249" s="408" t="s">
        <v>2230</v>
      </c>
      <c r="C249" s="408" t="s">
        <v>2227</v>
      </c>
      <c r="D249" s="408" t="s">
        <v>1952</v>
      </c>
      <c r="E249" s="408" t="s">
        <v>965</v>
      </c>
      <c r="F249" s="408" t="s">
        <v>1317</v>
      </c>
      <c r="G249" s="408" t="s">
        <v>1317</v>
      </c>
      <c r="H249" s="408" t="s">
        <v>1317</v>
      </c>
      <c r="I249" s="408" t="s">
        <v>1317</v>
      </c>
      <c r="J249" s="408" t="s">
        <v>2228</v>
      </c>
      <c r="K249" s="828">
        <v>44531</v>
      </c>
      <c r="L249" s="408">
        <v>0</v>
      </c>
      <c r="M249" s="408">
        <v>0</v>
      </c>
      <c r="N249" s="408">
        <v>11.590999999999999</v>
      </c>
      <c r="O249" s="408">
        <v>11.590999999999999</v>
      </c>
      <c r="P249" s="408">
        <v>11.590999999999999</v>
      </c>
      <c r="Q249" s="408">
        <v>11.590999999999999</v>
      </c>
      <c r="R249" s="408"/>
      <c r="S249" s="408">
        <v>739.04</v>
      </c>
      <c r="T249" s="408">
        <v>252.22</v>
      </c>
      <c r="U249" s="408"/>
      <c r="V249" s="408">
        <v>11489.694659999999</v>
      </c>
      <c r="W249" s="408">
        <v>11489.694659999999</v>
      </c>
      <c r="X249" s="408">
        <v>7858.350269999999</v>
      </c>
      <c r="Y249" s="408">
        <v>0</v>
      </c>
      <c r="Z249" s="408">
        <v>716.93993842190002</v>
      </c>
      <c r="AA249" s="408">
        <v>0</v>
      </c>
      <c r="AB249" s="408">
        <v>0</v>
      </c>
      <c r="AC249" s="408">
        <v>0</v>
      </c>
      <c r="AD249" s="408">
        <v>1431.4604601682597</v>
      </c>
      <c r="AE249" s="408">
        <v>5876.4952426904547</v>
      </c>
      <c r="AF249" s="408">
        <v>2923.5140978254317</v>
      </c>
      <c r="AG249" s="408">
        <v>0</v>
      </c>
      <c r="AH249" s="408">
        <v>0</v>
      </c>
      <c r="AI249" s="408">
        <v>0</v>
      </c>
      <c r="AJ249" s="408">
        <v>0</v>
      </c>
      <c r="AK249" s="408">
        <v>0</v>
      </c>
      <c r="AL249" s="408">
        <v>110.82188927173554</v>
      </c>
      <c r="AM249" s="408"/>
      <c r="AN249" s="408">
        <v>27.161173367671772</v>
      </c>
      <c r="AO249" s="408">
        <v>0</v>
      </c>
      <c r="AP249" s="408">
        <v>0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403.30012812253705</v>
      </c>
      <c r="BH249" s="408">
        <v>0</v>
      </c>
      <c r="BI249" s="408">
        <v>0</v>
      </c>
      <c r="BJ249" s="408">
        <v>0</v>
      </c>
      <c r="BK249" s="408">
        <v>3513.49</v>
      </c>
      <c r="BL249" s="408">
        <v>12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3326.8142259479687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7857.6723000000002</v>
      </c>
      <c r="CJ249" s="408">
        <v>-3632.0523599999997</v>
      </c>
      <c r="CK249" s="408"/>
      <c r="CL249" s="408"/>
      <c r="CM249" s="408"/>
      <c r="CN249" s="408"/>
      <c r="CO249" s="408">
        <v>-3631.3443899999993</v>
      </c>
      <c r="CP249" s="408">
        <v>0</v>
      </c>
      <c r="CQ249" s="408"/>
      <c r="CR249" s="408">
        <v>-28.19159461574236</v>
      </c>
      <c r="CS249" s="408">
        <v>0</v>
      </c>
      <c r="CT249" s="408">
        <v>0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-3.6789794398073354</v>
      </c>
      <c r="DA249" s="408">
        <v>0</v>
      </c>
      <c r="DB249" s="408">
        <v>0</v>
      </c>
      <c r="DC249" s="408">
        <v>-4.0985787563840859E-7</v>
      </c>
      <c r="DD249" s="408">
        <v>0</v>
      </c>
      <c r="DE249" s="408">
        <v>0</v>
      </c>
      <c r="DF249" s="408">
        <v>0</v>
      </c>
      <c r="DG249" s="408">
        <v>-5.6539818160672439E-8</v>
      </c>
      <c r="DH249" s="408">
        <v>0</v>
      </c>
      <c r="DI249" s="408">
        <v>-20.846526423756131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-2.7840801467555565</v>
      </c>
      <c r="DP249" s="408">
        <v>-0.88200813902539821</v>
      </c>
      <c r="DQ249" s="408">
        <v>0</v>
      </c>
      <c r="DR249" s="408">
        <v>0</v>
      </c>
      <c r="DS249" s="408"/>
      <c r="DT249" s="408"/>
      <c r="DU249" s="408"/>
      <c r="DV249" s="408">
        <v>5876.4952426904547</v>
      </c>
      <c r="DW249" s="408">
        <v>0</v>
      </c>
      <c r="DX249" s="408">
        <v>0</v>
      </c>
      <c r="DY249" s="408">
        <v>-3631.3443900000002</v>
      </c>
      <c r="DZ249" s="408">
        <v>0</v>
      </c>
      <c r="EA249" s="408">
        <v>0</v>
      </c>
      <c r="EB249" s="408">
        <v>0</v>
      </c>
      <c r="EC249" s="408">
        <v>-3603.1443914236029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265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256</v>
      </c>
      <c r="B250" s="408" t="s">
        <v>1031</v>
      </c>
      <c r="C250" s="408" t="s">
        <v>2235</v>
      </c>
      <c r="D250" s="408" t="s">
        <v>596</v>
      </c>
      <c r="E250" s="408" t="s">
        <v>965</v>
      </c>
      <c r="F250" s="408" t="s">
        <v>1317</v>
      </c>
      <c r="G250" s="408" t="s">
        <v>1317</v>
      </c>
      <c r="H250" s="408" t="s">
        <v>1317</v>
      </c>
      <c r="I250" s="408" t="s">
        <v>968</v>
      </c>
      <c r="J250" s="408" t="s">
        <v>2228</v>
      </c>
      <c r="K250" s="828">
        <v>44531</v>
      </c>
      <c r="L250" s="408">
        <v>0</v>
      </c>
      <c r="M250" s="408">
        <v>0</v>
      </c>
      <c r="N250" s="408">
        <v>22.405000000000001</v>
      </c>
      <c r="O250" s="408">
        <v>22.405000000000001</v>
      </c>
      <c r="P250" s="408">
        <v>22.405000000000001</v>
      </c>
      <c r="Q250" s="408">
        <v>22.405000000000001</v>
      </c>
      <c r="R250" s="408"/>
      <c r="S250" s="408">
        <v>2641.06</v>
      </c>
      <c r="T250" s="408">
        <v>252.22</v>
      </c>
      <c r="U250" s="408"/>
      <c r="V250" s="408">
        <v>64823.938399999999</v>
      </c>
      <c r="W250" s="408">
        <v>64823.938399999999</v>
      </c>
      <c r="X250" s="408">
        <v>38477.002699999997</v>
      </c>
      <c r="Y250" s="408">
        <v>0</v>
      </c>
      <c r="Z250" s="408">
        <v>1205.6633775082498</v>
      </c>
      <c r="AA250" s="408">
        <v>0</v>
      </c>
      <c r="AB250" s="408">
        <v>0</v>
      </c>
      <c r="AC250" s="408">
        <v>0</v>
      </c>
      <c r="AD250" s="408">
        <v>14513.219423031605</v>
      </c>
      <c r="AE250" s="408">
        <v>42840.384083388875</v>
      </c>
      <c r="AF250" s="408">
        <v>5651.0511053212667</v>
      </c>
      <c r="AG250" s="408">
        <v>0</v>
      </c>
      <c r="AH250" s="408">
        <v>0</v>
      </c>
      <c r="AI250" s="408">
        <v>0</v>
      </c>
      <c r="AJ250" s="408">
        <v>0</v>
      </c>
      <c r="AK250" s="408">
        <v>0</v>
      </c>
      <c r="AL250" s="408">
        <v>214.21485886750366</v>
      </c>
      <c r="AM250" s="408"/>
      <c r="AN250" s="408">
        <v>53.904327013800675</v>
      </c>
      <c r="AO250" s="408">
        <v>0</v>
      </c>
      <c r="AP250" s="408">
        <v>0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>
        <v>0</v>
      </c>
      <c r="BG250" s="408">
        <v>345.54875870895546</v>
      </c>
      <c r="BH250" s="408">
        <v>0</v>
      </c>
      <c r="BI250" s="408">
        <v>0</v>
      </c>
      <c r="BJ250" s="408">
        <v>0</v>
      </c>
      <c r="BK250" s="408">
        <v>0</v>
      </c>
      <c r="BL250" s="408">
        <v>0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5996.5998640302223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38485.589399999997</v>
      </c>
      <c r="CJ250" s="408">
        <v>-26338.379000000008</v>
      </c>
      <c r="CK250" s="408"/>
      <c r="CL250" s="408"/>
      <c r="CM250" s="408"/>
      <c r="CN250" s="408"/>
      <c r="CO250" s="408">
        <v>-26346.935700000002</v>
      </c>
      <c r="CP250" s="408">
        <v>0</v>
      </c>
      <c r="CQ250" s="408"/>
      <c r="CR250" s="408">
        <v>-79.489406194436015</v>
      </c>
      <c r="CS250" s="408">
        <v>0</v>
      </c>
      <c r="CT250" s="408">
        <v>0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-37.300251979388122</v>
      </c>
      <c r="DA250" s="408">
        <v>0</v>
      </c>
      <c r="DB250" s="408">
        <v>0</v>
      </c>
      <c r="DC250" s="408">
        <v>-7.9224082583095878E-7</v>
      </c>
      <c r="DD250" s="408">
        <v>0</v>
      </c>
      <c r="DE250" s="408">
        <v>0</v>
      </c>
      <c r="DF250" s="408">
        <v>0</v>
      </c>
      <c r="DG250" s="408">
        <v>-4.844406475967844E-8</v>
      </c>
      <c r="DH250" s="408">
        <v>0</v>
      </c>
      <c r="DI250" s="408">
        <v>-35.057181376594144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-5.3815301257922386</v>
      </c>
      <c r="DP250" s="408">
        <v>-1.7504418719793478</v>
      </c>
      <c r="DQ250" s="408">
        <v>0</v>
      </c>
      <c r="DR250" s="408">
        <v>0</v>
      </c>
      <c r="DS250" s="408"/>
      <c r="DT250" s="408"/>
      <c r="DU250" s="408"/>
      <c r="DV250" s="408">
        <v>42840.384083388875</v>
      </c>
      <c r="DW250" s="408">
        <v>0</v>
      </c>
      <c r="DX250" s="408">
        <v>0</v>
      </c>
      <c r="DY250" s="408">
        <v>-26346.935700000002</v>
      </c>
      <c r="DZ250" s="408">
        <v>0</v>
      </c>
      <c r="EA250" s="408">
        <v>0</v>
      </c>
      <c r="EB250" s="408">
        <v>0</v>
      </c>
      <c r="EC250" s="408">
        <v>-26267.3725174028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265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257</v>
      </c>
      <c r="B251" s="408" t="s">
        <v>1031</v>
      </c>
      <c r="C251" s="408" t="s">
        <v>2235</v>
      </c>
      <c r="D251" s="408" t="s">
        <v>596</v>
      </c>
      <c r="E251" s="408" t="s">
        <v>965</v>
      </c>
      <c r="F251" s="408" t="s">
        <v>1317</v>
      </c>
      <c r="G251" s="408" t="s">
        <v>1317</v>
      </c>
      <c r="H251" s="408" t="s">
        <v>1317</v>
      </c>
      <c r="I251" s="408" t="s">
        <v>2236</v>
      </c>
      <c r="J251" s="408" t="s">
        <v>2228</v>
      </c>
      <c r="K251" s="828">
        <v>44531</v>
      </c>
      <c r="L251" s="408">
        <v>0</v>
      </c>
      <c r="M251" s="408">
        <v>0</v>
      </c>
      <c r="N251" s="408">
        <v>386.30700000000002</v>
      </c>
      <c r="O251" s="408">
        <v>386.30700000000002</v>
      </c>
      <c r="P251" s="408">
        <v>386.30700000000002</v>
      </c>
      <c r="Q251" s="408">
        <v>386.30700000000002</v>
      </c>
      <c r="R251" s="408"/>
      <c r="S251" s="408">
        <v>81.2</v>
      </c>
      <c r="T251" s="408">
        <v>252.22</v>
      </c>
      <c r="U251" s="408"/>
      <c r="V251" s="408">
        <v>128802.47994</v>
      </c>
      <c r="W251" s="408">
        <v>128802.47994</v>
      </c>
      <c r="X251" s="408">
        <v>128076.22278000001</v>
      </c>
      <c r="Y251" s="408">
        <v>0</v>
      </c>
      <c r="Z251" s="408">
        <v>20788.047416874782</v>
      </c>
      <c r="AA251" s="408">
        <v>0</v>
      </c>
      <c r="AB251" s="408">
        <v>0</v>
      </c>
      <c r="AC251" s="408">
        <v>0</v>
      </c>
      <c r="AD251" s="408">
        <v>0</v>
      </c>
      <c r="AE251" s="408">
        <v>0</v>
      </c>
      <c r="AF251" s="408">
        <v>97435.420635721603</v>
      </c>
      <c r="AG251" s="408">
        <v>0</v>
      </c>
      <c r="AH251" s="408">
        <v>0</v>
      </c>
      <c r="AI251" s="408">
        <v>0</v>
      </c>
      <c r="AJ251" s="408">
        <v>0</v>
      </c>
      <c r="AK251" s="408">
        <v>0</v>
      </c>
      <c r="AL251" s="408">
        <v>3693.4925009832064</v>
      </c>
      <c r="AM251" s="408"/>
      <c r="AN251" s="408">
        <v>929.41838231288989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5957.951543431398</v>
      </c>
      <c r="BH251" s="408">
        <v>0</v>
      </c>
      <c r="BI251" s="408">
        <v>0</v>
      </c>
      <c r="BJ251" s="408">
        <v>0</v>
      </c>
      <c r="BK251" s="408">
        <v>0</v>
      </c>
      <c r="BL251" s="408">
        <v>0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103393.372179153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128077.21739999999</v>
      </c>
      <c r="CJ251" s="408">
        <v>-725.29254000000947</v>
      </c>
      <c r="CK251" s="408"/>
      <c r="CL251" s="408"/>
      <c r="CM251" s="408"/>
      <c r="CN251" s="408"/>
      <c r="CO251" s="408">
        <v>-726.25716000000375</v>
      </c>
      <c r="CP251" s="408">
        <v>0</v>
      </c>
      <c r="CQ251" s="408"/>
      <c r="CR251" s="408">
        <v>-727.42537814565003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0</v>
      </c>
      <c r="DA251" s="408">
        <v>0</v>
      </c>
      <c r="DB251" s="408">
        <v>0</v>
      </c>
      <c r="DC251" s="408">
        <v>-1.365982461720705E-5</v>
      </c>
      <c r="DD251" s="408">
        <v>0</v>
      </c>
      <c r="DE251" s="408">
        <v>0</v>
      </c>
      <c r="DF251" s="408">
        <v>0</v>
      </c>
      <c r="DG251" s="408">
        <v>-8.3527265815064311E-7</v>
      </c>
      <c r="DH251" s="408">
        <v>0</v>
      </c>
      <c r="DI251" s="408">
        <v>-604.45590564820304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-92.788340026977494</v>
      </c>
      <c r="DP251" s="408">
        <v>-30.181117975395068</v>
      </c>
      <c r="DQ251" s="408">
        <v>0</v>
      </c>
      <c r="DR251" s="408">
        <v>0</v>
      </c>
      <c r="DS251" s="408"/>
      <c r="DT251" s="408"/>
      <c r="DU251" s="408"/>
      <c r="DV251" s="408">
        <v>0</v>
      </c>
      <c r="DW251" s="408">
        <v>0</v>
      </c>
      <c r="DX251" s="408">
        <v>0</v>
      </c>
      <c r="DY251" s="408">
        <v>-726.25716000000102</v>
      </c>
      <c r="DZ251" s="408">
        <v>0</v>
      </c>
      <c r="EA251" s="408">
        <v>0</v>
      </c>
      <c r="EB251" s="408">
        <v>0</v>
      </c>
      <c r="EC251" s="408">
        <v>0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265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258</v>
      </c>
      <c r="B252" s="408" t="s">
        <v>1031</v>
      </c>
      <c r="C252" s="408" t="s">
        <v>2235</v>
      </c>
      <c r="D252" s="408" t="s">
        <v>596</v>
      </c>
      <c r="E252" s="408" t="s">
        <v>965</v>
      </c>
      <c r="F252" s="408" t="s">
        <v>1317</v>
      </c>
      <c r="G252" s="408" t="s">
        <v>1317</v>
      </c>
      <c r="H252" s="408" t="s">
        <v>1317</v>
      </c>
      <c r="I252" s="408" t="s">
        <v>1317</v>
      </c>
      <c r="J252" s="408" t="s">
        <v>2228</v>
      </c>
      <c r="K252" s="828">
        <v>44531</v>
      </c>
      <c r="L252" s="408">
        <v>2082</v>
      </c>
      <c r="M252" s="408">
        <v>2082</v>
      </c>
      <c r="N252" s="408">
        <v>0</v>
      </c>
      <c r="O252" s="408">
        <v>0</v>
      </c>
      <c r="P252" s="408">
        <v>0</v>
      </c>
      <c r="Q252" s="408">
        <v>0</v>
      </c>
      <c r="R252" s="408">
        <v>74.44</v>
      </c>
      <c r="S252" s="408"/>
      <c r="T252" s="408"/>
      <c r="U252" s="408">
        <v>154984.07999999999</v>
      </c>
      <c r="V252" s="408"/>
      <c r="W252" s="408">
        <v>154984.07999999999</v>
      </c>
      <c r="X252" s="408">
        <v>94564.44</v>
      </c>
      <c r="Y252" s="408">
        <v>0</v>
      </c>
      <c r="Z252" s="408">
        <v>0</v>
      </c>
      <c r="AA252" s="408">
        <v>0</v>
      </c>
      <c r="AB252" s="408">
        <v>0</v>
      </c>
      <c r="AC252" s="408">
        <v>0</v>
      </c>
      <c r="AD252" s="408">
        <v>56665.986648400649</v>
      </c>
      <c r="AE252" s="408">
        <v>98315.24197895902</v>
      </c>
      <c r="AF252" s="408"/>
      <c r="AG252" s="408"/>
      <c r="AH252" s="408"/>
      <c r="AI252" s="408">
        <v>0</v>
      </c>
      <c r="AJ252" s="408">
        <v>0</v>
      </c>
      <c r="AK252" s="408">
        <v>0</v>
      </c>
      <c r="AL252" s="408">
        <v>0</v>
      </c>
      <c r="AM252" s="408"/>
      <c r="AN252" s="408">
        <v>0</v>
      </c>
      <c r="AO252" s="408">
        <v>0</v>
      </c>
      <c r="AP252" s="408">
        <v>0</v>
      </c>
      <c r="AQ252" s="408">
        <v>0</v>
      </c>
      <c r="AR252" s="408">
        <v>0</v>
      </c>
      <c r="AS252" s="408"/>
      <c r="AT252" s="408"/>
      <c r="AU252" s="408">
        <v>0</v>
      </c>
      <c r="AV252" s="408">
        <v>0</v>
      </c>
      <c r="AW252" s="408">
        <v>0</v>
      </c>
      <c r="AX252" s="408"/>
      <c r="AY252" s="408"/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/>
      <c r="BG252" s="408">
        <v>0</v>
      </c>
      <c r="BH252" s="408">
        <v>0</v>
      </c>
      <c r="BI252" s="408">
        <v>0</v>
      </c>
      <c r="BJ252" s="408">
        <v>0</v>
      </c>
      <c r="BK252" s="408">
        <v>67410.39</v>
      </c>
      <c r="BL252" s="408">
        <v>10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0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94564.44</v>
      </c>
      <c r="CJ252" s="408">
        <v>-60419.670000000013</v>
      </c>
      <c r="CK252" s="408"/>
      <c r="CL252" s="408"/>
      <c r="CM252" s="408"/>
      <c r="CN252" s="408"/>
      <c r="CO252" s="408">
        <v>-60419.639999999992</v>
      </c>
      <c r="CP252" s="408">
        <v>0</v>
      </c>
      <c r="CQ252" s="408"/>
      <c r="CR252" s="408">
        <v>-145.63657580283325</v>
      </c>
      <c r="CS252" s="408">
        <v>0</v>
      </c>
      <c r="CT252" s="408">
        <v>0</v>
      </c>
      <c r="CU252" s="408">
        <v>0</v>
      </c>
      <c r="CV252" s="408">
        <v>0</v>
      </c>
      <c r="CW252" s="408"/>
      <c r="CX252" s="408"/>
      <c r="CY252" s="408"/>
      <c r="CZ252" s="408">
        <v>-145.63657580283325</v>
      </c>
      <c r="DA252" s="408">
        <v>0</v>
      </c>
      <c r="DB252" s="408">
        <v>0</v>
      </c>
      <c r="DC252" s="408"/>
      <c r="DD252" s="408"/>
      <c r="DE252" s="408">
        <v>0</v>
      </c>
      <c r="DF252" s="408">
        <v>0</v>
      </c>
      <c r="DG252" s="408">
        <v>0</v>
      </c>
      <c r="DH252" s="408">
        <v>0</v>
      </c>
      <c r="DI252" s="408">
        <v>0</v>
      </c>
      <c r="DJ252" s="408"/>
      <c r="DK252" s="408">
        <v>0</v>
      </c>
      <c r="DL252" s="408">
        <v>0</v>
      </c>
      <c r="DM252" s="408"/>
      <c r="DN252" s="408">
        <v>0</v>
      </c>
      <c r="DO252" s="408">
        <v>0</v>
      </c>
      <c r="DP252" s="408">
        <v>0</v>
      </c>
      <c r="DQ252" s="408">
        <v>0</v>
      </c>
      <c r="DR252" s="408">
        <v>0</v>
      </c>
      <c r="DS252" s="408"/>
      <c r="DT252" s="408"/>
      <c r="DU252" s="408">
        <v>98315.24197895902</v>
      </c>
      <c r="DV252" s="408"/>
      <c r="DW252" s="408">
        <v>0</v>
      </c>
      <c r="DX252" s="408">
        <v>0</v>
      </c>
      <c r="DY252" s="408">
        <v>-60419.639999999985</v>
      </c>
      <c r="DZ252" s="408"/>
      <c r="EA252" s="408">
        <v>0</v>
      </c>
      <c r="EB252" s="408"/>
      <c r="EC252" s="408">
        <v>-60281.511019441641</v>
      </c>
      <c r="ED252" s="408"/>
      <c r="EE252" s="408">
        <v>0</v>
      </c>
      <c r="EF252" s="408">
        <v>0</v>
      </c>
      <c r="EG252" s="408"/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/>
      <c r="EN252" s="408"/>
      <c r="EO252" s="408">
        <v>0</v>
      </c>
      <c r="EP252" s="408">
        <v>0</v>
      </c>
      <c r="EQ252" s="408"/>
      <c r="ER252" s="408">
        <v>0</v>
      </c>
      <c r="ES252" s="408"/>
      <c r="ET252" s="408">
        <v>0</v>
      </c>
      <c r="EU252" s="408"/>
      <c r="EV252" s="408">
        <v>265</v>
      </c>
      <c r="EW252" s="408"/>
      <c r="EX252" s="408"/>
      <c r="EY252" s="408"/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259</v>
      </c>
      <c r="B253" s="408" t="s">
        <v>1031</v>
      </c>
      <c r="C253" s="408" t="s">
        <v>2227</v>
      </c>
      <c r="D253" s="408" t="s">
        <v>1952</v>
      </c>
      <c r="E253" s="408" t="s">
        <v>993</v>
      </c>
      <c r="F253" s="408" t="s">
        <v>1317</v>
      </c>
      <c r="G253" s="408" t="s">
        <v>1317</v>
      </c>
      <c r="H253" s="408" t="s">
        <v>1317</v>
      </c>
      <c r="I253" s="408" t="s">
        <v>1317</v>
      </c>
      <c r="J253" s="408" t="s">
        <v>2228</v>
      </c>
      <c r="K253" s="828">
        <v>44531</v>
      </c>
      <c r="L253" s="408">
        <v>0</v>
      </c>
      <c r="M253" s="408">
        <v>0</v>
      </c>
      <c r="N253" s="408">
        <v>395.46699999999998</v>
      </c>
      <c r="O253" s="408">
        <v>395.46699999999998</v>
      </c>
      <c r="P253" s="408">
        <v>395.46699999999998</v>
      </c>
      <c r="Q253" s="408">
        <v>395.46699999999998</v>
      </c>
      <c r="R253" s="408"/>
      <c r="S253" s="408">
        <v>739.04</v>
      </c>
      <c r="T253" s="408">
        <v>252.22</v>
      </c>
      <c r="U253" s="408"/>
      <c r="V253" s="408">
        <v>392010.61841999996</v>
      </c>
      <c r="W253" s="408">
        <v>392010.61841999996</v>
      </c>
      <c r="X253" s="408">
        <v>268114.76198999997</v>
      </c>
      <c r="Y253" s="408">
        <v>0</v>
      </c>
      <c r="Z253" s="408">
        <v>24460.882290388538</v>
      </c>
      <c r="AA253" s="408">
        <v>0</v>
      </c>
      <c r="AB253" s="408">
        <v>0</v>
      </c>
      <c r="AC253" s="408">
        <v>0</v>
      </c>
      <c r="AD253" s="408">
        <v>48839.217824291365</v>
      </c>
      <c r="AE253" s="408">
        <v>200496.93245975894</v>
      </c>
      <c r="AF253" s="408">
        <v>99745.781185810542</v>
      </c>
      <c r="AG253" s="408">
        <v>0</v>
      </c>
      <c r="AH253" s="408">
        <v>0</v>
      </c>
      <c r="AI253" s="408">
        <v>0</v>
      </c>
      <c r="AJ253" s="408">
        <v>0</v>
      </c>
      <c r="AK253" s="408">
        <v>0</v>
      </c>
      <c r="AL253" s="408">
        <v>3781.0715283086392</v>
      </c>
      <c r="AM253" s="408"/>
      <c r="AN253" s="408">
        <v>926.69724339513868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13759.976858617492</v>
      </c>
      <c r="BH253" s="408">
        <v>0</v>
      </c>
      <c r="BI253" s="408">
        <v>0</v>
      </c>
      <c r="BJ253" s="408">
        <v>0</v>
      </c>
      <c r="BK253" s="408">
        <v>138963.74</v>
      </c>
      <c r="BL253" s="408">
        <v>839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113505.75804442803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268116.79590000003</v>
      </c>
      <c r="CJ253" s="408">
        <v>-123893.85251999996</v>
      </c>
      <c r="CK253" s="408"/>
      <c r="CL253" s="408"/>
      <c r="CM253" s="408"/>
      <c r="CN253" s="408"/>
      <c r="CO253" s="408">
        <v>-123895.85642999999</v>
      </c>
      <c r="CP253" s="408">
        <v>0</v>
      </c>
      <c r="CQ253" s="408"/>
      <c r="CR253" s="408">
        <v>-961.85362332017394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-125.52109068434947</v>
      </c>
      <c r="DA253" s="408">
        <v>0</v>
      </c>
      <c r="DB253" s="408">
        <v>0</v>
      </c>
      <c r="DC253" s="408">
        <v>-1.398372114636004E-5</v>
      </c>
      <c r="DD253" s="408">
        <v>0</v>
      </c>
      <c r="DE253" s="408">
        <v>0</v>
      </c>
      <c r="DF253" s="408">
        <v>0</v>
      </c>
      <c r="DG253" s="408">
        <v>-1.9290509953862056E-6</v>
      </c>
      <c r="DH253" s="408">
        <v>0</v>
      </c>
      <c r="DI253" s="408">
        <v>-711.25125228397519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-94.988510343971484</v>
      </c>
      <c r="DP253" s="408">
        <v>-30.092754095070063</v>
      </c>
      <c r="DQ253" s="408">
        <v>0</v>
      </c>
      <c r="DR253" s="408">
        <v>0</v>
      </c>
      <c r="DS253" s="408"/>
      <c r="DT253" s="408"/>
      <c r="DU253" s="408"/>
      <c r="DV253" s="408">
        <v>200496.93245975894</v>
      </c>
      <c r="DW253" s="408">
        <v>0</v>
      </c>
      <c r="DX253" s="408">
        <v>0</v>
      </c>
      <c r="DY253" s="408">
        <v>-123895.85642999999</v>
      </c>
      <c r="DZ253" s="408">
        <v>0</v>
      </c>
      <c r="EA253" s="408">
        <v>0</v>
      </c>
      <c r="EB253" s="408">
        <v>0</v>
      </c>
      <c r="EC253" s="408">
        <v>-122933.71607653506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265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260</v>
      </c>
      <c r="B254" s="408" t="s">
        <v>2229</v>
      </c>
      <c r="C254" s="408" t="s">
        <v>2227</v>
      </c>
      <c r="D254" s="408" t="s">
        <v>1952</v>
      </c>
      <c r="E254" s="408" t="s">
        <v>993</v>
      </c>
      <c r="F254" s="408" t="s">
        <v>1317</v>
      </c>
      <c r="G254" s="408" t="s">
        <v>1317</v>
      </c>
      <c r="H254" s="408" t="s">
        <v>1317</v>
      </c>
      <c r="I254" s="408" t="s">
        <v>1317</v>
      </c>
      <c r="J254" s="408" t="s">
        <v>2228</v>
      </c>
      <c r="K254" s="828">
        <v>44531</v>
      </c>
      <c r="L254" s="408">
        <v>0</v>
      </c>
      <c r="M254" s="408">
        <v>0</v>
      </c>
      <c r="N254" s="408">
        <v>-0.24299999999999999</v>
      </c>
      <c r="O254" s="408">
        <v>-0.24299999999999999</v>
      </c>
      <c r="P254" s="408">
        <v>-0.24299999999999999</v>
      </c>
      <c r="Q254" s="408">
        <v>-0.24299999999999999</v>
      </c>
      <c r="R254" s="408"/>
      <c r="S254" s="408">
        <v>739.04</v>
      </c>
      <c r="T254" s="408">
        <v>252.22</v>
      </c>
      <c r="U254" s="408"/>
      <c r="V254" s="408">
        <v>-240.87617999999998</v>
      </c>
      <c r="W254" s="408">
        <v>-240.87617999999998</v>
      </c>
      <c r="X254" s="408">
        <v>-164.74671000000001</v>
      </c>
      <c r="Y254" s="408">
        <v>0</v>
      </c>
      <c r="Z254" s="408">
        <v>-15.030317059487682</v>
      </c>
      <c r="AA254" s="408">
        <v>0</v>
      </c>
      <c r="AB254" s="408">
        <v>0</v>
      </c>
      <c r="AC254" s="408">
        <v>0</v>
      </c>
      <c r="AD254" s="408">
        <v>-30.009912157785102</v>
      </c>
      <c r="AE254" s="408">
        <v>-123.19802812300755</v>
      </c>
      <c r="AF254" s="408">
        <v>-61.290132496901037</v>
      </c>
      <c r="AG254" s="408">
        <v>0</v>
      </c>
      <c r="AH254" s="408">
        <v>0</v>
      </c>
      <c r="AI254" s="408">
        <v>0</v>
      </c>
      <c r="AJ254" s="408">
        <v>0</v>
      </c>
      <c r="AK254" s="408">
        <v>0</v>
      </c>
      <c r="AL254" s="408">
        <v>-2.3233300917118225</v>
      </c>
      <c r="AM254" s="408"/>
      <c r="AN254" s="408">
        <v>-0.56942154502150299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-8.455002254661073</v>
      </c>
      <c r="BH254" s="408">
        <v>0</v>
      </c>
      <c r="BI254" s="408">
        <v>0</v>
      </c>
      <c r="BJ254" s="408">
        <v>0</v>
      </c>
      <c r="BK254" s="408">
        <v>-85.39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-69.745134751562105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-162.71279999999999</v>
      </c>
      <c r="CJ254" s="408">
        <v>78.133380000000017</v>
      </c>
      <c r="CK254" s="408"/>
      <c r="CL254" s="408"/>
      <c r="CM254" s="408"/>
      <c r="CN254" s="408"/>
      <c r="CO254" s="408">
        <v>76.129469999999984</v>
      </c>
      <c r="CP254" s="408">
        <v>0</v>
      </c>
      <c r="CQ254" s="408"/>
      <c r="CR254" s="408">
        <v>0.59102385399235402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7.7128116976375338E-2</v>
      </c>
      <c r="DA254" s="408">
        <v>0</v>
      </c>
      <c r="DB254" s="408">
        <v>0</v>
      </c>
      <c r="DC254" s="408">
        <v>8.5924867221365275E-9</v>
      </c>
      <c r="DD254" s="408">
        <v>0</v>
      </c>
      <c r="DE254" s="408">
        <v>0</v>
      </c>
      <c r="DF254" s="408">
        <v>0</v>
      </c>
      <c r="DG254" s="408">
        <v>1.1853309445086779E-9</v>
      </c>
      <c r="DH254" s="408">
        <v>0</v>
      </c>
      <c r="DI254" s="408">
        <v>0.43703786739476769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5.8366963649520542E-2</v>
      </c>
      <c r="DP254" s="408">
        <v>1.8490896193872119E-2</v>
      </c>
      <c r="DQ254" s="408">
        <v>0</v>
      </c>
      <c r="DR254" s="408">
        <v>0</v>
      </c>
      <c r="DS254" s="408"/>
      <c r="DT254" s="408"/>
      <c r="DU254" s="408"/>
      <c r="DV254" s="408">
        <v>-123.19802812300755</v>
      </c>
      <c r="DW254" s="408">
        <v>0</v>
      </c>
      <c r="DX254" s="408">
        <v>0</v>
      </c>
      <c r="DY254" s="408">
        <v>76.129469999999984</v>
      </c>
      <c r="DZ254" s="408">
        <v>0</v>
      </c>
      <c r="EA254" s="408">
        <v>0</v>
      </c>
      <c r="EB254" s="408">
        <v>0</v>
      </c>
      <c r="EC254" s="408">
        <v>75.538269960826113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265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261</v>
      </c>
      <c r="B255" s="408" t="s">
        <v>2230</v>
      </c>
      <c r="C255" s="408" t="s">
        <v>2227</v>
      </c>
      <c r="D255" s="408" t="s">
        <v>1952</v>
      </c>
      <c r="E255" s="408" t="s">
        <v>993</v>
      </c>
      <c r="F255" s="408" t="s">
        <v>1317</v>
      </c>
      <c r="G255" s="408" t="s">
        <v>1317</v>
      </c>
      <c r="H255" s="408" t="s">
        <v>1317</v>
      </c>
      <c r="I255" s="408" t="s">
        <v>1317</v>
      </c>
      <c r="J255" s="408" t="s">
        <v>2228</v>
      </c>
      <c r="K255" s="828">
        <v>44531</v>
      </c>
      <c r="L255" s="408">
        <v>0</v>
      </c>
      <c r="M255" s="408">
        <v>0</v>
      </c>
      <c r="N255" s="408">
        <v>47.655000000000001</v>
      </c>
      <c r="O255" s="408">
        <v>47.655000000000001</v>
      </c>
      <c r="P255" s="408">
        <v>47.655000000000001</v>
      </c>
      <c r="Q255" s="408">
        <v>47.655000000000001</v>
      </c>
      <c r="R255" s="408"/>
      <c r="S255" s="408">
        <v>739.04</v>
      </c>
      <c r="T255" s="408">
        <v>252.22</v>
      </c>
      <c r="U255" s="408"/>
      <c r="V255" s="408">
        <v>47238.495299999995</v>
      </c>
      <c r="W255" s="408">
        <v>47238.495299999995</v>
      </c>
      <c r="X255" s="408">
        <v>32308.660349999998</v>
      </c>
      <c r="Y255" s="408">
        <v>0</v>
      </c>
      <c r="Z255" s="408">
        <v>2947.6121788884179</v>
      </c>
      <c r="AA255" s="408">
        <v>0</v>
      </c>
      <c r="AB255" s="408">
        <v>0</v>
      </c>
      <c r="AC255" s="408">
        <v>0</v>
      </c>
      <c r="AD255" s="408">
        <v>5885.2772176100789</v>
      </c>
      <c r="AE255" s="408">
        <v>24160.502181900927</v>
      </c>
      <c r="AF255" s="408">
        <v>12019.675984114481</v>
      </c>
      <c r="AG255" s="408">
        <v>0</v>
      </c>
      <c r="AH255" s="408">
        <v>0</v>
      </c>
      <c r="AI255" s="408">
        <v>0</v>
      </c>
      <c r="AJ255" s="408">
        <v>0</v>
      </c>
      <c r="AK255" s="408">
        <v>0</v>
      </c>
      <c r="AL255" s="408">
        <v>455.63084576348524</v>
      </c>
      <c r="AM255" s="408"/>
      <c r="AN255" s="408">
        <v>111.66989188477253</v>
      </c>
      <c r="AO255" s="408">
        <v>0</v>
      </c>
      <c r="AP255" s="408">
        <v>0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>
        <v>0</v>
      </c>
      <c r="BG255" s="408">
        <v>1658.1198866085329</v>
      </c>
      <c r="BH255" s="408">
        <v>0</v>
      </c>
      <c r="BI255" s="408">
        <v>0</v>
      </c>
      <c r="BJ255" s="408">
        <v>0</v>
      </c>
      <c r="BK255" s="408">
        <v>32230.06</v>
      </c>
      <c r="BL255" s="408">
        <v>119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13677.795870723014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32312.050199999998</v>
      </c>
      <c r="CJ255" s="408">
        <v>-14926.475100000003</v>
      </c>
      <c r="CK255" s="408"/>
      <c r="CL255" s="408"/>
      <c r="CM255" s="408"/>
      <c r="CN255" s="408"/>
      <c r="CO255" s="408">
        <v>-14929.834949999999</v>
      </c>
      <c r="CP255" s="408">
        <v>0</v>
      </c>
      <c r="CQ255" s="408"/>
      <c r="CR255" s="408">
        <v>-115.90634469960787</v>
      </c>
      <c r="CS255" s="408">
        <v>0</v>
      </c>
      <c r="CT255" s="408">
        <v>0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-15.125680718145304</v>
      </c>
      <c r="DA255" s="408">
        <v>0</v>
      </c>
      <c r="DB255" s="408">
        <v>0</v>
      </c>
      <c r="DC255" s="408">
        <v>-1.6850808606250212E-6</v>
      </c>
      <c r="DD255" s="408">
        <v>0</v>
      </c>
      <c r="DE255" s="408">
        <v>0</v>
      </c>
      <c r="DF255" s="408">
        <v>0</v>
      </c>
      <c r="DG255" s="408">
        <v>-2.3245661395776551E-7</v>
      </c>
      <c r="DH255" s="408">
        <v>0</v>
      </c>
      <c r="DI255" s="408">
        <v>-85.707981772418407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-11.446410093489362</v>
      </c>
      <c r="DP255" s="408">
        <v>-3.6262701980204781</v>
      </c>
      <c r="DQ255" s="408">
        <v>0</v>
      </c>
      <c r="DR255" s="408">
        <v>0</v>
      </c>
      <c r="DS255" s="408"/>
      <c r="DT255" s="408"/>
      <c r="DU255" s="408"/>
      <c r="DV255" s="408">
        <v>24160.502181900927</v>
      </c>
      <c r="DW255" s="408">
        <v>0</v>
      </c>
      <c r="DX255" s="408">
        <v>0</v>
      </c>
      <c r="DY255" s="408">
        <v>-14929.834949999997</v>
      </c>
      <c r="DZ255" s="408">
        <v>0</v>
      </c>
      <c r="EA255" s="408">
        <v>0</v>
      </c>
      <c r="EB255" s="408">
        <v>0</v>
      </c>
      <c r="EC255" s="408">
        <v>-14813.894053428679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0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265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262</v>
      </c>
      <c r="B256" s="408" t="s">
        <v>1031</v>
      </c>
      <c r="C256" s="408" t="s">
        <v>2235</v>
      </c>
      <c r="D256" s="408" t="s">
        <v>596</v>
      </c>
      <c r="E256" s="408" t="s">
        <v>993</v>
      </c>
      <c r="F256" s="408" t="s">
        <v>1317</v>
      </c>
      <c r="G256" s="408" t="s">
        <v>1317</v>
      </c>
      <c r="H256" s="408" t="s">
        <v>1317</v>
      </c>
      <c r="I256" s="408" t="s">
        <v>968</v>
      </c>
      <c r="J256" s="408" t="s">
        <v>2228</v>
      </c>
      <c r="K256" s="828">
        <v>44531</v>
      </c>
      <c r="L256" s="408">
        <v>0</v>
      </c>
      <c r="M256" s="408">
        <v>0</v>
      </c>
      <c r="N256" s="408">
        <v>16.204000000000001</v>
      </c>
      <c r="O256" s="408">
        <v>16.204000000000001</v>
      </c>
      <c r="P256" s="408">
        <v>16.204000000000001</v>
      </c>
      <c r="Q256" s="408">
        <v>16.204000000000001</v>
      </c>
      <c r="R256" s="408"/>
      <c r="S256" s="408">
        <v>2641.06</v>
      </c>
      <c r="T256" s="408">
        <v>252.22</v>
      </c>
      <c r="U256" s="408"/>
      <c r="V256" s="408">
        <v>46882.70912</v>
      </c>
      <c r="W256" s="408">
        <v>46882.70912</v>
      </c>
      <c r="X256" s="408">
        <v>27827.77736</v>
      </c>
      <c r="Y256" s="408">
        <v>0</v>
      </c>
      <c r="Z256" s="408">
        <v>871.97363843533503</v>
      </c>
      <c r="AA256" s="408">
        <v>0</v>
      </c>
      <c r="AB256" s="408">
        <v>0</v>
      </c>
      <c r="AC256" s="408">
        <v>0</v>
      </c>
      <c r="AD256" s="408">
        <v>10496.416314697797</v>
      </c>
      <c r="AE256" s="408">
        <v>30983.51188070669</v>
      </c>
      <c r="AF256" s="408">
        <v>4087.0177241966439</v>
      </c>
      <c r="AG256" s="408">
        <v>0</v>
      </c>
      <c r="AH256" s="408">
        <v>0</v>
      </c>
      <c r="AI256" s="408">
        <v>0</v>
      </c>
      <c r="AJ256" s="408">
        <v>0</v>
      </c>
      <c r="AK256" s="408">
        <v>0</v>
      </c>
      <c r="AL256" s="408">
        <v>154.92691689752419</v>
      </c>
      <c r="AM256" s="408"/>
      <c r="AN256" s="408">
        <v>38.985303054301546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249.91171997857239</v>
      </c>
      <c r="BH256" s="408">
        <v>0</v>
      </c>
      <c r="BI256" s="408">
        <v>0</v>
      </c>
      <c r="BJ256" s="408">
        <v>0</v>
      </c>
      <c r="BK256" s="408">
        <v>0</v>
      </c>
      <c r="BL256" s="408">
        <v>0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>
        <v>4336.9294441752163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27820.907999999996</v>
      </c>
      <c r="CJ256" s="408">
        <v>-19061.83112000001</v>
      </c>
      <c r="CK256" s="408"/>
      <c r="CL256" s="408"/>
      <c r="CM256" s="408"/>
      <c r="CN256" s="408"/>
      <c r="CO256" s="408">
        <v>-19054.931760000003</v>
      </c>
      <c r="CP256" s="408">
        <v>0</v>
      </c>
      <c r="CQ256" s="408"/>
      <c r="CR256" s="408">
        <v>-57.489236240782702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-26.976714263513713</v>
      </c>
      <c r="DA256" s="408">
        <v>0</v>
      </c>
      <c r="DB256" s="408">
        <v>0</v>
      </c>
      <c r="DC256" s="408">
        <v>-5.7297393141197972E-7</v>
      </c>
      <c r="DD256" s="408">
        <v>0</v>
      </c>
      <c r="DE256" s="408">
        <v>0</v>
      </c>
      <c r="DF256" s="408">
        <v>0</v>
      </c>
      <c r="DG256" s="408">
        <v>-3.5036265444432502E-8</v>
      </c>
      <c r="DH256" s="408">
        <v>0</v>
      </c>
      <c r="DI256" s="408">
        <v>-25.354455122799891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-3.8920916830322483</v>
      </c>
      <c r="DP256" s="408">
        <v>-1.265974563425722</v>
      </c>
      <c r="DQ256" s="408">
        <v>0</v>
      </c>
      <c r="DR256" s="408">
        <v>0</v>
      </c>
      <c r="DS256" s="408"/>
      <c r="DT256" s="408"/>
      <c r="DU256" s="408"/>
      <c r="DV256" s="408">
        <v>30983.51188070669</v>
      </c>
      <c r="DW256" s="408">
        <v>0</v>
      </c>
      <c r="DX256" s="408">
        <v>0</v>
      </c>
      <c r="DY256" s="408">
        <v>-19054.931759999999</v>
      </c>
      <c r="DZ256" s="408">
        <v>0</v>
      </c>
      <c r="EA256" s="408">
        <v>0</v>
      </c>
      <c r="EB256" s="408">
        <v>0</v>
      </c>
      <c r="EC256" s="408">
        <v>-18997.389166346577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265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263</v>
      </c>
      <c r="B257" s="408" t="s">
        <v>1031</v>
      </c>
      <c r="C257" s="408" t="s">
        <v>2235</v>
      </c>
      <c r="D257" s="408" t="s">
        <v>596</v>
      </c>
      <c r="E257" s="408" t="s">
        <v>993</v>
      </c>
      <c r="F257" s="408" t="s">
        <v>1317</v>
      </c>
      <c r="G257" s="408" t="s">
        <v>1317</v>
      </c>
      <c r="H257" s="408" t="s">
        <v>1317</v>
      </c>
      <c r="I257" s="408" t="s">
        <v>2236</v>
      </c>
      <c r="J257" s="408" t="s">
        <v>2228</v>
      </c>
      <c r="K257" s="828">
        <v>44531</v>
      </c>
      <c r="L257" s="408">
        <v>0</v>
      </c>
      <c r="M257" s="408">
        <v>0</v>
      </c>
      <c r="N257" s="408">
        <v>232.51499999999999</v>
      </c>
      <c r="O257" s="408">
        <v>232.51499999999999</v>
      </c>
      <c r="P257" s="408">
        <v>232.51499999999999</v>
      </c>
      <c r="Q257" s="408">
        <v>232.51499999999999</v>
      </c>
      <c r="R257" s="408"/>
      <c r="S257" s="408">
        <v>81.2</v>
      </c>
      <c r="T257" s="408">
        <v>252.22</v>
      </c>
      <c r="U257" s="408"/>
      <c r="V257" s="408">
        <v>77525.151299999998</v>
      </c>
      <c r="W257" s="408">
        <v>77525.151299999998</v>
      </c>
      <c r="X257" s="408">
        <v>77088.023099999991</v>
      </c>
      <c r="Y257" s="408">
        <v>0</v>
      </c>
      <c r="Z257" s="408">
        <v>12512.154439693402</v>
      </c>
      <c r="AA257" s="408">
        <v>0</v>
      </c>
      <c r="AB257" s="408">
        <v>0</v>
      </c>
      <c r="AC257" s="408">
        <v>0</v>
      </c>
      <c r="AD257" s="408">
        <v>0</v>
      </c>
      <c r="AE257" s="408">
        <v>0</v>
      </c>
      <c r="AF257" s="408">
        <v>58645.576779905117</v>
      </c>
      <c r="AG257" s="408">
        <v>0</v>
      </c>
      <c r="AH257" s="408">
        <v>0</v>
      </c>
      <c r="AI257" s="408">
        <v>0</v>
      </c>
      <c r="AJ257" s="408">
        <v>0</v>
      </c>
      <c r="AK257" s="408">
        <v>0</v>
      </c>
      <c r="AL257" s="408">
        <v>2223.0827007175903</v>
      </c>
      <c r="AM257" s="408"/>
      <c r="AN257" s="408">
        <v>559.40926559312038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3586.0419384607353</v>
      </c>
      <c r="BH257" s="408">
        <v>0</v>
      </c>
      <c r="BI257" s="408">
        <v>0</v>
      </c>
      <c r="BJ257" s="408">
        <v>0</v>
      </c>
      <c r="BK257" s="408">
        <v>0</v>
      </c>
      <c r="BL257" s="408">
        <v>0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62231.618718365855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77089.680800000002</v>
      </c>
      <c r="CJ257" s="408">
        <v>-435.50049999998009</v>
      </c>
      <c r="CK257" s="408"/>
      <c r="CL257" s="408"/>
      <c r="CM257" s="408"/>
      <c r="CN257" s="408"/>
      <c r="CO257" s="408">
        <v>-437.12820000000221</v>
      </c>
      <c r="CP257" s="408">
        <v>0</v>
      </c>
      <c r="CQ257" s="408"/>
      <c r="CR257" s="408">
        <v>-437.83134087533108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0</v>
      </c>
      <c r="DA257" s="408">
        <v>0</v>
      </c>
      <c r="DB257" s="408">
        <v>0</v>
      </c>
      <c r="DC257" s="408">
        <v>-8.2217302406206727E-6</v>
      </c>
      <c r="DD257" s="408">
        <v>0</v>
      </c>
      <c r="DE257" s="408">
        <v>0</v>
      </c>
      <c r="DF257" s="408">
        <v>0</v>
      </c>
      <c r="DG257" s="408">
        <v>-5.0274366003577597E-7</v>
      </c>
      <c r="DH257" s="408">
        <v>0</v>
      </c>
      <c r="DI257" s="408">
        <v>-363.81702868907632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-55.84853725501398</v>
      </c>
      <c r="DP257" s="408">
        <v>-18.165766206796548</v>
      </c>
      <c r="DQ257" s="408">
        <v>0</v>
      </c>
      <c r="DR257" s="408">
        <v>0</v>
      </c>
      <c r="DS257" s="408"/>
      <c r="DT257" s="408"/>
      <c r="DU257" s="408"/>
      <c r="DV257" s="408">
        <v>0</v>
      </c>
      <c r="DW257" s="408">
        <v>0</v>
      </c>
      <c r="DX257" s="408">
        <v>0</v>
      </c>
      <c r="DY257" s="408">
        <v>-437.12820000000283</v>
      </c>
      <c r="DZ257" s="408">
        <v>0</v>
      </c>
      <c r="EA257" s="408">
        <v>0</v>
      </c>
      <c r="EB257" s="408">
        <v>0</v>
      </c>
      <c r="EC257" s="408">
        <v>0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265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264</v>
      </c>
      <c r="B258" s="408" t="s">
        <v>1031</v>
      </c>
      <c r="C258" s="408" t="s">
        <v>2235</v>
      </c>
      <c r="D258" s="408" t="s">
        <v>596</v>
      </c>
      <c r="E258" s="408" t="s">
        <v>993</v>
      </c>
      <c r="F258" s="408" t="s">
        <v>1317</v>
      </c>
      <c r="G258" s="408" t="s">
        <v>1317</v>
      </c>
      <c r="H258" s="408" t="s">
        <v>1317</v>
      </c>
      <c r="I258" s="408" t="s">
        <v>1317</v>
      </c>
      <c r="J258" s="408" t="s">
        <v>2228</v>
      </c>
      <c r="K258" s="828">
        <v>44531</v>
      </c>
      <c r="L258" s="408">
        <v>2017</v>
      </c>
      <c r="M258" s="408">
        <v>2017</v>
      </c>
      <c r="N258" s="408">
        <v>0</v>
      </c>
      <c r="O258" s="408">
        <v>0</v>
      </c>
      <c r="P258" s="408">
        <v>0</v>
      </c>
      <c r="Q258" s="408">
        <v>0</v>
      </c>
      <c r="R258" s="408">
        <v>74.44</v>
      </c>
      <c r="S258" s="408"/>
      <c r="T258" s="408"/>
      <c r="U258" s="408">
        <v>150145.47999999998</v>
      </c>
      <c r="V258" s="408"/>
      <c r="W258" s="408">
        <v>150145.47999999998</v>
      </c>
      <c r="X258" s="408">
        <v>91612.14</v>
      </c>
      <c r="Y258" s="408">
        <v>0</v>
      </c>
      <c r="Z258" s="408">
        <v>0</v>
      </c>
      <c r="AA258" s="408">
        <v>0</v>
      </c>
      <c r="AB258" s="408">
        <v>0</v>
      </c>
      <c r="AC258" s="408">
        <v>0</v>
      </c>
      <c r="AD258" s="408">
        <v>54896.875633921285</v>
      </c>
      <c r="AE258" s="408">
        <v>95245.84201323743</v>
      </c>
      <c r="AF258" s="408"/>
      <c r="AG258" s="408"/>
      <c r="AH258" s="408"/>
      <c r="AI258" s="408">
        <v>0</v>
      </c>
      <c r="AJ258" s="408">
        <v>0</v>
      </c>
      <c r="AK258" s="408">
        <v>0</v>
      </c>
      <c r="AL258" s="408">
        <v>0</v>
      </c>
      <c r="AM258" s="408"/>
      <c r="AN258" s="408">
        <v>0</v>
      </c>
      <c r="AO258" s="408">
        <v>0</v>
      </c>
      <c r="AP258" s="408">
        <v>0</v>
      </c>
      <c r="AQ258" s="408">
        <v>0</v>
      </c>
      <c r="AR258" s="408">
        <v>0</v>
      </c>
      <c r="AS258" s="408"/>
      <c r="AT258" s="408"/>
      <c r="AU258" s="408">
        <v>0</v>
      </c>
      <c r="AV258" s="408">
        <v>0</v>
      </c>
      <c r="AW258" s="408">
        <v>0</v>
      </c>
      <c r="AX258" s="408"/>
      <c r="AY258" s="408"/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/>
      <c r="BG258" s="408">
        <v>0</v>
      </c>
      <c r="BH258" s="408">
        <v>0</v>
      </c>
      <c r="BI258" s="408">
        <v>0</v>
      </c>
      <c r="BJ258" s="408">
        <v>0</v>
      </c>
      <c r="BK258" s="408">
        <v>99362.35</v>
      </c>
      <c r="BL258" s="408">
        <v>15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0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91612.14</v>
      </c>
      <c r="CJ258" s="408">
        <v>-58533.37000000001</v>
      </c>
      <c r="CK258" s="408"/>
      <c r="CL258" s="408"/>
      <c r="CM258" s="408"/>
      <c r="CN258" s="408"/>
      <c r="CO258" s="408">
        <v>-58533.339999999989</v>
      </c>
      <c r="CP258" s="408">
        <v>0</v>
      </c>
      <c r="CQ258" s="408"/>
      <c r="CR258" s="408">
        <v>-141.08980470428651</v>
      </c>
      <c r="CS258" s="408">
        <v>0</v>
      </c>
      <c r="CT258" s="408">
        <v>0</v>
      </c>
      <c r="CU258" s="408">
        <v>0</v>
      </c>
      <c r="CV258" s="408">
        <v>0</v>
      </c>
      <c r="CW258" s="408"/>
      <c r="CX258" s="408"/>
      <c r="CY258" s="408"/>
      <c r="CZ258" s="408">
        <v>-141.08980470428651</v>
      </c>
      <c r="DA258" s="408">
        <v>0</v>
      </c>
      <c r="DB258" s="408">
        <v>0</v>
      </c>
      <c r="DC258" s="408"/>
      <c r="DD258" s="408"/>
      <c r="DE258" s="408">
        <v>0</v>
      </c>
      <c r="DF258" s="408">
        <v>0</v>
      </c>
      <c r="DG258" s="408">
        <v>0</v>
      </c>
      <c r="DH258" s="408">
        <v>0</v>
      </c>
      <c r="DI258" s="408">
        <v>0</v>
      </c>
      <c r="DJ258" s="408"/>
      <c r="DK258" s="408">
        <v>0</v>
      </c>
      <c r="DL258" s="408">
        <v>0</v>
      </c>
      <c r="DM258" s="408"/>
      <c r="DN258" s="408">
        <v>0</v>
      </c>
      <c r="DO258" s="408">
        <v>0</v>
      </c>
      <c r="DP258" s="408">
        <v>0</v>
      </c>
      <c r="DQ258" s="408">
        <v>0</v>
      </c>
      <c r="DR258" s="408">
        <v>0</v>
      </c>
      <c r="DS258" s="408"/>
      <c r="DT258" s="408"/>
      <c r="DU258" s="408">
        <v>95245.84201323743</v>
      </c>
      <c r="DV258" s="408"/>
      <c r="DW258" s="408">
        <v>0</v>
      </c>
      <c r="DX258" s="408">
        <v>0</v>
      </c>
      <c r="DY258" s="408">
        <v>-58533.339999999982</v>
      </c>
      <c r="DZ258" s="408"/>
      <c r="EA258" s="408">
        <v>0</v>
      </c>
      <c r="EB258" s="408"/>
      <c r="EC258" s="408">
        <v>-58399.523403560888</v>
      </c>
      <c r="ED258" s="408"/>
      <c r="EE258" s="408">
        <v>0</v>
      </c>
      <c r="EF258" s="408">
        <v>0</v>
      </c>
      <c r="EG258" s="408"/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/>
      <c r="EN258" s="408"/>
      <c r="EO258" s="408">
        <v>0</v>
      </c>
      <c r="EP258" s="408">
        <v>0</v>
      </c>
      <c r="EQ258" s="408"/>
      <c r="ER258" s="408">
        <v>0</v>
      </c>
      <c r="ES258" s="408"/>
      <c r="ET258" s="408">
        <v>0</v>
      </c>
      <c r="EU258" s="408"/>
      <c r="EV258" s="408">
        <v>265</v>
      </c>
      <c r="EW258" s="408"/>
      <c r="EX258" s="408"/>
      <c r="EY258" s="408"/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265</v>
      </c>
      <c r="B259" s="408" t="s">
        <v>2230</v>
      </c>
      <c r="C259" s="408" t="s">
        <v>2235</v>
      </c>
      <c r="D259" s="408" t="s">
        <v>596</v>
      </c>
      <c r="E259" s="408" t="s">
        <v>993</v>
      </c>
      <c r="F259" s="408" t="s">
        <v>1317</v>
      </c>
      <c r="G259" s="408" t="s">
        <v>1317</v>
      </c>
      <c r="H259" s="408" t="s">
        <v>1317</v>
      </c>
      <c r="I259" s="408" t="s">
        <v>1317</v>
      </c>
      <c r="J259" s="408" t="s">
        <v>2228</v>
      </c>
      <c r="K259" s="828">
        <v>44531</v>
      </c>
      <c r="L259" s="408">
        <v>121</v>
      </c>
      <c r="M259" s="408">
        <v>121</v>
      </c>
      <c r="N259" s="408">
        <v>0</v>
      </c>
      <c r="O259" s="408">
        <v>0</v>
      </c>
      <c r="P259" s="408">
        <v>0</v>
      </c>
      <c r="Q259" s="408">
        <v>0</v>
      </c>
      <c r="R259" s="408">
        <v>74.44</v>
      </c>
      <c r="S259" s="408"/>
      <c r="T259" s="408"/>
      <c r="U259" s="408">
        <v>9007.24</v>
      </c>
      <c r="V259" s="408"/>
      <c r="W259" s="408">
        <v>9007.24</v>
      </c>
      <c r="X259" s="408">
        <v>5495.8200000000006</v>
      </c>
      <c r="Y259" s="408">
        <v>0</v>
      </c>
      <c r="Z259" s="408">
        <v>0</v>
      </c>
      <c r="AA259" s="408">
        <v>0</v>
      </c>
      <c r="AB259" s="408">
        <v>0</v>
      </c>
      <c r="AC259" s="408">
        <v>0</v>
      </c>
      <c r="AD259" s="408">
        <v>3293.2681961846679</v>
      </c>
      <c r="AE259" s="408">
        <v>5713.8060900355622</v>
      </c>
      <c r="AF259" s="408"/>
      <c r="AG259" s="408"/>
      <c r="AH259" s="408"/>
      <c r="AI259" s="408">
        <v>0</v>
      </c>
      <c r="AJ259" s="408">
        <v>0</v>
      </c>
      <c r="AK259" s="408">
        <v>0</v>
      </c>
      <c r="AL259" s="408">
        <v>0</v>
      </c>
      <c r="AM259" s="408"/>
      <c r="AN259" s="408">
        <v>0</v>
      </c>
      <c r="AO259" s="408">
        <v>0</v>
      </c>
      <c r="AP259" s="408">
        <v>0</v>
      </c>
      <c r="AQ259" s="408">
        <v>0</v>
      </c>
      <c r="AR259" s="408">
        <v>0</v>
      </c>
      <c r="AS259" s="408"/>
      <c r="AT259" s="408"/>
      <c r="AU259" s="408">
        <v>0</v>
      </c>
      <c r="AV259" s="408">
        <v>0</v>
      </c>
      <c r="AW259" s="408">
        <v>0</v>
      </c>
      <c r="AX259" s="408"/>
      <c r="AY259" s="408"/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/>
      <c r="BG259" s="408">
        <v>0</v>
      </c>
      <c r="BH259" s="408">
        <v>0</v>
      </c>
      <c r="BI259" s="408">
        <v>0</v>
      </c>
      <c r="BJ259" s="408">
        <v>0</v>
      </c>
      <c r="BK259" s="408">
        <v>3126.38</v>
      </c>
      <c r="BL259" s="408">
        <v>1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0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5495.8200000000006</v>
      </c>
      <c r="CJ259" s="408">
        <v>-3511.45</v>
      </c>
      <c r="CK259" s="408"/>
      <c r="CL259" s="408"/>
      <c r="CM259" s="408"/>
      <c r="CN259" s="408"/>
      <c r="CO259" s="408">
        <v>-3511.4199999999996</v>
      </c>
      <c r="CP259" s="408">
        <v>0</v>
      </c>
      <c r="CQ259" s="408"/>
      <c r="CR259" s="408">
        <v>-8.4639892757654707</v>
      </c>
      <c r="CS259" s="408">
        <v>0</v>
      </c>
      <c r="CT259" s="408">
        <v>0</v>
      </c>
      <c r="CU259" s="408">
        <v>0</v>
      </c>
      <c r="CV259" s="408">
        <v>0</v>
      </c>
      <c r="CW259" s="408"/>
      <c r="CX259" s="408"/>
      <c r="CY259" s="408"/>
      <c r="CZ259" s="408">
        <v>-8.4639892757654707</v>
      </c>
      <c r="DA259" s="408">
        <v>0</v>
      </c>
      <c r="DB259" s="408">
        <v>0</v>
      </c>
      <c r="DC259" s="408"/>
      <c r="DD259" s="408"/>
      <c r="DE259" s="408">
        <v>0</v>
      </c>
      <c r="DF259" s="408">
        <v>0</v>
      </c>
      <c r="DG259" s="408">
        <v>0</v>
      </c>
      <c r="DH259" s="408">
        <v>0</v>
      </c>
      <c r="DI259" s="408">
        <v>0</v>
      </c>
      <c r="DJ259" s="408"/>
      <c r="DK259" s="408">
        <v>0</v>
      </c>
      <c r="DL259" s="408">
        <v>0</v>
      </c>
      <c r="DM259" s="408"/>
      <c r="DN259" s="408">
        <v>0</v>
      </c>
      <c r="DO259" s="408">
        <v>0</v>
      </c>
      <c r="DP259" s="408">
        <v>0</v>
      </c>
      <c r="DQ259" s="408">
        <v>0</v>
      </c>
      <c r="DR259" s="408">
        <v>0</v>
      </c>
      <c r="DS259" s="408"/>
      <c r="DT259" s="408"/>
      <c r="DU259" s="408">
        <v>5713.8060900355622</v>
      </c>
      <c r="DV259" s="408"/>
      <c r="DW259" s="408">
        <v>0</v>
      </c>
      <c r="DX259" s="408">
        <v>0</v>
      </c>
      <c r="DY259" s="408">
        <v>-3511.4199999999992</v>
      </c>
      <c r="DZ259" s="408"/>
      <c r="EA259" s="408">
        <v>0</v>
      </c>
      <c r="EB259" s="408"/>
      <c r="EC259" s="408">
        <v>-3503.3923311010744</v>
      </c>
      <c r="ED259" s="408"/>
      <c r="EE259" s="408">
        <v>0</v>
      </c>
      <c r="EF259" s="408">
        <v>0</v>
      </c>
      <c r="EG259" s="408"/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/>
      <c r="EN259" s="408"/>
      <c r="EO259" s="408">
        <v>0</v>
      </c>
      <c r="EP259" s="408">
        <v>0</v>
      </c>
      <c r="EQ259" s="408"/>
      <c r="ER259" s="408">
        <v>0</v>
      </c>
      <c r="ES259" s="408"/>
      <c r="ET259" s="408">
        <v>0</v>
      </c>
      <c r="EU259" s="408"/>
      <c r="EV259" s="408">
        <v>265</v>
      </c>
      <c r="EW259" s="408"/>
      <c r="EX259" s="408"/>
      <c r="EY259" s="408"/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266</v>
      </c>
      <c r="B260" s="408" t="s">
        <v>1031</v>
      </c>
      <c r="C260" s="408" t="s">
        <v>2227</v>
      </c>
      <c r="D260" s="408" t="s">
        <v>2237</v>
      </c>
      <c r="E260" s="408" t="s">
        <v>969</v>
      </c>
      <c r="F260" s="408" t="s">
        <v>1317</v>
      </c>
      <c r="G260" s="408" t="s">
        <v>1317</v>
      </c>
      <c r="H260" s="408" t="s">
        <v>1317</v>
      </c>
      <c r="I260" s="408" t="s">
        <v>1317</v>
      </c>
      <c r="J260" s="408" t="s">
        <v>2228</v>
      </c>
      <c r="K260" s="828">
        <v>44531</v>
      </c>
      <c r="L260" s="408">
        <v>0</v>
      </c>
      <c r="M260" s="408">
        <v>0</v>
      </c>
      <c r="N260" s="408">
        <v>4691.0370000000003</v>
      </c>
      <c r="O260" s="408">
        <v>4691.0370000000003</v>
      </c>
      <c r="P260" s="408">
        <v>4691.0370000000003</v>
      </c>
      <c r="Q260" s="408">
        <v>4691.0370000000003</v>
      </c>
      <c r="R260" s="408"/>
      <c r="S260" s="408">
        <v>739.04</v>
      </c>
      <c r="T260" s="408">
        <v>252.22</v>
      </c>
      <c r="U260" s="408"/>
      <c r="V260" s="408">
        <v>4650037.3366200002</v>
      </c>
      <c r="W260" s="408">
        <v>4650037.3366200002</v>
      </c>
      <c r="X260" s="408">
        <v>3180382.3548900001</v>
      </c>
      <c r="Y260" s="408">
        <v>0</v>
      </c>
      <c r="Z260" s="408">
        <v>290155.4462871931</v>
      </c>
      <c r="AA260" s="408">
        <v>0</v>
      </c>
      <c r="AB260" s="408">
        <v>0</v>
      </c>
      <c r="AC260" s="408">
        <v>0</v>
      </c>
      <c r="AD260" s="408">
        <v>579331.72139473155</v>
      </c>
      <c r="AE260" s="408">
        <v>2378298.3878685967</v>
      </c>
      <c r="AF260" s="408">
        <v>1183186.3344768113</v>
      </c>
      <c r="AG260" s="408">
        <v>0</v>
      </c>
      <c r="AH260" s="408">
        <v>0</v>
      </c>
      <c r="AI260" s="408">
        <v>0</v>
      </c>
      <c r="AJ260" s="408">
        <v>0</v>
      </c>
      <c r="AK260" s="408">
        <v>0</v>
      </c>
      <c r="AL260" s="408">
        <v>44851.14166022039</v>
      </c>
      <c r="AM260" s="408"/>
      <c r="AN260" s="408">
        <v>10992.500149354059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163221.10457489104</v>
      </c>
      <c r="BH260" s="408">
        <v>0</v>
      </c>
      <c r="BI260" s="408">
        <v>0</v>
      </c>
      <c r="BJ260" s="408">
        <v>0</v>
      </c>
      <c r="BK260" s="408">
        <v>123351.28</v>
      </c>
      <c r="BL260" s="408">
        <v>12147</v>
      </c>
      <c r="BM260" s="408"/>
      <c r="BN260" s="408"/>
      <c r="BO260" s="408"/>
      <c r="BP260" s="408"/>
      <c r="BQ260" s="408"/>
      <c r="BR260" s="408">
        <v>381615.85994999984</v>
      </c>
      <c r="BS260" s="408"/>
      <c r="BT260" s="408"/>
      <c r="BU260" s="408"/>
      <c r="BV260" s="408">
        <v>1346407.4390517024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2798768.2848</v>
      </c>
      <c r="CJ260" s="408">
        <v>-1293270.2306699995</v>
      </c>
      <c r="CK260" s="408"/>
      <c r="CL260" s="408"/>
      <c r="CM260" s="408"/>
      <c r="CN260" s="408"/>
      <c r="CO260" s="408">
        <v>-1469654.9817299999</v>
      </c>
      <c r="CP260" s="408">
        <v>0</v>
      </c>
      <c r="CQ260" s="408"/>
      <c r="CR260" s="408">
        <v>-11409.525789961684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-1488.9335410556523</v>
      </c>
      <c r="DA260" s="408">
        <v>0</v>
      </c>
      <c r="DB260" s="408">
        <v>0</v>
      </c>
      <c r="DC260" s="408">
        <v>-1.6587506979703903E-4</v>
      </c>
      <c r="DD260" s="408">
        <v>0</v>
      </c>
      <c r="DE260" s="408">
        <v>0</v>
      </c>
      <c r="DF260" s="408">
        <v>0</v>
      </c>
      <c r="DG260" s="408">
        <v>-2.2882450139150023E-5</v>
      </c>
      <c r="DH260" s="408">
        <v>0</v>
      </c>
      <c r="DI260" s="408">
        <v>-8436.8757462960784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-1126.7554981792491</v>
      </c>
      <c r="DP260" s="408">
        <v>-356.96081567330475</v>
      </c>
      <c r="DQ260" s="408">
        <v>0</v>
      </c>
      <c r="DR260" s="408">
        <v>0</v>
      </c>
      <c r="DS260" s="408"/>
      <c r="DT260" s="408"/>
      <c r="DU260" s="408"/>
      <c r="DV260" s="408">
        <v>2378298.3878685967</v>
      </c>
      <c r="DW260" s="408">
        <v>0</v>
      </c>
      <c r="DX260" s="408">
        <v>0</v>
      </c>
      <c r="DY260" s="408">
        <v>-1469654.9817299999</v>
      </c>
      <c r="DZ260" s="408">
        <v>0</v>
      </c>
      <c r="EA260" s="408">
        <v>0</v>
      </c>
      <c r="EB260" s="408">
        <v>0</v>
      </c>
      <c r="EC260" s="408">
        <v>-1458242.054741662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265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267</v>
      </c>
      <c r="B261" s="408" t="s">
        <v>2229</v>
      </c>
      <c r="C261" s="408" t="s">
        <v>2227</v>
      </c>
      <c r="D261" s="408" t="s">
        <v>2237</v>
      </c>
      <c r="E261" s="408" t="s">
        <v>969</v>
      </c>
      <c r="F261" s="408" t="s">
        <v>1317</v>
      </c>
      <c r="G261" s="408" t="s">
        <v>1317</v>
      </c>
      <c r="H261" s="408" t="s">
        <v>1317</v>
      </c>
      <c r="I261" s="408" t="s">
        <v>1317</v>
      </c>
      <c r="J261" s="408" t="s">
        <v>2228</v>
      </c>
      <c r="K261" s="828">
        <v>44531</v>
      </c>
      <c r="L261" s="408">
        <v>0</v>
      </c>
      <c r="M261" s="408">
        <v>0</v>
      </c>
      <c r="N261" s="408">
        <v>-2.028</v>
      </c>
      <c r="O261" s="408">
        <v>-2.028</v>
      </c>
      <c r="P261" s="408">
        <v>-2.028</v>
      </c>
      <c r="Q261" s="408">
        <v>-2.028</v>
      </c>
      <c r="R261" s="408"/>
      <c r="S261" s="408">
        <v>739.04</v>
      </c>
      <c r="T261" s="408">
        <v>252.22</v>
      </c>
      <c r="U261" s="408"/>
      <c r="V261" s="408">
        <v>-2010.2752799999998</v>
      </c>
      <c r="W261" s="408">
        <v>-2010.2752799999998</v>
      </c>
      <c r="X261" s="408">
        <v>-1374.9231600000001</v>
      </c>
      <c r="Y261" s="408">
        <v>0</v>
      </c>
      <c r="Z261" s="408">
        <v>-125.43820163226758</v>
      </c>
      <c r="AA261" s="408">
        <v>0</v>
      </c>
      <c r="AB261" s="408">
        <v>0</v>
      </c>
      <c r="AC261" s="408">
        <v>0</v>
      </c>
      <c r="AD261" s="408">
        <v>-250.45309405756456</v>
      </c>
      <c r="AE261" s="408">
        <v>-1028.1711976685569</v>
      </c>
      <c r="AF261" s="408">
        <v>-511.50777244327287</v>
      </c>
      <c r="AG261" s="408">
        <v>0</v>
      </c>
      <c r="AH261" s="408">
        <v>0</v>
      </c>
      <c r="AI261" s="408">
        <v>0</v>
      </c>
      <c r="AJ261" s="408">
        <v>0</v>
      </c>
      <c r="AK261" s="408">
        <v>0</v>
      </c>
      <c r="AL261" s="408">
        <v>-19.389767185150522</v>
      </c>
      <c r="AM261" s="408"/>
      <c r="AN261" s="408">
        <v>-4.7522094374634074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>
        <v>0</v>
      </c>
      <c r="BG261" s="408">
        <v>-70.56273486606031</v>
      </c>
      <c r="BH261" s="408">
        <v>0</v>
      </c>
      <c r="BI261" s="408">
        <v>0</v>
      </c>
      <c r="BJ261" s="408">
        <v>0</v>
      </c>
      <c r="BK261" s="408">
        <v>-15.31</v>
      </c>
      <c r="BL261" s="408">
        <v>0</v>
      </c>
      <c r="BM261" s="408"/>
      <c r="BN261" s="408"/>
      <c r="BO261" s="408"/>
      <c r="BP261" s="408"/>
      <c r="BQ261" s="408"/>
      <c r="BR261" s="408">
        <v>-164.97779999999995</v>
      </c>
      <c r="BS261" s="408"/>
      <c r="BT261" s="408"/>
      <c r="BU261" s="408"/>
      <c r="BV261" s="408">
        <v>-582.07050730933315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-1211.1386</v>
      </c>
      <c r="CJ261" s="408">
        <v>557.87608000000023</v>
      </c>
      <c r="CK261" s="408"/>
      <c r="CL261" s="408"/>
      <c r="CM261" s="408"/>
      <c r="CN261" s="408"/>
      <c r="CO261" s="408">
        <v>635.3521199999999</v>
      </c>
      <c r="CP261" s="408">
        <v>0</v>
      </c>
      <c r="CQ261" s="408"/>
      <c r="CR261" s="408">
        <v>4.9324953740594992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0.64368650711148234</v>
      </c>
      <c r="DA261" s="408">
        <v>0</v>
      </c>
      <c r="DB261" s="408">
        <v>0</v>
      </c>
      <c r="DC261" s="408">
        <v>7.1710132942826021E-8</v>
      </c>
      <c r="DD261" s="408">
        <v>0</v>
      </c>
      <c r="DE261" s="408">
        <v>0</v>
      </c>
      <c r="DF261" s="408">
        <v>0</v>
      </c>
      <c r="DG261" s="408">
        <v>9.8923891300728428E-9</v>
      </c>
      <c r="DH261" s="408">
        <v>0</v>
      </c>
      <c r="DI261" s="408">
        <v>3.6473777575168214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0.48711194354414999</v>
      </c>
      <c r="DP261" s="408">
        <v>0.15431908428466112</v>
      </c>
      <c r="DQ261" s="408">
        <v>0</v>
      </c>
      <c r="DR261" s="408">
        <v>0</v>
      </c>
      <c r="DS261" s="408"/>
      <c r="DT261" s="408"/>
      <c r="DU261" s="408"/>
      <c r="DV261" s="408">
        <v>-1028.1711976685569</v>
      </c>
      <c r="DW261" s="408">
        <v>0</v>
      </c>
      <c r="DX261" s="408">
        <v>0</v>
      </c>
      <c r="DY261" s="408">
        <v>635.35211999999979</v>
      </c>
      <c r="DZ261" s="408">
        <v>0</v>
      </c>
      <c r="EA261" s="408">
        <v>0</v>
      </c>
      <c r="EB261" s="408">
        <v>0</v>
      </c>
      <c r="EC261" s="408">
        <v>630.41815424096865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265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268</v>
      </c>
      <c r="B262" s="408" t="s">
        <v>2230</v>
      </c>
      <c r="C262" s="408" t="s">
        <v>2227</v>
      </c>
      <c r="D262" s="408" t="s">
        <v>2237</v>
      </c>
      <c r="E262" s="408" t="s">
        <v>969</v>
      </c>
      <c r="F262" s="408" t="s">
        <v>1317</v>
      </c>
      <c r="G262" s="408" t="s">
        <v>1317</v>
      </c>
      <c r="H262" s="408" t="s">
        <v>1317</v>
      </c>
      <c r="I262" s="408" t="s">
        <v>1317</v>
      </c>
      <c r="J262" s="408" t="s">
        <v>2228</v>
      </c>
      <c r="K262" s="828">
        <v>44531</v>
      </c>
      <c r="L262" s="408">
        <v>0</v>
      </c>
      <c r="M262" s="408">
        <v>0</v>
      </c>
      <c r="N262" s="408">
        <v>162.435</v>
      </c>
      <c r="O262" s="408">
        <v>162.435</v>
      </c>
      <c r="P262" s="408">
        <v>162.435</v>
      </c>
      <c r="Q262" s="408">
        <v>162.435</v>
      </c>
      <c r="R262" s="408"/>
      <c r="S262" s="408">
        <v>739.04</v>
      </c>
      <c r="T262" s="408">
        <v>252.22</v>
      </c>
      <c r="U262" s="408"/>
      <c r="V262" s="408">
        <v>161015.31809999997</v>
      </c>
      <c r="W262" s="408">
        <v>161015.31809999997</v>
      </c>
      <c r="X262" s="408">
        <v>110126.05695</v>
      </c>
      <c r="Y262" s="408">
        <v>0</v>
      </c>
      <c r="Z262" s="408">
        <v>10047.11749612297</v>
      </c>
      <c r="AA262" s="408">
        <v>0</v>
      </c>
      <c r="AB262" s="408">
        <v>0</v>
      </c>
      <c r="AC262" s="408">
        <v>0</v>
      </c>
      <c r="AD262" s="408">
        <v>20060.329552879932</v>
      </c>
      <c r="AE262" s="408">
        <v>82352.558428644988</v>
      </c>
      <c r="AF262" s="408">
        <v>40969.805235119835</v>
      </c>
      <c r="AG262" s="408">
        <v>0</v>
      </c>
      <c r="AH262" s="408">
        <v>0</v>
      </c>
      <c r="AI262" s="408">
        <v>0</v>
      </c>
      <c r="AJ262" s="408">
        <v>0</v>
      </c>
      <c r="AK262" s="408">
        <v>0</v>
      </c>
      <c r="AL262" s="408">
        <v>1553.0457755029215</v>
      </c>
      <c r="AM262" s="408"/>
      <c r="AN262" s="408">
        <v>380.63369821221329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>
        <v>0</v>
      </c>
      <c r="BG262" s="408">
        <v>5651.8036676373313</v>
      </c>
      <c r="BH262" s="408">
        <v>0</v>
      </c>
      <c r="BI262" s="408">
        <v>0</v>
      </c>
      <c r="BJ262" s="408">
        <v>0</v>
      </c>
      <c r="BK262" s="408">
        <v>8236.4699999999993</v>
      </c>
      <c r="BL262" s="408">
        <v>895</v>
      </c>
      <c r="BM262" s="408"/>
      <c r="BN262" s="408"/>
      <c r="BO262" s="408"/>
      <c r="BP262" s="408"/>
      <c r="BQ262" s="408"/>
      <c r="BR262" s="408">
        <v>13214.087249999995</v>
      </c>
      <c r="BS262" s="408"/>
      <c r="BT262" s="408"/>
      <c r="BU262" s="408"/>
      <c r="BV262" s="408">
        <v>46621.608902757165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96914.952799999999</v>
      </c>
      <c r="CJ262" s="408">
        <v>-44778.75205000001</v>
      </c>
      <c r="CK262" s="408"/>
      <c r="CL262" s="408"/>
      <c r="CM262" s="408"/>
      <c r="CN262" s="408"/>
      <c r="CO262" s="408">
        <v>-50889.261149999991</v>
      </c>
      <c r="CP262" s="408">
        <v>0</v>
      </c>
      <c r="CQ262" s="408"/>
      <c r="CR262" s="408">
        <v>-395.07390832612873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-51.556813502294972</v>
      </c>
      <c r="DA262" s="408">
        <v>0</v>
      </c>
      <c r="DB262" s="408">
        <v>0</v>
      </c>
      <c r="DC262" s="408">
        <v>-5.7436991482973099E-6</v>
      </c>
      <c r="DD262" s="408">
        <v>0</v>
      </c>
      <c r="DE262" s="408">
        <v>0</v>
      </c>
      <c r="DF262" s="408">
        <v>0</v>
      </c>
      <c r="DG262" s="408">
        <v>-7.9234268923755735E-7</v>
      </c>
      <c r="DH262" s="408">
        <v>0</v>
      </c>
      <c r="DI262" s="408">
        <v>-292.14093000110734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-39.015793170411143</v>
      </c>
      <c r="DP262" s="408">
        <v>-12.360365116261789</v>
      </c>
      <c r="DQ262" s="408">
        <v>0</v>
      </c>
      <c r="DR262" s="408">
        <v>0</v>
      </c>
      <c r="DS262" s="408"/>
      <c r="DT262" s="408"/>
      <c r="DU262" s="408"/>
      <c r="DV262" s="408">
        <v>82352.558428644988</v>
      </c>
      <c r="DW262" s="408">
        <v>0</v>
      </c>
      <c r="DX262" s="408">
        <v>0</v>
      </c>
      <c r="DY262" s="408">
        <v>-50889.261149999991</v>
      </c>
      <c r="DZ262" s="408">
        <v>0</v>
      </c>
      <c r="EA262" s="408">
        <v>0</v>
      </c>
      <c r="EB262" s="408">
        <v>0</v>
      </c>
      <c r="EC262" s="408">
        <v>-50494.06946949297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265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269</v>
      </c>
      <c r="B263" s="408" t="s">
        <v>1031</v>
      </c>
      <c r="C263" s="408" t="s">
        <v>2235</v>
      </c>
      <c r="D263" s="408" t="s">
        <v>596</v>
      </c>
      <c r="E263" s="408" t="s">
        <v>969</v>
      </c>
      <c r="F263" s="408" t="s">
        <v>1317</v>
      </c>
      <c r="G263" s="408" t="s">
        <v>1317</v>
      </c>
      <c r="H263" s="408" t="s">
        <v>1317</v>
      </c>
      <c r="I263" s="408" t="s">
        <v>968</v>
      </c>
      <c r="J263" s="408" t="s">
        <v>2228</v>
      </c>
      <c r="K263" s="828">
        <v>44531</v>
      </c>
      <c r="L263" s="408">
        <v>0</v>
      </c>
      <c r="M263" s="408">
        <v>0</v>
      </c>
      <c r="N263" s="408">
        <v>3.4940000000000002</v>
      </c>
      <c r="O263" s="408">
        <v>3.3542399999999999</v>
      </c>
      <c r="P263" s="408">
        <v>3.4940000000000002</v>
      </c>
      <c r="Q263" s="408">
        <v>3.3542399999999999</v>
      </c>
      <c r="R263" s="408"/>
      <c r="S263" s="408">
        <v>2641.06</v>
      </c>
      <c r="T263" s="408">
        <v>252.22</v>
      </c>
      <c r="U263" s="408"/>
      <c r="V263" s="408">
        <v>10109.12032</v>
      </c>
      <c r="W263" s="408">
        <v>10109.12032</v>
      </c>
      <c r="X263" s="408">
        <v>6000.3859600000005</v>
      </c>
      <c r="Y263" s="408">
        <v>0</v>
      </c>
      <c r="Z263" s="408">
        <v>188.0199884406974</v>
      </c>
      <c r="AA263" s="408">
        <v>0</v>
      </c>
      <c r="AB263" s="408">
        <v>0</v>
      </c>
      <c r="AC263" s="408">
        <v>0</v>
      </c>
      <c r="AD263" s="408">
        <v>2263.2978649440943</v>
      </c>
      <c r="AE263" s="408">
        <v>6680.8436504066385</v>
      </c>
      <c r="AF263" s="408">
        <v>881.26634956449482</v>
      </c>
      <c r="AG263" s="408">
        <v>0</v>
      </c>
      <c r="AH263" s="408">
        <v>0</v>
      </c>
      <c r="AI263" s="408">
        <v>0</v>
      </c>
      <c r="AJ263" s="408">
        <v>0</v>
      </c>
      <c r="AK263" s="408">
        <v>0</v>
      </c>
      <c r="AL263" s="408">
        <v>33.406235968893455</v>
      </c>
      <c r="AM263" s="408"/>
      <c r="AN263" s="408">
        <v>8.4062360449104911</v>
      </c>
      <c r="AO263" s="408">
        <v>0</v>
      </c>
      <c r="AP263" s="408">
        <v>0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>
        <v>0</v>
      </c>
      <c r="BG263" s="408">
        <v>53.88740740589558</v>
      </c>
      <c r="BH263" s="408">
        <v>0</v>
      </c>
      <c r="BI263" s="408">
        <v>0</v>
      </c>
      <c r="BJ263" s="408">
        <v>0</v>
      </c>
      <c r="BK263" s="408">
        <v>0</v>
      </c>
      <c r="BL263" s="408">
        <v>0</v>
      </c>
      <c r="BM263" s="408"/>
      <c r="BN263" s="408"/>
      <c r="BO263" s="408"/>
      <c r="BP263" s="408"/>
      <c r="BQ263" s="408"/>
      <c r="BR263" s="408">
        <v>240.01543840000053</v>
      </c>
      <c r="BS263" s="408"/>
      <c r="BT263" s="408"/>
      <c r="BU263" s="408"/>
      <c r="BV263" s="408">
        <v>935.15375697039042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5753.0889999999999</v>
      </c>
      <c r="CJ263" s="408">
        <v>-3951.6965072000003</v>
      </c>
      <c r="CK263" s="408"/>
      <c r="CL263" s="408"/>
      <c r="CM263" s="408"/>
      <c r="CN263" s="408"/>
      <c r="CO263" s="408">
        <v>-4108.7343600000004</v>
      </c>
      <c r="CP263" s="408">
        <v>0</v>
      </c>
      <c r="CQ263" s="408"/>
      <c r="CR263" s="408">
        <v>-12.396160912446248</v>
      </c>
      <c r="CS263" s="408">
        <v>0</v>
      </c>
      <c r="CT263" s="408">
        <v>0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-5.8168748232974394</v>
      </c>
      <c r="DA263" s="408">
        <v>0</v>
      </c>
      <c r="DB263" s="408">
        <v>0</v>
      </c>
      <c r="DC263" s="408">
        <v>-1.2354792033875128E-7</v>
      </c>
      <c r="DD263" s="408">
        <v>0</v>
      </c>
      <c r="DE263" s="408">
        <v>0</v>
      </c>
      <c r="DF263" s="408">
        <v>0</v>
      </c>
      <c r="DG263" s="408">
        <v>-7.554724845704186E-9</v>
      </c>
      <c r="DH263" s="408">
        <v>0</v>
      </c>
      <c r="DI263" s="408">
        <v>-5.4670739446471828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-0.83923527156965605</v>
      </c>
      <c r="DP263" s="408">
        <v>-0.27297674182976195</v>
      </c>
      <c r="DQ263" s="408">
        <v>0</v>
      </c>
      <c r="DR263" s="408">
        <v>0</v>
      </c>
      <c r="DS263" s="408"/>
      <c r="DT263" s="408"/>
      <c r="DU263" s="408"/>
      <c r="DV263" s="408">
        <v>6680.8436504066385</v>
      </c>
      <c r="DW263" s="408">
        <v>0</v>
      </c>
      <c r="DX263" s="408">
        <v>0</v>
      </c>
      <c r="DY263" s="408">
        <v>-4108.7343599999995</v>
      </c>
      <c r="DZ263" s="408">
        <v>0</v>
      </c>
      <c r="EA263" s="408">
        <v>0</v>
      </c>
      <c r="EB263" s="408">
        <v>0</v>
      </c>
      <c r="EC263" s="408">
        <v>-4096.3266938542911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265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270</v>
      </c>
      <c r="B264" s="408" t="s">
        <v>1031</v>
      </c>
      <c r="C264" s="408" t="s">
        <v>2235</v>
      </c>
      <c r="D264" s="408" t="s">
        <v>596</v>
      </c>
      <c r="E264" s="408" t="s">
        <v>969</v>
      </c>
      <c r="F264" s="408" t="s">
        <v>1317</v>
      </c>
      <c r="G264" s="408" t="s">
        <v>1317</v>
      </c>
      <c r="H264" s="408" t="s">
        <v>1317</v>
      </c>
      <c r="I264" s="408" t="s">
        <v>2236</v>
      </c>
      <c r="J264" s="408" t="s">
        <v>2228</v>
      </c>
      <c r="K264" s="828">
        <v>44531</v>
      </c>
      <c r="L264" s="408">
        <v>0</v>
      </c>
      <c r="M264" s="408">
        <v>0</v>
      </c>
      <c r="N264" s="408">
        <v>31.939</v>
      </c>
      <c r="O264" s="408">
        <v>30.661439999999999</v>
      </c>
      <c r="P264" s="408">
        <v>31.939</v>
      </c>
      <c r="Q264" s="408">
        <v>30.661439999999999</v>
      </c>
      <c r="R264" s="408"/>
      <c r="S264" s="408">
        <v>81.2</v>
      </c>
      <c r="T264" s="408">
        <v>252.22</v>
      </c>
      <c r="U264" s="408"/>
      <c r="V264" s="408">
        <v>10649.10138</v>
      </c>
      <c r="W264" s="408">
        <v>10649.10138</v>
      </c>
      <c r="X264" s="408">
        <v>10589.056060000001</v>
      </c>
      <c r="Y264" s="408">
        <v>0</v>
      </c>
      <c r="Z264" s="408">
        <v>1718.7093333736216</v>
      </c>
      <c r="AA264" s="408">
        <v>0</v>
      </c>
      <c r="AB264" s="408">
        <v>0</v>
      </c>
      <c r="AC264" s="408">
        <v>0</v>
      </c>
      <c r="AD264" s="408">
        <v>0</v>
      </c>
      <c r="AE264" s="408">
        <v>0</v>
      </c>
      <c r="AF264" s="408">
        <v>8055.742970446594</v>
      </c>
      <c r="AG264" s="408">
        <v>0</v>
      </c>
      <c r="AH264" s="408">
        <v>0</v>
      </c>
      <c r="AI264" s="408">
        <v>0</v>
      </c>
      <c r="AJ264" s="408">
        <v>0</v>
      </c>
      <c r="AK264" s="408">
        <v>0</v>
      </c>
      <c r="AL264" s="408">
        <v>305.36971110775272</v>
      </c>
      <c r="AM264" s="408"/>
      <c r="AN264" s="408">
        <v>76.842236130050424</v>
      </c>
      <c r="AO264" s="408">
        <v>0</v>
      </c>
      <c r="AP264" s="408">
        <v>0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492.59012740037173</v>
      </c>
      <c r="BH264" s="408">
        <v>0</v>
      </c>
      <c r="BI264" s="408">
        <v>0</v>
      </c>
      <c r="BJ264" s="408">
        <v>0</v>
      </c>
      <c r="BK264" s="408">
        <v>0</v>
      </c>
      <c r="BL264" s="408">
        <v>0</v>
      </c>
      <c r="BM264" s="408"/>
      <c r="BN264" s="408"/>
      <c r="BO264" s="408"/>
      <c r="BP264" s="408"/>
      <c r="BQ264" s="408"/>
      <c r="BR264" s="408">
        <v>423.56224240000034</v>
      </c>
      <c r="BS264" s="408"/>
      <c r="BT264" s="408"/>
      <c r="BU264" s="408"/>
      <c r="BV264" s="408">
        <v>8548.3330978469658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10165.0164</v>
      </c>
      <c r="CJ264" s="408">
        <v>-58.150924800000212</v>
      </c>
      <c r="CK264" s="408"/>
      <c r="CL264" s="408"/>
      <c r="CM264" s="408"/>
      <c r="CN264" s="408"/>
      <c r="CO264" s="408">
        <v>-60.045320000000309</v>
      </c>
      <c r="CP264" s="408">
        <v>0</v>
      </c>
      <c r="CQ264" s="408"/>
      <c r="CR264" s="408">
        <v>-60.141905667242099</v>
      </c>
      <c r="CS264" s="408">
        <v>0</v>
      </c>
      <c r="CT264" s="408">
        <v>0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0</v>
      </c>
      <c r="DA264" s="408">
        <v>0</v>
      </c>
      <c r="DB264" s="408">
        <v>0</v>
      </c>
      <c r="DC264" s="408">
        <v>-1.1293641364318319E-6</v>
      </c>
      <c r="DD264" s="408">
        <v>0</v>
      </c>
      <c r="DE264" s="408">
        <v>0</v>
      </c>
      <c r="DF264" s="408">
        <v>0</v>
      </c>
      <c r="DG264" s="408">
        <v>-6.9058501139807049E-8</v>
      </c>
      <c r="DH264" s="408">
        <v>0</v>
      </c>
      <c r="DI264" s="408">
        <v>-49.975064315422514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-7.6715327242882836</v>
      </c>
      <c r="DP264" s="408">
        <v>-2.495307429107271</v>
      </c>
      <c r="DQ264" s="408">
        <v>0</v>
      </c>
      <c r="DR264" s="408">
        <v>0</v>
      </c>
      <c r="DS264" s="408"/>
      <c r="DT264" s="408"/>
      <c r="DU264" s="408"/>
      <c r="DV264" s="408">
        <v>0</v>
      </c>
      <c r="DW264" s="408">
        <v>0</v>
      </c>
      <c r="DX264" s="408">
        <v>0</v>
      </c>
      <c r="DY264" s="408">
        <v>-60.045320000000174</v>
      </c>
      <c r="DZ264" s="408">
        <v>0</v>
      </c>
      <c r="EA264" s="408">
        <v>0</v>
      </c>
      <c r="EB264" s="408">
        <v>0</v>
      </c>
      <c r="EC264" s="408">
        <v>0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265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271</v>
      </c>
      <c r="B265" s="408" t="s">
        <v>1031</v>
      </c>
      <c r="C265" s="408" t="s">
        <v>2235</v>
      </c>
      <c r="D265" s="408" t="s">
        <v>596</v>
      </c>
      <c r="E265" s="408" t="s">
        <v>969</v>
      </c>
      <c r="F265" s="408" t="s">
        <v>1317</v>
      </c>
      <c r="G265" s="408" t="s">
        <v>1317</v>
      </c>
      <c r="H265" s="408" t="s">
        <v>1317</v>
      </c>
      <c r="I265" s="408" t="s">
        <v>1317</v>
      </c>
      <c r="J265" s="408" t="s">
        <v>2228</v>
      </c>
      <c r="K265" s="828">
        <v>44531</v>
      </c>
      <c r="L265" s="408">
        <v>138</v>
      </c>
      <c r="M265" s="408">
        <v>132.47999999999999</v>
      </c>
      <c r="N265" s="408">
        <v>0</v>
      </c>
      <c r="O265" s="408">
        <v>0</v>
      </c>
      <c r="P265" s="408">
        <v>0</v>
      </c>
      <c r="Q265" s="408">
        <v>0</v>
      </c>
      <c r="R265" s="408">
        <v>74.44</v>
      </c>
      <c r="S265" s="408"/>
      <c r="T265" s="408"/>
      <c r="U265" s="408">
        <v>10272.719999999999</v>
      </c>
      <c r="V265" s="408"/>
      <c r="W265" s="408">
        <v>10272.719999999999</v>
      </c>
      <c r="X265" s="408">
        <v>6267.96</v>
      </c>
      <c r="Y265" s="408">
        <v>0</v>
      </c>
      <c r="Z265" s="408">
        <v>0</v>
      </c>
      <c r="AA265" s="408">
        <v>0</v>
      </c>
      <c r="AB265" s="408">
        <v>0</v>
      </c>
      <c r="AC265" s="408">
        <v>0</v>
      </c>
      <c r="AD265" s="408">
        <v>3755.9587692023483</v>
      </c>
      <c r="AE265" s="408">
        <v>6516.5722349165917</v>
      </c>
      <c r="AF265" s="408"/>
      <c r="AG265" s="408"/>
      <c r="AH265" s="408"/>
      <c r="AI265" s="408">
        <v>0</v>
      </c>
      <c r="AJ265" s="408">
        <v>0</v>
      </c>
      <c r="AK265" s="408">
        <v>0</v>
      </c>
      <c r="AL265" s="408">
        <v>0</v>
      </c>
      <c r="AM265" s="408"/>
      <c r="AN265" s="408">
        <v>0</v>
      </c>
      <c r="AO265" s="408">
        <v>0</v>
      </c>
      <c r="AP265" s="408">
        <v>0</v>
      </c>
      <c r="AQ265" s="408">
        <v>0</v>
      </c>
      <c r="AR265" s="408">
        <v>0</v>
      </c>
      <c r="AS265" s="408"/>
      <c r="AT265" s="408"/>
      <c r="AU265" s="408">
        <v>0</v>
      </c>
      <c r="AV265" s="408">
        <v>0</v>
      </c>
      <c r="AW265" s="408">
        <v>0</v>
      </c>
      <c r="AX265" s="408"/>
      <c r="AY265" s="408"/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/>
      <c r="BG265" s="408">
        <v>0</v>
      </c>
      <c r="BH265" s="408">
        <v>0</v>
      </c>
      <c r="BI265" s="408">
        <v>0</v>
      </c>
      <c r="BJ265" s="408">
        <v>0</v>
      </c>
      <c r="BK265" s="408">
        <v>16.86</v>
      </c>
      <c r="BL265" s="408">
        <v>2</v>
      </c>
      <c r="BM265" s="408"/>
      <c r="BN265" s="408"/>
      <c r="BO265" s="408"/>
      <c r="BP265" s="408"/>
      <c r="BQ265" s="408"/>
      <c r="BR265" s="408">
        <v>250.71840000000049</v>
      </c>
      <c r="BS265" s="408"/>
      <c r="BT265" s="408"/>
      <c r="BU265" s="408"/>
      <c r="BV265" s="408">
        <v>0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6017.2415999999994</v>
      </c>
      <c r="CJ265" s="408">
        <v>-3844.5995999999996</v>
      </c>
      <c r="CK265" s="408"/>
      <c r="CL265" s="408"/>
      <c r="CM265" s="408"/>
      <c r="CN265" s="408"/>
      <c r="CO265" s="408">
        <v>-4004.7599999999993</v>
      </c>
      <c r="CP265" s="408">
        <v>0</v>
      </c>
      <c r="CQ265" s="408"/>
      <c r="CR265" s="408">
        <v>-9.6531447938477868</v>
      </c>
      <c r="CS265" s="408">
        <v>0</v>
      </c>
      <c r="CT265" s="408">
        <v>0</v>
      </c>
      <c r="CU265" s="408">
        <v>0</v>
      </c>
      <c r="CV265" s="408">
        <v>0</v>
      </c>
      <c r="CW265" s="408"/>
      <c r="CX265" s="408"/>
      <c r="CY265" s="408"/>
      <c r="CZ265" s="408">
        <v>-9.6531447938477868</v>
      </c>
      <c r="DA265" s="408">
        <v>0</v>
      </c>
      <c r="DB265" s="408">
        <v>0</v>
      </c>
      <c r="DC265" s="408"/>
      <c r="DD265" s="408"/>
      <c r="DE265" s="408">
        <v>0</v>
      </c>
      <c r="DF265" s="408">
        <v>0</v>
      </c>
      <c r="DG265" s="408">
        <v>0</v>
      </c>
      <c r="DH265" s="408">
        <v>0</v>
      </c>
      <c r="DI265" s="408">
        <v>0</v>
      </c>
      <c r="DJ265" s="408"/>
      <c r="DK265" s="408">
        <v>0</v>
      </c>
      <c r="DL265" s="408">
        <v>0</v>
      </c>
      <c r="DM265" s="408"/>
      <c r="DN265" s="408">
        <v>0</v>
      </c>
      <c r="DO265" s="408">
        <v>0</v>
      </c>
      <c r="DP265" s="408">
        <v>0</v>
      </c>
      <c r="DQ265" s="408">
        <v>0</v>
      </c>
      <c r="DR265" s="408">
        <v>0</v>
      </c>
      <c r="DS265" s="408"/>
      <c r="DT265" s="408"/>
      <c r="DU265" s="408">
        <v>6516.5722349165917</v>
      </c>
      <c r="DV265" s="408"/>
      <c r="DW265" s="408">
        <v>0</v>
      </c>
      <c r="DX265" s="408">
        <v>0</v>
      </c>
      <c r="DY265" s="408">
        <v>-4004.7599999999993</v>
      </c>
      <c r="DZ265" s="408"/>
      <c r="EA265" s="408">
        <v>0</v>
      </c>
      <c r="EB265" s="408"/>
      <c r="EC265" s="408">
        <v>-3995.6044767929611</v>
      </c>
      <c r="ED265" s="408"/>
      <c r="EE265" s="408">
        <v>0</v>
      </c>
      <c r="EF265" s="408">
        <v>0</v>
      </c>
      <c r="EG265" s="408"/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/>
      <c r="EN265" s="408"/>
      <c r="EO265" s="408">
        <v>0</v>
      </c>
      <c r="EP265" s="408">
        <v>0</v>
      </c>
      <c r="EQ265" s="408"/>
      <c r="ER265" s="408">
        <v>0</v>
      </c>
      <c r="ES265" s="408"/>
      <c r="ET265" s="408">
        <v>0</v>
      </c>
      <c r="EU265" s="408"/>
      <c r="EV265" s="408">
        <v>265</v>
      </c>
      <c r="EW265" s="408"/>
      <c r="EX265" s="408"/>
      <c r="EY265" s="408"/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272</v>
      </c>
      <c r="B266" s="408" t="s">
        <v>2230</v>
      </c>
      <c r="C266" s="408" t="s">
        <v>2235</v>
      </c>
      <c r="D266" s="408" t="s">
        <v>596</v>
      </c>
      <c r="E266" s="408" t="s">
        <v>969</v>
      </c>
      <c r="F266" s="408" t="s">
        <v>1317</v>
      </c>
      <c r="G266" s="408" t="s">
        <v>1317</v>
      </c>
      <c r="H266" s="408" t="s">
        <v>1317</v>
      </c>
      <c r="I266" s="408" t="s">
        <v>1317</v>
      </c>
      <c r="J266" s="408" t="s">
        <v>2228</v>
      </c>
      <c r="K266" s="828">
        <v>44531</v>
      </c>
      <c r="L266" s="408">
        <v>331</v>
      </c>
      <c r="M266" s="408">
        <v>317.76</v>
      </c>
      <c r="N266" s="408">
        <v>0</v>
      </c>
      <c r="O266" s="408">
        <v>0</v>
      </c>
      <c r="P266" s="408">
        <v>0</v>
      </c>
      <c r="Q266" s="408">
        <v>0</v>
      </c>
      <c r="R266" s="408">
        <v>74.44</v>
      </c>
      <c r="S266" s="408"/>
      <c r="T266" s="408"/>
      <c r="U266" s="408">
        <v>24639.64</v>
      </c>
      <c r="V266" s="408"/>
      <c r="W266" s="408">
        <v>24639.64</v>
      </c>
      <c r="X266" s="408">
        <v>15034.02</v>
      </c>
      <c r="Y266" s="408">
        <v>0</v>
      </c>
      <c r="Z266" s="408">
        <v>0</v>
      </c>
      <c r="AA266" s="408">
        <v>0</v>
      </c>
      <c r="AB266" s="408">
        <v>0</v>
      </c>
      <c r="AC266" s="408">
        <v>0</v>
      </c>
      <c r="AD266" s="408">
        <v>9008.8576275795458</v>
      </c>
      <c r="AE266" s="408">
        <v>15630.329056212984</v>
      </c>
      <c r="AF266" s="408"/>
      <c r="AG266" s="408"/>
      <c r="AH266" s="408"/>
      <c r="AI266" s="408">
        <v>0</v>
      </c>
      <c r="AJ266" s="408">
        <v>0</v>
      </c>
      <c r="AK266" s="408">
        <v>0</v>
      </c>
      <c r="AL266" s="408">
        <v>0</v>
      </c>
      <c r="AM266" s="408"/>
      <c r="AN266" s="408">
        <v>0</v>
      </c>
      <c r="AO266" s="408">
        <v>0</v>
      </c>
      <c r="AP266" s="408">
        <v>0</v>
      </c>
      <c r="AQ266" s="408">
        <v>0</v>
      </c>
      <c r="AR266" s="408">
        <v>0</v>
      </c>
      <c r="AS266" s="408"/>
      <c r="AT266" s="408"/>
      <c r="AU266" s="408">
        <v>0</v>
      </c>
      <c r="AV266" s="408">
        <v>0</v>
      </c>
      <c r="AW266" s="408">
        <v>0</v>
      </c>
      <c r="AX266" s="408"/>
      <c r="AY266" s="408"/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/>
      <c r="BG266" s="408">
        <v>0</v>
      </c>
      <c r="BH266" s="408">
        <v>0</v>
      </c>
      <c r="BI266" s="408">
        <v>0</v>
      </c>
      <c r="BJ266" s="408">
        <v>0</v>
      </c>
      <c r="BK266" s="408">
        <v>13.36</v>
      </c>
      <c r="BL266" s="408">
        <v>4</v>
      </c>
      <c r="BM266" s="408"/>
      <c r="BN266" s="408"/>
      <c r="BO266" s="408"/>
      <c r="BP266" s="408"/>
      <c r="BQ266" s="408"/>
      <c r="BR266" s="408">
        <v>601.36080000000038</v>
      </c>
      <c r="BS266" s="408"/>
      <c r="BT266" s="408"/>
      <c r="BU266" s="408"/>
      <c r="BV266" s="408">
        <v>0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14432.6592</v>
      </c>
      <c r="CJ266" s="408">
        <v>-9221.4251999999924</v>
      </c>
      <c r="CK266" s="408"/>
      <c r="CL266" s="408"/>
      <c r="CM266" s="408"/>
      <c r="CN266" s="408"/>
      <c r="CO266" s="408">
        <v>-9605.619999999999</v>
      </c>
      <c r="CP266" s="408">
        <v>0</v>
      </c>
      <c r="CQ266" s="408"/>
      <c r="CR266" s="408">
        <v>-23.153557440316945</v>
      </c>
      <c r="CS266" s="408">
        <v>0</v>
      </c>
      <c r="CT266" s="408">
        <v>0</v>
      </c>
      <c r="CU266" s="408">
        <v>0</v>
      </c>
      <c r="CV266" s="408">
        <v>0</v>
      </c>
      <c r="CW266" s="408"/>
      <c r="CX266" s="408"/>
      <c r="CY266" s="408"/>
      <c r="CZ266" s="408">
        <v>-23.153557440316945</v>
      </c>
      <c r="DA266" s="408">
        <v>0</v>
      </c>
      <c r="DB266" s="408">
        <v>0</v>
      </c>
      <c r="DC266" s="408"/>
      <c r="DD266" s="408"/>
      <c r="DE266" s="408">
        <v>0</v>
      </c>
      <c r="DF266" s="408">
        <v>0</v>
      </c>
      <c r="DG266" s="408">
        <v>0</v>
      </c>
      <c r="DH266" s="408">
        <v>0</v>
      </c>
      <c r="DI266" s="408">
        <v>0</v>
      </c>
      <c r="DJ266" s="408"/>
      <c r="DK266" s="408">
        <v>0</v>
      </c>
      <c r="DL266" s="408">
        <v>0</v>
      </c>
      <c r="DM266" s="408"/>
      <c r="DN266" s="408">
        <v>0</v>
      </c>
      <c r="DO266" s="408">
        <v>0</v>
      </c>
      <c r="DP266" s="408">
        <v>0</v>
      </c>
      <c r="DQ266" s="408">
        <v>0</v>
      </c>
      <c r="DR266" s="408">
        <v>0</v>
      </c>
      <c r="DS266" s="408"/>
      <c r="DT266" s="408"/>
      <c r="DU266" s="408">
        <v>15630.329056212984</v>
      </c>
      <c r="DV266" s="408"/>
      <c r="DW266" s="408">
        <v>0</v>
      </c>
      <c r="DX266" s="408">
        <v>0</v>
      </c>
      <c r="DY266" s="408">
        <v>-9605.619999999999</v>
      </c>
      <c r="DZ266" s="408"/>
      <c r="EA266" s="408">
        <v>0</v>
      </c>
      <c r="EB266" s="408"/>
      <c r="EC266" s="408">
        <v>-9583.6600131773193</v>
      </c>
      <c r="ED266" s="408"/>
      <c r="EE266" s="408">
        <v>0</v>
      </c>
      <c r="EF266" s="408">
        <v>0</v>
      </c>
      <c r="EG266" s="408"/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/>
      <c r="EN266" s="408"/>
      <c r="EO266" s="408">
        <v>0</v>
      </c>
      <c r="EP266" s="408">
        <v>0</v>
      </c>
      <c r="EQ266" s="408"/>
      <c r="ER266" s="408">
        <v>0</v>
      </c>
      <c r="ES266" s="408"/>
      <c r="ET266" s="408">
        <v>0</v>
      </c>
      <c r="EU266" s="408"/>
      <c r="EV266" s="408">
        <v>265</v>
      </c>
      <c r="EW266" s="408"/>
      <c r="EX266" s="408"/>
      <c r="EY266" s="408"/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273</v>
      </c>
      <c r="B267" s="408" t="s">
        <v>1031</v>
      </c>
      <c r="C267" s="408" t="s">
        <v>2227</v>
      </c>
      <c r="D267" s="408" t="s">
        <v>1952</v>
      </c>
      <c r="E267" s="408" t="s">
        <v>2238</v>
      </c>
      <c r="F267" s="408" t="s">
        <v>1317</v>
      </c>
      <c r="G267" s="408" t="s">
        <v>1317</v>
      </c>
      <c r="H267" s="408" t="s">
        <v>1317</v>
      </c>
      <c r="I267" s="408" t="s">
        <v>1317</v>
      </c>
      <c r="J267" s="408" t="s">
        <v>2228</v>
      </c>
      <c r="K267" s="828">
        <v>44531</v>
      </c>
      <c r="L267" s="408">
        <v>0</v>
      </c>
      <c r="M267" s="408">
        <v>0</v>
      </c>
      <c r="N267" s="408">
        <v>196.46600000000001</v>
      </c>
      <c r="O267" s="408">
        <v>196.46600000000001</v>
      </c>
      <c r="P267" s="408">
        <v>196.46600000000001</v>
      </c>
      <c r="Q267" s="408">
        <v>196.46600000000001</v>
      </c>
      <c r="R267" s="408"/>
      <c r="S267" s="408">
        <v>739.04</v>
      </c>
      <c r="T267" s="408">
        <v>252.22</v>
      </c>
      <c r="U267" s="408"/>
      <c r="V267" s="408">
        <v>194748.88716000001</v>
      </c>
      <c r="W267" s="408">
        <v>194748.88716000001</v>
      </c>
      <c r="X267" s="408">
        <v>133198.05402000001</v>
      </c>
      <c r="Y267" s="408">
        <v>0</v>
      </c>
      <c r="Z267" s="408">
        <v>12152.042269174104</v>
      </c>
      <c r="AA267" s="408">
        <v>0</v>
      </c>
      <c r="AB267" s="408">
        <v>0</v>
      </c>
      <c r="AC267" s="408">
        <v>0</v>
      </c>
      <c r="AD267" s="408">
        <v>24263.075728359705</v>
      </c>
      <c r="AE267" s="408">
        <v>99605.859231336639</v>
      </c>
      <c r="AF267" s="408">
        <v>49553.198235128228</v>
      </c>
      <c r="AG267" s="408">
        <v>0</v>
      </c>
      <c r="AH267" s="408">
        <v>0</v>
      </c>
      <c r="AI267" s="408">
        <v>0</v>
      </c>
      <c r="AJ267" s="408">
        <v>0</v>
      </c>
      <c r="AK267" s="408">
        <v>0</v>
      </c>
      <c r="AL267" s="408">
        <v>1878.4171596636008</v>
      </c>
      <c r="AM267" s="408"/>
      <c r="AN267" s="408">
        <v>460.37849079915475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6835.8867200174591</v>
      </c>
      <c r="BH267" s="408">
        <v>0</v>
      </c>
      <c r="BI267" s="408">
        <v>0</v>
      </c>
      <c r="BJ267" s="408">
        <v>0</v>
      </c>
      <c r="BK267" s="408">
        <v>64118.89</v>
      </c>
      <c r="BL267" s="408">
        <v>366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56389.084955145685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133200.7659</v>
      </c>
      <c r="CJ267" s="408">
        <v>-61548.151260000042</v>
      </c>
      <c r="CK267" s="408"/>
      <c r="CL267" s="408"/>
      <c r="CM267" s="408"/>
      <c r="CN267" s="408"/>
      <c r="CO267" s="408">
        <v>-61550.833139999995</v>
      </c>
      <c r="CP267" s="408">
        <v>0</v>
      </c>
      <c r="CQ267" s="408"/>
      <c r="CR267" s="408">
        <v>-477.84400205127895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-62.358241275229375</v>
      </c>
      <c r="DA267" s="408">
        <v>0</v>
      </c>
      <c r="DB267" s="408">
        <v>0</v>
      </c>
      <c r="DC267" s="408">
        <v>-6.94704067427665E-6</v>
      </c>
      <c r="DD267" s="408">
        <v>0</v>
      </c>
      <c r="DE267" s="408">
        <v>0</v>
      </c>
      <c r="DF267" s="408">
        <v>0</v>
      </c>
      <c r="DG267" s="408">
        <v>-9.5834275271045044E-7</v>
      </c>
      <c r="DH267" s="408">
        <v>0</v>
      </c>
      <c r="DI267" s="408">
        <v>-353.34601504354214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-47.189810207270739</v>
      </c>
      <c r="DP267" s="408">
        <v>-14.949927619857078</v>
      </c>
      <c r="DQ267" s="408">
        <v>0</v>
      </c>
      <c r="DR267" s="408">
        <v>0</v>
      </c>
      <c r="DS267" s="408"/>
      <c r="DT267" s="408"/>
      <c r="DU267" s="408"/>
      <c r="DV267" s="408">
        <v>99605.859231336639</v>
      </c>
      <c r="DW267" s="408">
        <v>0</v>
      </c>
      <c r="DX267" s="408">
        <v>0</v>
      </c>
      <c r="DY267" s="408">
        <v>-61550.833140000002</v>
      </c>
      <c r="DZ267" s="408">
        <v>0</v>
      </c>
      <c r="EA267" s="408">
        <v>0</v>
      </c>
      <c r="EB267" s="408">
        <v>0</v>
      </c>
      <c r="EC267" s="408">
        <v>-61072.846691866936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265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274</v>
      </c>
      <c r="B268" s="408" t="s">
        <v>2230</v>
      </c>
      <c r="C268" s="408" t="s">
        <v>2227</v>
      </c>
      <c r="D268" s="408" t="s">
        <v>1952</v>
      </c>
      <c r="E268" s="408" t="s">
        <v>2238</v>
      </c>
      <c r="F268" s="408" t="s">
        <v>1317</v>
      </c>
      <c r="G268" s="408" t="s">
        <v>1317</v>
      </c>
      <c r="H268" s="408" t="s">
        <v>1317</v>
      </c>
      <c r="I268" s="408" t="s">
        <v>1317</v>
      </c>
      <c r="J268" s="408" t="s">
        <v>2228</v>
      </c>
      <c r="K268" s="828">
        <v>44531</v>
      </c>
      <c r="L268" s="408">
        <v>0</v>
      </c>
      <c r="M268" s="408">
        <v>0</v>
      </c>
      <c r="N268" s="408">
        <v>0.56000000000000005</v>
      </c>
      <c r="O268" s="408">
        <v>0.56000000000000005</v>
      </c>
      <c r="P268" s="408">
        <v>0.56000000000000005</v>
      </c>
      <c r="Q268" s="408">
        <v>0.56000000000000005</v>
      </c>
      <c r="R268" s="408"/>
      <c r="S268" s="408">
        <v>739.04</v>
      </c>
      <c r="T268" s="408">
        <v>252.22</v>
      </c>
      <c r="U268" s="408"/>
      <c r="V268" s="408">
        <v>555.10560000000009</v>
      </c>
      <c r="W268" s="408">
        <v>555.10560000000009</v>
      </c>
      <c r="X268" s="408">
        <v>379.66320000000002</v>
      </c>
      <c r="Y268" s="408">
        <v>0</v>
      </c>
      <c r="Z268" s="408">
        <v>34.637767709107422</v>
      </c>
      <c r="AA268" s="408">
        <v>0</v>
      </c>
      <c r="AB268" s="408">
        <v>0</v>
      </c>
      <c r="AC268" s="408">
        <v>0</v>
      </c>
      <c r="AD268" s="408">
        <v>69.158645301891596</v>
      </c>
      <c r="AE268" s="408">
        <v>283.91315122997628</v>
      </c>
      <c r="AF268" s="408">
        <v>141.24474978709705</v>
      </c>
      <c r="AG268" s="408">
        <v>0</v>
      </c>
      <c r="AH268" s="408">
        <v>0</v>
      </c>
      <c r="AI268" s="408">
        <v>0</v>
      </c>
      <c r="AJ268" s="408">
        <v>0</v>
      </c>
      <c r="AK268" s="408">
        <v>0</v>
      </c>
      <c r="AL268" s="408">
        <v>5.3541763430395921</v>
      </c>
      <c r="AM268" s="408"/>
      <c r="AN268" s="408">
        <v>1.3122471819425585</v>
      </c>
      <c r="AO268" s="408">
        <v>0</v>
      </c>
      <c r="AP268" s="408">
        <v>0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>
        <v>0</v>
      </c>
      <c r="BG268" s="408">
        <v>19.484778858478197</v>
      </c>
      <c r="BH268" s="408">
        <v>0</v>
      </c>
      <c r="BI268" s="408">
        <v>0</v>
      </c>
      <c r="BJ268" s="408">
        <v>0</v>
      </c>
      <c r="BK268" s="408">
        <v>317.18</v>
      </c>
      <c r="BL268" s="408">
        <v>2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>
        <v>160.72952864557524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379.66320000000002</v>
      </c>
      <c r="CJ268" s="408">
        <v>-175.47240000000005</v>
      </c>
      <c r="CK268" s="408"/>
      <c r="CL268" s="408"/>
      <c r="CM268" s="408"/>
      <c r="CN268" s="408"/>
      <c r="CO268" s="408">
        <v>-175.44239999999999</v>
      </c>
      <c r="CP268" s="408">
        <v>0</v>
      </c>
      <c r="CQ268" s="408"/>
      <c r="CR268" s="408">
        <v>-1.3620302808052998</v>
      </c>
      <c r="CS268" s="408">
        <v>0</v>
      </c>
      <c r="CT268" s="408">
        <v>0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-0.17774380866983108</v>
      </c>
      <c r="DA268" s="408">
        <v>0</v>
      </c>
      <c r="DB268" s="408">
        <v>0</v>
      </c>
      <c r="DC268" s="408">
        <v>-1.9801603912128485E-8</v>
      </c>
      <c r="DD268" s="408">
        <v>0</v>
      </c>
      <c r="DE268" s="408">
        <v>0</v>
      </c>
      <c r="DF268" s="408">
        <v>0</v>
      </c>
      <c r="DG268" s="408">
        <v>-2.7316282569245232E-9</v>
      </c>
      <c r="DH268" s="408">
        <v>0</v>
      </c>
      <c r="DI268" s="408">
        <v>-1.0071654557245679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-0.1345082289865509</v>
      </c>
      <c r="DP268" s="408">
        <v>-4.2612764891228005E-2</v>
      </c>
      <c r="DQ268" s="408">
        <v>0</v>
      </c>
      <c r="DR268" s="408">
        <v>0</v>
      </c>
      <c r="DS268" s="408"/>
      <c r="DT268" s="408"/>
      <c r="DU268" s="408"/>
      <c r="DV268" s="408">
        <v>283.91315122997628</v>
      </c>
      <c r="DW268" s="408">
        <v>0</v>
      </c>
      <c r="DX268" s="408">
        <v>0</v>
      </c>
      <c r="DY268" s="408">
        <v>-175.44240000000002</v>
      </c>
      <c r="DZ268" s="408">
        <v>0</v>
      </c>
      <c r="EA268" s="408">
        <v>0</v>
      </c>
      <c r="EB268" s="408">
        <v>0</v>
      </c>
      <c r="EC268" s="408">
        <v>-174.07996369573098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265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275</v>
      </c>
      <c r="B269" s="408" t="s">
        <v>1031</v>
      </c>
      <c r="C269" s="408" t="s">
        <v>2227</v>
      </c>
      <c r="D269" s="408" t="s">
        <v>2240</v>
      </c>
      <c r="E269" s="408" t="s">
        <v>2241</v>
      </c>
      <c r="F269" s="408" t="s">
        <v>2242</v>
      </c>
      <c r="G269" s="408" t="s">
        <v>1317</v>
      </c>
      <c r="H269" s="408" t="s">
        <v>1317</v>
      </c>
      <c r="I269" s="408" t="s">
        <v>1317</v>
      </c>
      <c r="J269" s="408" t="s">
        <v>2228</v>
      </c>
      <c r="K269" s="828">
        <v>44531</v>
      </c>
      <c r="L269" s="408">
        <v>0</v>
      </c>
      <c r="M269" s="408">
        <v>0</v>
      </c>
      <c r="N269" s="408">
        <v>387.53300000000002</v>
      </c>
      <c r="O269" s="408">
        <v>387.53300000000002</v>
      </c>
      <c r="P269" s="408">
        <v>387.53300000000002</v>
      </c>
      <c r="Q269" s="408">
        <v>387.53300000000002</v>
      </c>
      <c r="R269" s="408"/>
      <c r="S269" s="408">
        <v>406.47</v>
      </c>
      <c r="T269" s="408">
        <v>138.72</v>
      </c>
      <c r="U269" s="408"/>
      <c r="V269" s="408">
        <v>211279.11627</v>
      </c>
      <c r="W269" s="408">
        <v>211279.11627</v>
      </c>
      <c r="X269" s="408">
        <v>144503.30504000001</v>
      </c>
      <c r="Y269" s="408">
        <v>0</v>
      </c>
      <c r="Z269" s="408">
        <v>13183.576640156118</v>
      </c>
      <c r="AA269" s="408">
        <v>0</v>
      </c>
      <c r="AB269" s="408">
        <v>0</v>
      </c>
      <c r="AC269" s="408">
        <v>0</v>
      </c>
      <c r="AD269" s="408">
        <v>26322.66340960345</v>
      </c>
      <c r="AE269" s="408">
        <v>108060.97032068485</v>
      </c>
      <c r="AF269" s="408">
        <v>53759.55516175642</v>
      </c>
      <c r="AG269" s="408">
        <v>0</v>
      </c>
      <c r="AH269" s="408">
        <v>0</v>
      </c>
      <c r="AI269" s="408">
        <v>0</v>
      </c>
      <c r="AJ269" s="408">
        <v>0</v>
      </c>
      <c r="AK269" s="408">
        <v>0</v>
      </c>
      <c r="AL269" s="408">
        <v>2037.8678775195347</v>
      </c>
      <c r="AM269" s="408"/>
      <c r="AN269" s="408">
        <v>499.45803203189411</v>
      </c>
      <c r="AO269" s="408">
        <v>0</v>
      </c>
      <c r="AP269" s="408">
        <v>0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7416.1556124097224</v>
      </c>
      <c r="BH269" s="408">
        <v>0</v>
      </c>
      <c r="BI269" s="408">
        <v>0</v>
      </c>
      <c r="BJ269" s="408">
        <v>0</v>
      </c>
      <c r="BK269" s="408">
        <v>49882.7</v>
      </c>
      <c r="BL269" s="408">
        <v>66</v>
      </c>
      <c r="BM269" s="408"/>
      <c r="BN269" s="408"/>
      <c r="BO269" s="408"/>
      <c r="BP269" s="408"/>
      <c r="BQ269" s="408"/>
      <c r="BR269" s="408"/>
      <c r="BS269" s="408"/>
      <c r="BT269" s="408"/>
      <c r="BU269" s="408"/>
      <c r="BV269" s="408">
        <v>61175.710774166146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144502.18640000001</v>
      </c>
      <c r="CJ269" s="408">
        <v>-66776.959870000021</v>
      </c>
      <c r="CK269" s="408"/>
      <c r="CL269" s="408"/>
      <c r="CM269" s="408"/>
      <c r="CN269" s="408"/>
      <c r="CO269" s="408">
        <v>-66775.811230000021</v>
      </c>
      <c r="CP269" s="408">
        <v>0</v>
      </c>
      <c r="CQ269" s="408"/>
      <c r="CR269" s="408">
        <v>-518.40611508222355</v>
      </c>
      <c r="CS269" s="408">
        <v>0</v>
      </c>
      <c r="CT269" s="408">
        <v>0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-67.651562987357465</v>
      </c>
      <c r="DA269" s="408">
        <v>0</v>
      </c>
      <c r="DB269" s="408">
        <v>0</v>
      </c>
      <c r="DC269" s="408">
        <v>-7.5363495852798223E-6</v>
      </c>
      <c r="DD269" s="408">
        <v>0</v>
      </c>
      <c r="DE269" s="408">
        <v>0</v>
      </c>
      <c r="DF269" s="408">
        <v>0</v>
      </c>
      <c r="DG269" s="408">
        <v>-1.0396743164164945E-6</v>
      </c>
      <c r="DH269" s="408">
        <v>0</v>
      </c>
      <c r="DI269" s="408">
        <v>-383.3400317934229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-51.195549334134739</v>
      </c>
      <c r="DP269" s="408">
        <v>-16.218962391296998</v>
      </c>
      <c r="DQ269" s="408">
        <v>0</v>
      </c>
      <c r="DR269" s="408">
        <v>0</v>
      </c>
      <c r="DS269" s="408"/>
      <c r="DT269" s="408"/>
      <c r="DU269" s="408"/>
      <c r="DV269" s="408">
        <v>108060.97032068485</v>
      </c>
      <c r="DW269" s="408">
        <v>0</v>
      </c>
      <c r="DX269" s="408">
        <v>0</v>
      </c>
      <c r="DY269" s="408">
        <v>-66775.811230000007</v>
      </c>
      <c r="DZ269" s="408">
        <v>0</v>
      </c>
      <c r="EA269" s="408">
        <v>0</v>
      </c>
      <c r="EB269" s="408">
        <v>0</v>
      </c>
      <c r="EC269" s="408">
        <v>-66257.05681070307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265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276</v>
      </c>
      <c r="B270" s="408" t="s">
        <v>1031</v>
      </c>
      <c r="C270" s="408" t="s">
        <v>2227</v>
      </c>
      <c r="D270" s="408" t="s">
        <v>1952</v>
      </c>
      <c r="E270" s="408" t="s">
        <v>996</v>
      </c>
      <c r="F270" s="408" t="s">
        <v>2243</v>
      </c>
      <c r="G270" s="408" t="s">
        <v>1317</v>
      </c>
      <c r="H270" s="408" t="s">
        <v>1317</v>
      </c>
      <c r="I270" s="408" t="s">
        <v>1317</v>
      </c>
      <c r="J270" s="408" t="s">
        <v>2228</v>
      </c>
      <c r="K270" s="828">
        <v>44531</v>
      </c>
      <c r="L270" s="408">
        <v>0</v>
      </c>
      <c r="M270" s="408">
        <v>0</v>
      </c>
      <c r="N270" s="408">
        <v>85.683000000000007</v>
      </c>
      <c r="O270" s="408">
        <v>80.542019999999994</v>
      </c>
      <c r="P270" s="408">
        <v>85.683000000000007</v>
      </c>
      <c r="Q270" s="408">
        <v>80.542019999999994</v>
      </c>
      <c r="R270" s="408"/>
      <c r="S270" s="408">
        <v>739.04</v>
      </c>
      <c r="T270" s="408">
        <v>252.22</v>
      </c>
      <c r="U270" s="408"/>
      <c r="V270" s="408">
        <v>84934.130579999997</v>
      </c>
      <c r="W270" s="408">
        <v>84934.130579999997</v>
      </c>
      <c r="X270" s="408">
        <v>58090.503510000002</v>
      </c>
      <c r="Y270" s="408">
        <v>0</v>
      </c>
      <c r="Z270" s="408">
        <v>5299.7640189633057</v>
      </c>
      <c r="AA270" s="408">
        <v>0</v>
      </c>
      <c r="AB270" s="408">
        <v>0</v>
      </c>
      <c r="AC270" s="408">
        <v>0</v>
      </c>
      <c r="AD270" s="408">
        <v>10581.643223932104</v>
      </c>
      <c r="AE270" s="408">
        <v>43440.233101496531</v>
      </c>
      <c r="AF270" s="408">
        <v>21611.20338572828</v>
      </c>
      <c r="AG270" s="408">
        <v>0</v>
      </c>
      <c r="AH270" s="408">
        <v>0</v>
      </c>
      <c r="AI270" s="408">
        <v>0</v>
      </c>
      <c r="AJ270" s="408">
        <v>0</v>
      </c>
      <c r="AK270" s="408">
        <v>0</v>
      </c>
      <c r="AL270" s="408">
        <v>819.21766357260958</v>
      </c>
      <c r="AM270" s="408"/>
      <c r="AN270" s="408">
        <v>200.78084873282899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2981.2755480910487</v>
      </c>
      <c r="BH270" s="408">
        <v>0</v>
      </c>
      <c r="BI270" s="408">
        <v>0</v>
      </c>
      <c r="BJ270" s="408">
        <v>0</v>
      </c>
      <c r="BK270" s="408">
        <v>30102.7</v>
      </c>
      <c r="BL270" s="408">
        <v>28</v>
      </c>
      <c r="BM270" s="408"/>
      <c r="BN270" s="408"/>
      <c r="BO270" s="408"/>
      <c r="BP270" s="408"/>
      <c r="BQ270" s="408">
        <v>3485.4302106000091</v>
      </c>
      <c r="BR270" s="408"/>
      <c r="BS270" s="408"/>
      <c r="BT270" s="408"/>
      <c r="BU270" s="408"/>
      <c r="BV270" s="408">
        <v>24592.47893381933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54603.703800000003</v>
      </c>
      <c r="CJ270" s="408">
        <v>-25234.40894519999</v>
      </c>
      <c r="CK270" s="408"/>
      <c r="CL270" s="408"/>
      <c r="CM270" s="408"/>
      <c r="CN270" s="408"/>
      <c r="CO270" s="408">
        <v>-26843.627069999999</v>
      </c>
      <c r="CP270" s="408">
        <v>0</v>
      </c>
      <c r="CQ270" s="408"/>
      <c r="CR270" s="408">
        <v>-208.39792955401936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-27.195754925460278</v>
      </c>
      <c r="DA270" s="408">
        <v>0</v>
      </c>
      <c r="DB270" s="408">
        <v>0</v>
      </c>
      <c r="DC270" s="408">
        <v>-3.0297524062916636E-6</v>
      </c>
      <c r="DD270" s="408">
        <v>0</v>
      </c>
      <c r="DE270" s="408">
        <v>0</v>
      </c>
      <c r="DF270" s="408">
        <v>0</v>
      </c>
      <c r="DG270" s="408">
        <v>-4.1795374272624031E-7</v>
      </c>
      <c r="DH270" s="408">
        <v>0</v>
      </c>
      <c r="DI270" s="408">
        <v>-154.10171025508589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-20.580479614740398</v>
      </c>
      <c r="DP270" s="408">
        <v>-6.5199813110269247</v>
      </c>
      <c r="DQ270" s="408">
        <v>0</v>
      </c>
      <c r="DR270" s="408">
        <v>0</v>
      </c>
      <c r="DS270" s="408"/>
      <c r="DT270" s="408"/>
      <c r="DU270" s="408"/>
      <c r="DV270" s="408">
        <v>43440.233101496531</v>
      </c>
      <c r="DW270" s="408">
        <v>0</v>
      </c>
      <c r="DX270" s="408">
        <v>0</v>
      </c>
      <c r="DY270" s="408">
        <v>-26843.627070000002</v>
      </c>
      <c r="DZ270" s="408">
        <v>0</v>
      </c>
      <c r="EA270" s="408">
        <v>0</v>
      </c>
      <c r="EB270" s="408">
        <v>0</v>
      </c>
      <c r="EC270" s="408">
        <v>-26635.167016680924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265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277</v>
      </c>
      <c r="B271" s="408" t="s">
        <v>1031</v>
      </c>
      <c r="C271" s="408" t="s">
        <v>2227</v>
      </c>
      <c r="D271" s="408" t="s">
        <v>1952</v>
      </c>
      <c r="E271" s="408" t="s">
        <v>2244</v>
      </c>
      <c r="F271" s="408" t="s">
        <v>1317</v>
      </c>
      <c r="G271" s="408" t="s">
        <v>1317</v>
      </c>
      <c r="H271" s="408" t="s">
        <v>1317</v>
      </c>
      <c r="I271" s="408" t="s">
        <v>1317</v>
      </c>
      <c r="J271" s="408" t="s">
        <v>2228</v>
      </c>
      <c r="K271" s="828">
        <v>44531</v>
      </c>
      <c r="L271" s="408">
        <v>0</v>
      </c>
      <c r="M271" s="408">
        <v>0</v>
      </c>
      <c r="N271" s="408">
        <v>7.46</v>
      </c>
      <c r="O271" s="408">
        <v>7.46</v>
      </c>
      <c r="P271" s="408">
        <v>7.46</v>
      </c>
      <c r="Q271" s="408">
        <v>7.46</v>
      </c>
      <c r="R271" s="408"/>
      <c r="S271" s="408">
        <v>739.04</v>
      </c>
      <c r="T271" s="408">
        <v>252.22</v>
      </c>
      <c r="U271" s="408"/>
      <c r="V271" s="408">
        <v>7394.7995999999994</v>
      </c>
      <c r="W271" s="408">
        <v>7394.7995999999994</v>
      </c>
      <c r="X271" s="408">
        <v>5057.6561999999994</v>
      </c>
      <c r="Y271" s="408">
        <v>0</v>
      </c>
      <c r="Z271" s="408">
        <v>461.42454841060953</v>
      </c>
      <c r="AA271" s="408">
        <v>0</v>
      </c>
      <c r="AB271" s="408">
        <v>0</v>
      </c>
      <c r="AC271" s="408">
        <v>0</v>
      </c>
      <c r="AD271" s="408">
        <v>921.29195348591304</v>
      </c>
      <c r="AE271" s="408">
        <v>3782.1287645993261</v>
      </c>
      <c r="AF271" s="408">
        <v>1881.5818453781142</v>
      </c>
      <c r="AG271" s="408">
        <v>0</v>
      </c>
      <c r="AH271" s="408">
        <v>0</v>
      </c>
      <c r="AI271" s="408">
        <v>0</v>
      </c>
      <c r="AJ271" s="408">
        <v>0</v>
      </c>
      <c r="AK271" s="408">
        <v>0</v>
      </c>
      <c r="AL271" s="408">
        <v>71.325277712634559</v>
      </c>
      <c r="AM271" s="408"/>
      <c r="AN271" s="408">
        <v>17.481007102306222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>
        <v>0</v>
      </c>
      <c r="BG271" s="408">
        <v>259.5650897932988</v>
      </c>
      <c r="BH271" s="408">
        <v>0</v>
      </c>
      <c r="BI271" s="408">
        <v>0</v>
      </c>
      <c r="BJ271" s="408">
        <v>0</v>
      </c>
      <c r="BK271" s="408">
        <v>2621.4299999999998</v>
      </c>
      <c r="BL271" s="408">
        <v>11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2141.1469351714131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5057.6561999999994</v>
      </c>
      <c r="CJ271" s="408">
        <v>-2337.1734000000006</v>
      </c>
      <c r="CK271" s="408"/>
      <c r="CL271" s="408"/>
      <c r="CM271" s="408"/>
      <c r="CN271" s="408"/>
      <c r="CO271" s="408">
        <v>-2337.1433999999999</v>
      </c>
      <c r="CP271" s="408">
        <v>0</v>
      </c>
      <c r="CQ271" s="408"/>
      <c r="CR271" s="408">
        <v>-18.144189097871731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-2.3678014512089476</v>
      </c>
      <c r="DA271" s="408">
        <v>0</v>
      </c>
      <c r="DB271" s="408">
        <v>0</v>
      </c>
      <c r="DC271" s="408">
        <v>-2.6378575057606213E-7</v>
      </c>
      <c r="DD271" s="408">
        <v>0</v>
      </c>
      <c r="DE271" s="408">
        <v>0</v>
      </c>
      <c r="DF271" s="408">
        <v>0</v>
      </c>
      <c r="DG271" s="408">
        <v>-3.6389167235029163E-8</v>
      </c>
      <c r="DH271" s="408">
        <v>0</v>
      </c>
      <c r="DI271" s="408">
        <v>-13.41688267804517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-1.7918417647136948</v>
      </c>
      <c r="DP271" s="408">
        <v>-0.56766290372956973</v>
      </c>
      <c r="DQ271" s="408">
        <v>0</v>
      </c>
      <c r="DR271" s="408">
        <v>0</v>
      </c>
      <c r="DS271" s="408"/>
      <c r="DT271" s="408"/>
      <c r="DU271" s="408"/>
      <c r="DV271" s="408">
        <v>3782.1287645993261</v>
      </c>
      <c r="DW271" s="408">
        <v>0</v>
      </c>
      <c r="DX271" s="408">
        <v>0</v>
      </c>
      <c r="DY271" s="408">
        <v>-2337.1433999999995</v>
      </c>
      <c r="DZ271" s="408">
        <v>0</v>
      </c>
      <c r="EA271" s="408">
        <v>0</v>
      </c>
      <c r="EB271" s="408">
        <v>0</v>
      </c>
      <c r="EC271" s="408">
        <v>-2318.9938020895588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265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278</v>
      </c>
      <c r="B272" s="408" t="s">
        <v>1031</v>
      </c>
      <c r="C272" s="408" t="s">
        <v>2227</v>
      </c>
      <c r="D272" s="408" t="s">
        <v>2237</v>
      </c>
      <c r="E272" s="408" t="s">
        <v>969</v>
      </c>
      <c r="F272" s="408" t="s">
        <v>2245</v>
      </c>
      <c r="G272" s="408" t="s">
        <v>2246</v>
      </c>
      <c r="H272" s="408" t="s">
        <v>1317</v>
      </c>
      <c r="I272" s="408" t="s">
        <v>1317</v>
      </c>
      <c r="J272" s="408" t="s">
        <v>2228</v>
      </c>
      <c r="K272" s="828">
        <v>44531</v>
      </c>
      <c r="L272" s="408">
        <v>0</v>
      </c>
      <c r="M272" s="408">
        <v>0</v>
      </c>
      <c r="N272" s="408">
        <v>0</v>
      </c>
      <c r="O272" s="408">
        <v>0</v>
      </c>
      <c r="P272" s="408">
        <v>0</v>
      </c>
      <c r="Q272" s="408">
        <v>0</v>
      </c>
      <c r="R272" s="408"/>
      <c r="S272" s="408"/>
      <c r="T272" s="408"/>
      <c r="U272" s="408"/>
      <c r="V272" s="408"/>
      <c r="W272" s="408"/>
      <c r="X272" s="408"/>
      <c r="Y272" s="408"/>
      <c r="Z272" s="408"/>
      <c r="AA272" s="408">
        <v>0</v>
      </c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408"/>
      <c r="AL272" s="408"/>
      <c r="AM272" s="408"/>
      <c r="AN272" s="408"/>
      <c r="AO272" s="408"/>
      <c r="AP272" s="408"/>
      <c r="AQ272" s="408"/>
      <c r="AR272" s="408"/>
      <c r="AS272" s="408"/>
      <c r="AT272" s="408"/>
      <c r="AU272" s="408"/>
      <c r="AV272" s="408"/>
      <c r="AW272" s="408"/>
      <c r="AX272" s="408"/>
      <c r="AY272" s="408"/>
      <c r="AZ272" s="408">
        <v>0</v>
      </c>
      <c r="BA272" s="408"/>
      <c r="BB272" s="408"/>
      <c r="BC272" s="408"/>
      <c r="BD272" s="408"/>
      <c r="BE272" s="408"/>
      <c r="BF272" s="408"/>
      <c r="BG272" s="408"/>
      <c r="BH272" s="408"/>
      <c r="BI272" s="408">
        <v>0</v>
      </c>
      <c r="BJ272" s="408">
        <v>0</v>
      </c>
      <c r="BK272" s="408">
        <v>379.78</v>
      </c>
      <c r="BL272" s="408">
        <v>34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/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/>
      <c r="CJ272" s="408">
        <v>-0.03</v>
      </c>
      <c r="CK272" s="408"/>
      <c r="CL272" s="408"/>
      <c r="CM272" s="408"/>
      <c r="CN272" s="408"/>
      <c r="CO272" s="408">
        <v>0</v>
      </c>
      <c r="CP272" s="408">
        <v>0</v>
      </c>
      <c r="CQ272" s="408"/>
      <c r="CR272" s="408"/>
      <c r="CS272" s="408"/>
      <c r="CT272" s="408"/>
      <c r="CU272" s="408"/>
      <c r="CV272" s="408"/>
      <c r="CW272" s="408"/>
      <c r="CX272" s="408"/>
      <c r="CY272" s="408"/>
      <c r="CZ272" s="408"/>
      <c r="DA272" s="408"/>
      <c r="DB272" s="408"/>
      <c r="DC272" s="408"/>
      <c r="DD272" s="408"/>
      <c r="DE272" s="408"/>
      <c r="DF272" s="408"/>
      <c r="DG272" s="408"/>
      <c r="DH272" s="408"/>
      <c r="DI272" s="408"/>
      <c r="DJ272" s="408"/>
      <c r="DK272" s="408">
        <v>0</v>
      </c>
      <c r="DL272" s="408"/>
      <c r="DM272" s="408"/>
      <c r="DN272" s="408"/>
      <c r="DO272" s="408"/>
      <c r="DP272" s="408"/>
      <c r="DQ272" s="408"/>
      <c r="DR272" s="408"/>
      <c r="DS272" s="408"/>
      <c r="DT272" s="408"/>
      <c r="DU272" s="408"/>
      <c r="DV272" s="408"/>
      <c r="DW272" s="408"/>
      <c r="DX272" s="408"/>
      <c r="DY272" s="408"/>
      <c r="DZ272" s="408"/>
      <c r="EA272" s="408"/>
      <c r="EB272" s="408"/>
      <c r="EC272" s="408"/>
      <c r="ED272" s="408"/>
      <c r="EE272" s="408"/>
      <c r="EF272" s="408"/>
      <c r="EG272" s="408"/>
      <c r="EH272" s="408"/>
      <c r="EI272" s="408"/>
      <c r="EJ272" s="408"/>
      <c r="EK272" s="408"/>
      <c r="EL272" s="408"/>
      <c r="EM272" s="408"/>
      <c r="EN272" s="408"/>
      <c r="EO272" s="408"/>
      <c r="EP272" s="408"/>
      <c r="EQ272" s="408"/>
      <c r="ER272" s="408"/>
      <c r="ES272" s="408"/>
      <c r="ET272" s="408"/>
      <c r="EU272" s="408"/>
      <c r="EV272" s="408">
        <v>265</v>
      </c>
      <c r="EW272" s="408"/>
      <c r="EX272" s="408"/>
      <c r="EY272" s="408"/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279</v>
      </c>
      <c r="B273" s="408" t="s">
        <v>2230</v>
      </c>
      <c r="C273" s="408" t="s">
        <v>2227</v>
      </c>
      <c r="D273" s="408" t="s">
        <v>2237</v>
      </c>
      <c r="E273" s="408" t="s">
        <v>969</v>
      </c>
      <c r="F273" s="408" t="s">
        <v>2245</v>
      </c>
      <c r="G273" s="408" t="s">
        <v>2246</v>
      </c>
      <c r="H273" s="408" t="s">
        <v>1317</v>
      </c>
      <c r="I273" s="408" t="s">
        <v>1317</v>
      </c>
      <c r="J273" s="408" t="s">
        <v>2228</v>
      </c>
      <c r="K273" s="828">
        <v>44531</v>
      </c>
      <c r="L273" s="408">
        <v>0</v>
      </c>
      <c r="M273" s="408">
        <v>0</v>
      </c>
      <c r="N273" s="408">
        <v>0</v>
      </c>
      <c r="O273" s="408">
        <v>0</v>
      </c>
      <c r="P273" s="408">
        <v>0</v>
      </c>
      <c r="Q273" s="408">
        <v>0</v>
      </c>
      <c r="R273" s="408"/>
      <c r="S273" s="408"/>
      <c r="T273" s="408"/>
      <c r="U273" s="408"/>
      <c r="V273" s="408"/>
      <c r="W273" s="408"/>
      <c r="X273" s="408"/>
      <c r="Y273" s="408"/>
      <c r="Z273" s="408"/>
      <c r="AA273" s="408">
        <v>0</v>
      </c>
      <c r="AB273" s="408"/>
      <c r="AC273" s="408"/>
      <c r="AD273" s="408"/>
      <c r="AE273" s="408"/>
      <c r="AF273" s="408"/>
      <c r="AG273" s="408"/>
      <c r="AH273" s="408"/>
      <c r="AI273" s="408"/>
      <c r="AJ273" s="408"/>
      <c r="AK273" s="408"/>
      <c r="AL273" s="408"/>
      <c r="AM273" s="408"/>
      <c r="AN273" s="408"/>
      <c r="AO273" s="408"/>
      <c r="AP273" s="408"/>
      <c r="AQ273" s="408"/>
      <c r="AR273" s="408"/>
      <c r="AS273" s="408"/>
      <c r="AT273" s="408"/>
      <c r="AU273" s="408"/>
      <c r="AV273" s="408"/>
      <c r="AW273" s="408"/>
      <c r="AX273" s="408"/>
      <c r="AY273" s="408"/>
      <c r="AZ273" s="408">
        <v>0</v>
      </c>
      <c r="BA273" s="408"/>
      <c r="BB273" s="408"/>
      <c r="BC273" s="408"/>
      <c r="BD273" s="408"/>
      <c r="BE273" s="408"/>
      <c r="BF273" s="408"/>
      <c r="BG273" s="408"/>
      <c r="BH273" s="408"/>
      <c r="BI273" s="408">
        <v>0</v>
      </c>
      <c r="BJ273" s="408">
        <v>0</v>
      </c>
      <c r="BK273" s="408">
        <v>33.51</v>
      </c>
      <c r="BL273" s="408">
        <v>3</v>
      </c>
      <c r="BM273" s="408"/>
      <c r="BN273" s="408"/>
      <c r="BO273" s="408"/>
      <c r="BP273" s="408"/>
      <c r="BQ273" s="408"/>
      <c r="BR273" s="408"/>
      <c r="BS273" s="408"/>
      <c r="BT273" s="408"/>
      <c r="BU273" s="408"/>
      <c r="BV273" s="408"/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/>
      <c r="CJ273" s="408">
        <v>-0.03</v>
      </c>
      <c r="CK273" s="408"/>
      <c r="CL273" s="408"/>
      <c r="CM273" s="408"/>
      <c r="CN273" s="408"/>
      <c r="CO273" s="408">
        <v>0</v>
      </c>
      <c r="CP273" s="408">
        <v>0</v>
      </c>
      <c r="CQ273" s="408"/>
      <c r="CR273" s="408"/>
      <c r="CS273" s="408"/>
      <c r="CT273" s="408"/>
      <c r="CU273" s="408"/>
      <c r="CV273" s="408"/>
      <c r="CW273" s="408"/>
      <c r="CX273" s="408"/>
      <c r="CY273" s="408"/>
      <c r="CZ273" s="408"/>
      <c r="DA273" s="408"/>
      <c r="DB273" s="408"/>
      <c r="DC273" s="408"/>
      <c r="DD273" s="408"/>
      <c r="DE273" s="408"/>
      <c r="DF273" s="408"/>
      <c r="DG273" s="408"/>
      <c r="DH273" s="408"/>
      <c r="DI273" s="408"/>
      <c r="DJ273" s="408"/>
      <c r="DK273" s="408">
        <v>0</v>
      </c>
      <c r="DL273" s="408"/>
      <c r="DM273" s="408"/>
      <c r="DN273" s="408"/>
      <c r="DO273" s="408"/>
      <c r="DP273" s="408"/>
      <c r="DQ273" s="408"/>
      <c r="DR273" s="408"/>
      <c r="DS273" s="408"/>
      <c r="DT273" s="408"/>
      <c r="DU273" s="408"/>
      <c r="DV273" s="408"/>
      <c r="DW273" s="408"/>
      <c r="DX273" s="408"/>
      <c r="DY273" s="408"/>
      <c r="DZ273" s="408"/>
      <c r="EA273" s="408"/>
      <c r="EB273" s="408"/>
      <c r="EC273" s="408"/>
      <c r="ED273" s="408"/>
      <c r="EE273" s="408"/>
      <c r="EF273" s="408"/>
      <c r="EG273" s="408"/>
      <c r="EH273" s="408"/>
      <c r="EI273" s="408"/>
      <c r="EJ273" s="408"/>
      <c r="EK273" s="408"/>
      <c r="EL273" s="408"/>
      <c r="EM273" s="408"/>
      <c r="EN273" s="408"/>
      <c r="EO273" s="408"/>
      <c r="EP273" s="408"/>
      <c r="EQ273" s="408"/>
      <c r="ER273" s="408"/>
      <c r="ES273" s="408"/>
      <c r="ET273" s="408"/>
      <c r="EU273" s="408"/>
      <c r="EV273" s="408">
        <v>265</v>
      </c>
      <c r="EW273" s="408"/>
      <c r="EX273" s="408"/>
      <c r="EY273" s="408"/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280</v>
      </c>
      <c r="B274" s="408" t="s">
        <v>1031</v>
      </c>
      <c r="C274" s="408" t="s">
        <v>2227</v>
      </c>
      <c r="D274" s="408" t="s">
        <v>2237</v>
      </c>
      <c r="E274" s="408" t="s">
        <v>969</v>
      </c>
      <c r="F274" s="408" t="s">
        <v>2245</v>
      </c>
      <c r="G274" s="408" t="s">
        <v>2246</v>
      </c>
      <c r="H274" s="408" t="s">
        <v>1317</v>
      </c>
      <c r="I274" s="408" t="s">
        <v>1317</v>
      </c>
      <c r="J274" s="408" t="s">
        <v>2228</v>
      </c>
      <c r="K274" s="828">
        <v>44531</v>
      </c>
      <c r="L274" s="408">
        <v>0</v>
      </c>
      <c r="M274" s="408">
        <v>0</v>
      </c>
      <c r="N274" s="408">
        <v>209.755</v>
      </c>
      <c r="O274" s="408">
        <v>209.755</v>
      </c>
      <c r="P274" s="408">
        <v>209.755</v>
      </c>
      <c r="Q274" s="408">
        <v>209.755</v>
      </c>
      <c r="R274" s="408"/>
      <c r="S274" s="408">
        <v>739.04</v>
      </c>
      <c r="T274" s="408">
        <v>252.22</v>
      </c>
      <c r="U274" s="408"/>
      <c r="V274" s="408">
        <v>207921.74129999999</v>
      </c>
      <c r="W274" s="408">
        <v>207921.74129999999</v>
      </c>
      <c r="X274" s="408">
        <v>142207.59735</v>
      </c>
      <c r="Y274" s="408">
        <v>0</v>
      </c>
      <c r="Z274" s="408">
        <v>12974.008867542547</v>
      </c>
      <c r="AA274" s="408">
        <v>0</v>
      </c>
      <c r="AB274" s="408">
        <v>0</v>
      </c>
      <c r="AC274" s="408">
        <v>0</v>
      </c>
      <c r="AD274" s="408">
        <v>25904.235080889772</v>
      </c>
      <c r="AE274" s="408">
        <v>106343.21970757797</v>
      </c>
      <c r="AF274" s="408">
        <v>52904.986592129535</v>
      </c>
      <c r="AG274" s="408">
        <v>0</v>
      </c>
      <c r="AH274" s="408">
        <v>0</v>
      </c>
      <c r="AI274" s="408">
        <v>0</v>
      </c>
      <c r="AJ274" s="408">
        <v>0</v>
      </c>
      <c r="AK274" s="408">
        <v>0</v>
      </c>
      <c r="AL274" s="408">
        <v>2005.4736764897668</v>
      </c>
      <c r="AM274" s="408"/>
      <c r="AN274" s="408">
        <v>491.51858508635945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7298.2674811787383</v>
      </c>
      <c r="BH274" s="408">
        <v>0</v>
      </c>
      <c r="BI274" s="408">
        <v>0</v>
      </c>
      <c r="BJ274" s="408">
        <v>0</v>
      </c>
      <c r="BK274" s="408">
        <v>0</v>
      </c>
      <c r="BL274" s="408">
        <v>0</v>
      </c>
      <c r="BM274" s="408"/>
      <c r="BN274" s="408"/>
      <c r="BO274" s="408"/>
      <c r="BP274" s="408"/>
      <c r="BQ274" s="408"/>
      <c r="BR274" s="408">
        <v>17063.569249999993</v>
      </c>
      <c r="BS274" s="408"/>
      <c r="BT274" s="408"/>
      <c r="BU274" s="408"/>
      <c r="BV274" s="408">
        <v>60203.254073308271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125147.01119999999</v>
      </c>
      <c r="CJ274" s="408">
        <v>-57824.402850000028</v>
      </c>
      <c r="CK274" s="408"/>
      <c r="CL274" s="408"/>
      <c r="CM274" s="408"/>
      <c r="CN274" s="408"/>
      <c r="CO274" s="408">
        <v>-65714.143949999998</v>
      </c>
      <c r="CP274" s="408">
        <v>0</v>
      </c>
      <c r="CQ274" s="408"/>
      <c r="CR274" s="408">
        <v>-510.16546705419023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-66.576165334896359</v>
      </c>
      <c r="DA274" s="408">
        <v>0</v>
      </c>
      <c r="DB274" s="408">
        <v>0</v>
      </c>
      <c r="DC274" s="408">
        <v>-7.416936568915844E-6</v>
      </c>
      <c r="DD274" s="408">
        <v>0</v>
      </c>
      <c r="DE274" s="408">
        <v>0</v>
      </c>
      <c r="DF274" s="408">
        <v>0</v>
      </c>
      <c r="DG274" s="408">
        <v>-1.0231651685899124E-6</v>
      </c>
      <c r="DH274" s="408">
        <v>0</v>
      </c>
      <c r="DI274" s="408">
        <v>-377.24641100983354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-50.381738519774672</v>
      </c>
      <c r="DP274" s="408">
        <v>-15.96114374957051</v>
      </c>
      <c r="DQ274" s="408">
        <v>0</v>
      </c>
      <c r="DR274" s="408">
        <v>0</v>
      </c>
      <c r="DS274" s="408"/>
      <c r="DT274" s="408"/>
      <c r="DU274" s="408"/>
      <c r="DV274" s="408">
        <v>106343.21970757797</v>
      </c>
      <c r="DW274" s="408">
        <v>0</v>
      </c>
      <c r="DX274" s="408">
        <v>0</v>
      </c>
      <c r="DY274" s="408">
        <v>-65714.143949999998</v>
      </c>
      <c r="DZ274" s="408">
        <v>0</v>
      </c>
      <c r="EA274" s="408">
        <v>0</v>
      </c>
      <c r="EB274" s="408">
        <v>0</v>
      </c>
      <c r="EC274" s="408">
        <v>-65203.826401782222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265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281</v>
      </c>
      <c r="B275" s="408" t="s">
        <v>2230</v>
      </c>
      <c r="C275" s="408" t="s">
        <v>2227</v>
      </c>
      <c r="D275" s="408" t="s">
        <v>2237</v>
      </c>
      <c r="E275" s="408" t="s">
        <v>969</v>
      </c>
      <c r="F275" s="408" t="s">
        <v>2245</v>
      </c>
      <c r="G275" s="408" t="s">
        <v>2246</v>
      </c>
      <c r="H275" s="408" t="s">
        <v>1317</v>
      </c>
      <c r="I275" s="408" t="s">
        <v>1317</v>
      </c>
      <c r="J275" s="408" t="s">
        <v>2228</v>
      </c>
      <c r="K275" s="828">
        <v>44531</v>
      </c>
      <c r="L275" s="408">
        <v>0</v>
      </c>
      <c r="M275" s="408">
        <v>0</v>
      </c>
      <c r="N275" s="408">
        <v>0.89200000000000002</v>
      </c>
      <c r="O275" s="408">
        <v>0.89200000000000002</v>
      </c>
      <c r="P275" s="408">
        <v>0.89200000000000002</v>
      </c>
      <c r="Q275" s="408">
        <v>0.89200000000000002</v>
      </c>
      <c r="R275" s="408"/>
      <c r="S275" s="408">
        <v>739.04</v>
      </c>
      <c r="T275" s="408">
        <v>252.22</v>
      </c>
      <c r="U275" s="408"/>
      <c r="V275" s="408">
        <v>884.20391999999993</v>
      </c>
      <c r="W275" s="408">
        <v>884.20391999999993</v>
      </c>
      <c r="X275" s="408">
        <v>604.74923999999999</v>
      </c>
      <c r="Y275" s="408">
        <v>0</v>
      </c>
      <c r="Z275" s="408">
        <v>55.173015708078239</v>
      </c>
      <c r="AA275" s="408">
        <v>0</v>
      </c>
      <c r="AB275" s="408">
        <v>0</v>
      </c>
      <c r="AC275" s="408">
        <v>0</v>
      </c>
      <c r="AD275" s="408">
        <v>110.15984215944161</v>
      </c>
      <c r="AE275" s="408">
        <v>452.23309088774789</v>
      </c>
      <c r="AF275" s="408">
        <v>224.98270858944744</v>
      </c>
      <c r="AG275" s="408">
        <v>0</v>
      </c>
      <c r="AH275" s="408">
        <v>0</v>
      </c>
      <c r="AI275" s="408">
        <v>0</v>
      </c>
      <c r="AJ275" s="408">
        <v>0</v>
      </c>
      <c r="AK275" s="408">
        <v>0</v>
      </c>
      <c r="AL275" s="408">
        <v>8.5284380321273492</v>
      </c>
      <c r="AM275" s="408"/>
      <c r="AN275" s="408">
        <v>2.0902222969513606</v>
      </c>
      <c r="AO275" s="408">
        <v>0</v>
      </c>
      <c r="AP275" s="408">
        <v>0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31.036469181718839</v>
      </c>
      <c r="BH275" s="408">
        <v>0</v>
      </c>
      <c r="BI275" s="408">
        <v>0</v>
      </c>
      <c r="BJ275" s="408">
        <v>0</v>
      </c>
      <c r="BK275" s="408">
        <v>0</v>
      </c>
      <c r="BL275" s="408">
        <v>0</v>
      </c>
      <c r="BM275" s="408"/>
      <c r="BN275" s="408"/>
      <c r="BO275" s="408"/>
      <c r="BP275" s="408"/>
      <c r="BQ275" s="408"/>
      <c r="BR275" s="408">
        <v>72.564199999999971</v>
      </c>
      <c r="BS275" s="408"/>
      <c r="BT275" s="408"/>
      <c r="BU275" s="408"/>
      <c r="BV275" s="408">
        <v>256.01917777116626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530.99180000000001</v>
      </c>
      <c r="CJ275" s="408">
        <v>-247.13872000000003</v>
      </c>
      <c r="CK275" s="408"/>
      <c r="CL275" s="408"/>
      <c r="CM275" s="408"/>
      <c r="CN275" s="408"/>
      <c r="CO275" s="408">
        <v>-279.45468</v>
      </c>
      <c r="CP275" s="408">
        <v>0</v>
      </c>
      <c r="CQ275" s="408"/>
      <c r="CR275" s="408">
        <v>-2.1695196615686427</v>
      </c>
      <c r="CS275" s="408">
        <v>0</v>
      </c>
      <c r="CT275" s="408">
        <v>0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-0.28312049523837857</v>
      </c>
      <c r="DA275" s="408">
        <v>0</v>
      </c>
      <c r="DB275" s="408">
        <v>0</v>
      </c>
      <c r="DC275" s="408">
        <v>-3.1541134148937999E-8</v>
      </c>
      <c r="DD275" s="408">
        <v>0</v>
      </c>
      <c r="DE275" s="408">
        <v>0</v>
      </c>
      <c r="DF275" s="408">
        <v>0</v>
      </c>
      <c r="DG275" s="408">
        <v>-4.3510937075552647E-9</v>
      </c>
      <c r="DH275" s="408">
        <v>0</v>
      </c>
      <c r="DI275" s="408">
        <v>-1.6042706901898427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-0.21425239331429147</v>
      </c>
      <c r="DP275" s="408">
        <v>-6.7876046933884382E-2</v>
      </c>
      <c r="DQ275" s="408">
        <v>0</v>
      </c>
      <c r="DR275" s="408">
        <v>0</v>
      </c>
      <c r="DS275" s="408"/>
      <c r="DT275" s="408"/>
      <c r="DU275" s="408"/>
      <c r="DV275" s="408">
        <v>452.23309088774789</v>
      </c>
      <c r="DW275" s="408">
        <v>0</v>
      </c>
      <c r="DX275" s="408">
        <v>0</v>
      </c>
      <c r="DY275" s="408">
        <v>-279.45467999999994</v>
      </c>
      <c r="DZ275" s="408">
        <v>0</v>
      </c>
      <c r="EA275" s="408">
        <v>0</v>
      </c>
      <c r="EB275" s="408">
        <v>0</v>
      </c>
      <c r="EC275" s="408">
        <v>-277.2845136010572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265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282</v>
      </c>
      <c r="B276" s="408" t="s">
        <v>1031</v>
      </c>
      <c r="C276" s="408" t="s">
        <v>2227</v>
      </c>
      <c r="D276" s="408" t="s">
        <v>2237</v>
      </c>
      <c r="E276" s="408" t="s">
        <v>969</v>
      </c>
      <c r="F276" s="408" t="s">
        <v>2245</v>
      </c>
      <c r="G276" s="408" t="s">
        <v>2247</v>
      </c>
      <c r="H276" s="408" t="s">
        <v>1317</v>
      </c>
      <c r="I276" s="408" t="s">
        <v>1317</v>
      </c>
      <c r="J276" s="408" t="s">
        <v>2228</v>
      </c>
      <c r="K276" s="828">
        <v>44531</v>
      </c>
      <c r="L276" s="408">
        <v>0</v>
      </c>
      <c r="M276" s="408">
        <v>0</v>
      </c>
      <c r="N276" s="408">
        <v>262.84800000000001</v>
      </c>
      <c r="O276" s="408">
        <v>105.1392</v>
      </c>
      <c r="P276" s="408">
        <v>262.84800000000001</v>
      </c>
      <c r="Q276" s="408">
        <v>105.1392</v>
      </c>
      <c r="R276" s="408"/>
      <c r="S276" s="408">
        <v>739.04</v>
      </c>
      <c r="T276" s="408">
        <v>252.22</v>
      </c>
      <c r="U276" s="408"/>
      <c r="V276" s="408">
        <v>260550.70847999997</v>
      </c>
      <c r="W276" s="408">
        <v>260550.70847999997</v>
      </c>
      <c r="X276" s="408">
        <v>178203.05856</v>
      </c>
      <c r="Y276" s="408">
        <v>0</v>
      </c>
      <c r="Z276" s="408">
        <v>16257.978512149048</v>
      </c>
      <c r="AA276" s="408">
        <v>0</v>
      </c>
      <c r="AB276" s="408">
        <v>0</v>
      </c>
      <c r="AC276" s="408">
        <v>0</v>
      </c>
      <c r="AD276" s="408">
        <v>32461.092143413578</v>
      </c>
      <c r="AE276" s="408">
        <v>133260.72138303</v>
      </c>
      <c r="AF276" s="408">
        <v>66296.249985783725</v>
      </c>
      <c r="AG276" s="408">
        <v>0</v>
      </c>
      <c r="AH276" s="408">
        <v>0</v>
      </c>
      <c r="AI276" s="408">
        <v>0</v>
      </c>
      <c r="AJ276" s="408">
        <v>0</v>
      </c>
      <c r="AK276" s="408">
        <v>0</v>
      </c>
      <c r="AL276" s="408">
        <v>2513.0973989558402</v>
      </c>
      <c r="AM276" s="408"/>
      <c r="AN276" s="408">
        <v>615.93133442721</v>
      </c>
      <c r="AO276" s="408">
        <v>0</v>
      </c>
      <c r="AP276" s="408">
        <v>0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9145.5984882022804</v>
      </c>
      <c r="BH276" s="408">
        <v>0</v>
      </c>
      <c r="BI276" s="408">
        <v>0</v>
      </c>
      <c r="BJ276" s="408">
        <v>0</v>
      </c>
      <c r="BK276" s="408">
        <v>0</v>
      </c>
      <c r="BL276" s="408">
        <v>0</v>
      </c>
      <c r="BM276" s="408"/>
      <c r="BN276" s="408"/>
      <c r="BO276" s="408"/>
      <c r="BP276" s="408"/>
      <c r="BQ276" s="408"/>
      <c r="BR276" s="408"/>
      <c r="BS276" s="408">
        <v>115474.90905599999</v>
      </c>
      <c r="BT276" s="408"/>
      <c r="BU276" s="408"/>
      <c r="BV276" s="408">
        <v>75441.848473986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62728.626800000005</v>
      </c>
      <c r="CJ276" s="408">
        <v>-28985.378751999982</v>
      </c>
      <c r="CK276" s="408"/>
      <c r="CL276" s="408"/>
      <c r="CM276" s="408"/>
      <c r="CN276" s="408"/>
      <c r="CO276" s="408">
        <v>-82347.649919999996</v>
      </c>
      <c r="CP276" s="408">
        <v>0</v>
      </c>
      <c r="CQ276" s="408"/>
      <c r="CR276" s="408">
        <v>-639.2980986591574</v>
      </c>
      <c r="CS276" s="408">
        <v>0</v>
      </c>
      <c r="CT276" s="408">
        <v>0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-83.427865395089611</v>
      </c>
      <c r="DA276" s="408">
        <v>0</v>
      </c>
      <c r="DB276" s="408">
        <v>0</v>
      </c>
      <c r="DC276" s="408">
        <v>-9.2943082563579082E-6</v>
      </c>
      <c r="DD276" s="408">
        <v>0</v>
      </c>
      <c r="DE276" s="408">
        <v>0</v>
      </c>
      <c r="DF276" s="408">
        <v>0</v>
      </c>
      <c r="DG276" s="408">
        <v>-1.2821474228985608E-6</v>
      </c>
      <c r="DH276" s="408">
        <v>0</v>
      </c>
      <c r="DI276" s="408">
        <v>-472.73468876123479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-63.134319594029876</v>
      </c>
      <c r="DP276" s="408">
        <v>-20.001214332374161</v>
      </c>
      <c r="DQ276" s="408">
        <v>0</v>
      </c>
      <c r="DR276" s="408">
        <v>0</v>
      </c>
      <c r="DS276" s="408"/>
      <c r="DT276" s="408"/>
      <c r="DU276" s="408"/>
      <c r="DV276" s="408">
        <v>133260.72138303</v>
      </c>
      <c r="DW276" s="408">
        <v>0</v>
      </c>
      <c r="DX276" s="408">
        <v>0</v>
      </c>
      <c r="DY276" s="408">
        <v>-82347.649919999982</v>
      </c>
      <c r="DZ276" s="408">
        <v>0</v>
      </c>
      <c r="EA276" s="408">
        <v>0</v>
      </c>
      <c r="EB276" s="408">
        <v>0</v>
      </c>
      <c r="EC276" s="408">
        <v>-81708.161245527677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265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283</v>
      </c>
      <c r="B277" s="408" t="s">
        <v>2230</v>
      </c>
      <c r="C277" s="408" t="s">
        <v>2227</v>
      </c>
      <c r="D277" s="408" t="s">
        <v>2237</v>
      </c>
      <c r="E277" s="408" t="s">
        <v>969</v>
      </c>
      <c r="F277" s="408" t="s">
        <v>2245</v>
      </c>
      <c r="G277" s="408" t="s">
        <v>2247</v>
      </c>
      <c r="H277" s="408" t="s">
        <v>1317</v>
      </c>
      <c r="I277" s="408" t="s">
        <v>1317</v>
      </c>
      <c r="J277" s="408" t="s">
        <v>2228</v>
      </c>
      <c r="K277" s="828">
        <v>44531</v>
      </c>
      <c r="L277" s="408">
        <v>0</v>
      </c>
      <c r="M277" s="408">
        <v>0</v>
      </c>
      <c r="N277" s="408">
        <v>17.352</v>
      </c>
      <c r="O277" s="408">
        <v>17.352</v>
      </c>
      <c r="P277" s="408">
        <v>17.352</v>
      </c>
      <c r="Q277" s="408">
        <v>17.352</v>
      </c>
      <c r="R277" s="408"/>
      <c r="S277" s="408">
        <v>739.04</v>
      </c>
      <c r="T277" s="408">
        <v>252.22</v>
      </c>
      <c r="U277" s="408"/>
      <c r="V277" s="408">
        <v>17200.343520000002</v>
      </c>
      <c r="W277" s="408">
        <v>17200.343520000002</v>
      </c>
      <c r="X277" s="408">
        <v>11764.135440000002</v>
      </c>
      <c r="Y277" s="408">
        <v>0</v>
      </c>
      <c r="Z277" s="408">
        <v>1073.2759737293427</v>
      </c>
      <c r="AA277" s="408">
        <v>0</v>
      </c>
      <c r="AB277" s="408">
        <v>0</v>
      </c>
      <c r="AC277" s="408">
        <v>0</v>
      </c>
      <c r="AD277" s="408">
        <v>2142.9300237114699</v>
      </c>
      <c r="AE277" s="408">
        <v>8797.251785968836</v>
      </c>
      <c r="AF277" s="408">
        <v>4376.5694612601928</v>
      </c>
      <c r="AG277" s="408">
        <v>0</v>
      </c>
      <c r="AH277" s="408">
        <v>0</v>
      </c>
      <c r="AI277" s="408">
        <v>0</v>
      </c>
      <c r="AJ277" s="408">
        <v>0</v>
      </c>
      <c r="AK277" s="408">
        <v>0</v>
      </c>
      <c r="AL277" s="408">
        <v>165.90297840075533</v>
      </c>
      <c r="AM277" s="408"/>
      <c r="AN277" s="408">
        <v>40.660916251905846</v>
      </c>
      <c r="AO277" s="408">
        <v>0</v>
      </c>
      <c r="AP277" s="408">
        <v>0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603.74979062913144</v>
      </c>
      <c r="BH277" s="408">
        <v>0</v>
      </c>
      <c r="BI277" s="408">
        <v>0</v>
      </c>
      <c r="BJ277" s="408">
        <v>0</v>
      </c>
      <c r="BK277" s="408">
        <v>0</v>
      </c>
      <c r="BL277" s="408">
        <v>0</v>
      </c>
      <c r="BM277" s="408"/>
      <c r="BN277" s="408"/>
      <c r="BO277" s="408"/>
      <c r="BP277" s="408"/>
      <c r="BQ277" s="408"/>
      <c r="BR277" s="408">
        <v>1411.5851999999995</v>
      </c>
      <c r="BS277" s="408"/>
      <c r="BT277" s="408"/>
      <c r="BU277" s="408"/>
      <c r="BV277" s="408">
        <v>4980.3192518893247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10351.357</v>
      </c>
      <c r="CJ277" s="408">
        <v>-4784.9961200000016</v>
      </c>
      <c r="CK277" s="408"/>
      <c r="CL277" s="408"/>
      <c r="CM277" s="408"/>
      <c r="CN277" s="408"/>
      <c r="CO277" s="408">
        <v>-5436.2080799999994</v>
      </c>
      <c r="CP277" s="408">
        <v>0</v>
      </c>
      <c r="CQ277" s="408"/>
      <c r="CR277" s="408">
        <v>-42.203481129527063</v>
      </c>
      <c r="CS277" s="408">
        <v>0</v>
      </c>
      <c r="CT277" s="408">
        <v>0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-5.5075188714986325</v>
      </c>
      <c r="DA277" s="408">
        <v>0</v>
      </c>
      <c r="DB277" s="408">
        <v>0</v>
      </c>
      <c r="DC277" s="408">
        <v>-6.1356695368885994E-7</v>
      </c>
      <c r="DD277" s="408">
        <v>0</v>
      </c>
      <c r="DE277" s="408">
        <v>0</v>
      </c>
      <c r="DF277" s="408">
        <v>0</v>
      </c>
      <c r="DG277" s="408">
        <v>-8.4641328612633515E-8</v>
      </c>
      <c r="DH277" s="408">
        <v>0</v>
      </c>
      <c r="DI277" s="408">
        <v>-31.20774104952261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-4.167833552454681</v>
      </c>
      <c r="DP277" s="408">
        <v>-1.3203869578439082</v>
      </c>
      <c r="DQ277" s="408">
        <v>0</v>
      </c>
      <c r="DR277" s="408">
        <v>0</v>
      </c>
      <c r="DS277" s="408"/>
      <c r="DT277" s="408"/>
      <c r="DU277" s="408"/>
      <c r="DV277" s="408">
        <v>8797.251785968836</v>
      </c>
      <c r="DW277" s="408">
        <v>0</v>
      </c>
      <c r="DX277" s="408">
        <v>0</v>
      </c>
      <c r="DY277" s="408">
        <v>-5436.2080799999994</v>
      </c>
      <c r="DZ277" s="408">
        <v>0</v>
      </c>
      <c r="EA277" s="408">
        <v>0</v>
      </c>
      <c r="EB277" s="408">
        <v>0</v>
      </c>
      <c r="EC277" s="408">
        <v>-5393.9920179434357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265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284</v>
      </c>
      <c r="B278" s="408" t="s">
        <v>1031</v>
      </c>
      <c r="C278" s="408" t="s">
        <v>2235</v>
      </c>
      <c r="D278" s="408" t="s">
        <v>596</v>
      </c>
      <c r="E278" s="408" t="s">
        <v>969</v>
      </c>
      <c r="F278" s="408" t="s">
        <v>2245</v>
      </c>
      <c r="G278" s="408" t="s">
        <v>1317</v>
      </c>
      <c r="H278" s="408" t="s">
        <v>1317</v>
      </c>
      <c r="I278" s="408" t="s">
        <v>968</v>
      </c>
      <c r="J278" s="408" t="s">
        <v>2228</v>
      </c>
      <c r="K278" s="828">
        <v>44531</v>
      </c>
      <c r="L278" s="408">
        <v>0</v>
      </c>
      <c r="M278" s="408">
        <v>0</v>
      </c>
      <c r="N278" s="408">
        <v>58.46</v>
      </c>
      <c r="O278" s="408">
        <v>56.121600000000001</v>
      </c>
      <c r="P278" s="408">
        <v>58.46</v>
      </c>
      <c r="Q278" s="408">
        <v>56.121600000000001</v>
      </c>
      <c r="R278" s="408"/>
      <c r="S278" s="408">
        <v>2641.06</v>
      </c>
      <c r="T278" s="408">
        <v>252.22</v>
      </c>
      <c r="U278" s="408"/>
      <c r="V278" s="408">
        <v>169141.1488</v>
      </c>
      <c r="W278" s="408">
        <v>169141.1488</v>
      </c>
      <c r="X278" s="408">
        <v>100395.69639999999</v>
      </c>
      <c r="Y278" s="408">
        <v>0</v>
      </c>
      <c r="Z278" s="408">
        <v>3145.8639164977585</v>
      </c>
      <c r="AA278" s="408">
        <v>0</v>
      </c>
      <c r="AB278" s="408">
        <v>0</v>
      </c>
      <c r="AC278" s="408">
        <v>0</v>
      </c>
      <c r="AD278" s="408">
        <v>37868.458266923793</v>
      </c>
      <c r="AE278" s="408">
        <v>111780.80131733602</v>
      </c>
      <c r="AF278" s="408">
        <v>14744.942986703023</v>
      </c>
      <c r="AG278" s="408">
        <v>0</v>
      </c>
      <c r="AH278" s="408">
        <v>0</v>
      </c>
      <c r="AI278" s="408">
        <v>0</v>
      </c>
      <c r="AJ278" s="408">
        <v>0</v>
      </c>
      <c r="AK278" s="408">
        <v>0</v>
      </c>
      <c r="AL278" s="408">
        <v>558.93776609659733</v>
      </c>
      <c r="AM278" s="408"/>
      <c r="AN278" s="408">
        <v>140.64927280637301</v>
      </c>
      <c r="AO278" s="408">
        <v>0</v>
      </c>
      <c r="AP278" s="408">
        <v>0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901.61930078667876</v>
      </c>
      <c r="BH278" s="408">
        <v>0</v>
      </c>
      <c r="BI278" s="408">
        <v>0</v>
      </c>
      <c r="BJ278" s="408">
        <v>0</v>
      </c>
      <c r="BK278" s="408">
        <v>0</v>
      </c>
      <c r="BL278" s="408">
        <v>0</v>
      </c>
      <c r="BM278" s="408"/>
      <c r="BN278" s="408"/>
      <c r="BO278" s="408"/>
      <c r="BP278" s="408"/>
      <c r="BQ278" s="408"/>
      <c r="BR278" s="408">
        <v>4015.8278559999999</v>
      </c>
      <c r="BS278" s="408"/>
      <c r="BT278" s="408"/>
      <c r="BU278" s="408"/>
      <c r="BV278" s="408">
        <v>15646.562287489702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96377.12079999999</v>
      </c>
      <c r="CJ278" s="408">
        <v>-65998.412048000042</v>
      </c>
      <c r="CK278" s="408"/>
      <c r="CL278" s="408"/>
      <c r="CM278" s="408"/>
      <c r="CN278" s="408"/>
      <c r="CO278" s="408">
        <v>-68745.452400000009</v>
      </c>
      <c r="CP278" s="408">
        <v>0</v>
      </c>
      <c r="CQ278" s="408"/>
      <c r="CR278" s="408">
        <v>-207.40685945667792</v>
      </c>
      <c r="CS278" s="408">
        <v>0</v>
      </c>
      <c r="CT278" s="408">
        <v>0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-97.325272515736287</v>
      </c>
      <c r="DA278" s="408">
        <v>0</v>
      </c>
      <c r="DB278" s="408">
        <v>0</v>
      </c>
      <c r="DC278" s="408">
        <v>-2.0671450329245999E-6</v>
      </c>
      <c r="DD278" s="408">
        <v>0</v>
      </c>
      <c r="DE278" s="408">
        <v>0</v>
      </c>
      <c r="DF278" s="408">
        <v>0</v>
      </c>
      <c r="DG278" s="408">
        <v>-1.264022557734279E-7</v>
      </c>
      <c r="DH278" s="408">
        <v>0</v>
      </c>
      <c r="DI278" s="408">
        <v>-91.472565198646862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-14.041698333131649</v>
      </c>
      <c r="DP278" s="408">
        <v>-4.5673212156175964</v>
      </c>
      <c r="DQ278" s="408">
        <v>0</v>
      </c>
      <c r="DR278" s="408">
        <v>0</v>
      </c>
      <c r="DS278" s="408"/>
      <c r="DT278" s="408"/>
      <c r="DU278" s="408"/>
      <c r="DV278" s="408">
        <v>111780.80131733602</v>
      </c>
      <c r="DW278" s="408">
        <v>0</v>
      </c>
      <c r="DX278" s="408">
        <v>0</v>
      </c>
      <c r="DY278" s="408">
        <v>-68745.452400000009</v>
      </c>
      <c r="DZ278" s="408">
        <v>0</v>
      </c>
      <c r="EA278" s="408">
        <v>0</v>
      </c>
      <c r="EB278" s="408">
        <v>0</v>
      </c>
      <c r="EC278" s="408">
        <v>-68537.85304027528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265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285</v>
      </c>
      <c r="B279" s="408" t="s">
        <v>1031</v>
      </c>
      <c r="C279" s="408" t="s">
        <v>2235</v>
      </c>
      <c r="D279" s="408" t="s">
        <v>596</v>
      </c>
      <c r="E279" s="408" t="s">
        <v>969</v>
      </c>
      <c r="F279" s="408" t="s">
        <v>2245</v>
      </c>
      <c r="G279" s="408" t="s">
        <v>1317</v>
      </c>
      <c r="H279" s="408" t="s">
        <v>1317</v>
      </c>
      <c r="I279" s="408" t="s">
        <v>2236</v>
      </c>
      <c r="J279" s="408" t="s">
        <v>2228</v>
      </c>
      <c r="K279" s="828">
        <v>44531</v>
      </c>
      <c r="L279" s="408">
        <v>0</v>
      </c>
      <c r="M279" s="408">
        <v>0</v>
      </c>
      <c r="N279" s="408">
        <v>512.14300000000003</v>
      </c>
      <c r="O279" s="408">
        <v>491.65728000000001</v>
      </c>
      <c r="P279" s="408">
        <v>512.14300000000003</v>
      </c>
      <c r="Q279" s="408">
        <v>491.65728000000001</v>
      </c>
      <c r="R279" s="408"/>
      <c r="S279" s="408">
        <v>81.2</v>
      </c>
      <c r="T279" s="408">
        <v>252.22</v>
      </c>
      <c r="U279" s="408"/>
      <c r="V279" s="408">
        <v>170758.71906</v>
      </c>
      <c r="W279" s="408">
        <v>170758.71906</v>
      </c>
      <c r="X279" s="408">
        <v>169795.89022</v>
      </c>
      <c r="Y279" s="408">
        <v>0</v>
      </c>
      <c r="Z279" s="408">
        <v>27559.565237545532</v>
      </c>
      <c r="AA279" s="408">
        <v>0</v>
      </c>
      <c r="AB279" s="408">
        <v>0</v>
      </c>
      <c r="AC279" s="408">
        <v>0</v>
      </c>
      <c r="AD279" s="408">
        <v>0</v>
      </c>
      <c r="AE279" s="408">
        <v>0</v>
      </c>
      <c r="AF279" s="408">
        <v>129174.12480395222</v>
      </c>
      <c r="AG279" s="408">
        <v>0</v>
      </c>
      <c r="AH279" s="408">
        <v>0</v>
      </c>
      <c r="AI279" s="408">
        <v>0</v>
      </c>
      <c r="AJ279" s="408">
        <v>0</v>
      </c>
      <c r="AK279" s="408">
        <v>0</v>
      </c>
      <c r="AL279" s="408">
        <v>4896.6141693809386</v>
      </c>
      <c r="AM279" s="408"/>
      <c r="AN279" s="408">
        <v>1232.1679870488249</v>
      </c>
      <c r="AO279" s="408">
        <v>0</v>
      </c>
      <c r="AP279" s="408">
        <v>0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7898.7001977898053</v>
      </c>
      <c r="BH279" s="408">
        <v>0</v>
      </c>
      <c r="BI279" s="408">
        <v>0</v>
      </c>
      <c r="BJ279" s="408">
        <v>0</v>
      </c>
      <c r="BK279" s="408">
        <v>0</v>
      </c>
      <c r="BL279" s="408">
        <v>0</v>
      </c>
      <c r="BM279" s="408"/>
      <c r="BN279" s="408"/>
      <c r="BO279" s="408"/>
      <c r="BP279" s="408"/>
      <c r="BQ279" s="408"/>
      <c r="BR279" s="408">
        <v>6791.8356088000046</v>
      </c>
      <c r="BS279" s="408"/>
      <c r="BT279" s="408"/>
      <c r="BU279" s="408"/>
      <c r="BV279" s="408">
        <v>137072.82500174202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163004.95640000002</v>
      </c>
      <c r="CJ279" s="408">
        <v>-923.44389759999467</v>
      </c>
      <c r="CK279" s="408"/>
      <c r="CL279" s="408"/>
      <c r="CM279" s="408"/>
      <c r="CN279" s="408"/>
      <c r="CO279" s="408">
        <v>-962.82884000000502</v>
      </c>
      <c r="CP279" s="408">
        <v>0</v>
      </c>
      <c r="CQ279" s="408"/>
      <c r="CR279" s="408">
        <v>-964.37759460654343</v>
      </c>
      <c r="CS279" s="408">
        <v>0</v>
      </c>
      <c r="CT279" s="408">
        <v>0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0</v>
      </c>
      <c r="DA279" s="408">
        <v>0</v>
      </c>
      <c r="DB279" s="408">
        <v>0</v>
      </c>
      <c r="DC279" s="408">
        <v>-1.8109378288500011E-5</v>
      </c>
      <c r="DD279" s="408">
        <v>0</v>
      </c>
      <c r="DE279" s="408">
        <v>0</v>
      </c>
      <c r="DF279" s="408">
        <v>0</v>
      </c>
      <c r="DG279" s="408">
        <v>-1.1073552741436288E-6</v>
      </c>
      <c r="DH279" s="408">
        <v>0</v>
      </c>
      <c r="DI279" s="408">
        <v>-801.35193223624447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-123.01329985331904</v>
      </c>
      <c r="DP279" s="408">
        <v>-40.012343300206339</v>
      </c>
      <c r="DQ279" s="408">
        <v>0</v>
      </c>
      <c r="DR279" s="408">
        <v>0</v>
      </c>
      <c r="DS279" s="408"/>
      <c r="DT279" s="408"/>
      <c r="DU279" s="408"/>
      <c r="DV279" s="408">
        <v>0</v>
      </c>
      <c r="DW279" s="408">
        <v>0</v>
      </c>
      <c r="DX279" s="408">
        <v>0</v>
      </c>
      <c r="DY279" s="408">
        <v>-962.82884000000922</v>
      </c>
      <c r="DZ279" s="408">
        <v>0</v>
      </c>
      <c r="EA279" s="408">
        <v>0</v>
      </c>
      <c r="EB279" s="408">
        <v>0</v>
      </c>
      <c r="EC279" s="408">
        <v>0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265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286</v>
      </c>
      <c r="B280" s="408" t="s">
        <v>2230</v>
      </c>
      <c r="C280" s="408" t="s">
        <v>2235</v>
      </c>
      <c r="D280" s="408" t="s">
        <v>596</v>
      </c>
      <c r="E280" s="408" t="s">
        <v>969</v>
      </c>
      <c r="F280" s="408" t="s">
        <v>2245</v>
      </c>
      <c r="G280" s="408" t="s">
        <v>1317</v>
      </c>
      <c r="H280" s="408" t="s">
        <v>1317</v>
      </c>
      <c r="I280" s="408" t="s">
        <v>2236</v>
      </c>
      <c r="J280" s="408" t="s">
        <v>2228</v>
      </c>
      <c r="K280" s="828">
        <v>44531</v>
      </c>
      <c r="L280" s="408">
        <v>0</v>
      </c>
      <c r="M280" s="408">
        <v>0</v>
      </c>
      <c r="N280" s="408">
        <v>16.667000000000002</v>
      </c>
      <c r="O280" s="408">
        <v>16.000320000000002</v>
      </c>
      <c r="P280" s="408">
        <v>16.667000000000002</v>
      </c>
      <c r="Q280" s="408">
        <v>16.000320000000002</v>
      </c>
      <c r="R280" s="408"/>
      <c r="S280" s="408">
        <v>81.2</v>
      </c>
      <c r="T280" s="408">
        <v>252.22</v>
      </c>
      <c r="U280" s="408"/>
      <c r="V280" s="408">
        <v>5557.1111400000009</v>
      </c>
      <c r="W280" s="408">
        <v>5557.1111400000009</v>
      </c>
      <c r="X280" s="408">
        <v>5525.777180000001</v>
      </c>
      <c r="Y280" s="408">
        <v>0</v>
      </c>
      <c r="Z280" s="408">
        <v>896.88870845480926</v>
      </c>
      <c r="AA280" s="408">
        <v>0</v>
      </c>
      <c r="AB280" s="408">
        <v>0</v>
      </c>
      <c r="AC280" s="408">
        <v>0</v>
      </c>
      <c r="AD280" s="408">
        <v>0</v>
      </c>
      <c r="AE280" s="408">
        <v>0</v>
      </c>
      <c r="AF280" s="408">
        <v>4203.7968655384766</v>
      </c>
      <c r="AG280" s="408">
        <v>0</v>
      </c>
      <c r="AH280" s="408">
        <v>0</v>
      </c>
      <c r="AI280" s="408">
        <v>0</v>
      </c>
      <c r="AJ280" s="408">
        <v>0</v>
      </c>
      <c r="AK280" s="408">
        <v>0</v>
      </c>
      <c r="AL280" s="408">
        <v>159.35367340971587</v>
      </c>
      <c r="AM280" s="408"/>
      <c r="AN280" s="408">
        <v>40.099237596028381</v>
      </c>
      <c r="AO280" s="408">
        <v>0</v>
      </c>
      <c r="AP280" s="408">
        <v>0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0</v>
      </c>
      <c r="BF280" s="408">
        <v>0</v>
      </c>
      <c r="BG280" s="408">
        <v>257.05249548771081</v>
      </c>
      <c r="BH280" s="408">
        <v>0</v>
      </c>
      <c r="BI280" s="408">
        <v>0</v>
      </c>
      <c r="BJ280" s="408">
        <v>0</v>
      </c>
      <c r="BK280" s="408">
        <v>0</v>
      </c>
      <c r="BL280" s="408">
        <v>0</v>
      </c>
      <c r="BM280" s="408"/>
      <c r="BN280" s="408"/>
      <c r="BO280" s="408"/>
      <c r="BP280" s="408"/>
      <c r="BQ280" s="408"/>
      <c r="BR280" s="408">
        <v>221.03108719999983</v>
      </c>
      <c r="BS280" s="408"/>
      <c r="BT280" s="408"/>
      <c r="BU280" s="408"/>
      <c r="BV280" s="408">
        <v>4460.8493610261876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5304.6399999999994</v>
      </c>
      <c r="CJ280" s="408">
        <v>-30.21669440000187</v>
      </c>
      <c r="CK280" s="408"/>
      <c r="CL280" s="408"/>
      <c r="CM280" s="408"/>
      <c r="CN280" s="408"/>
      <c r="CO280" s="408">
        <v>-31.333960000000165</v>
      </c>
      <c r="CP280" s="408">
        <v>0</v>
      </c>
      <c r="CQ280" s="408"/>
      <c r="CR280" s="408">
        <v>-31.384362120164951</v>
      </c>
      <c r="CS280" s="408">
        <v>0</v>
      </c>
      <c r="CT280" s="408">
        <v>0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0</v>
      </c>
      <c r="DA280" s="408">
        <v>0</v>
      </c>
      <c r="DB280" s="408">
        <v>0</v>
      </c>
      <c r="DC280" s="408">
        <v>-5.8934620028594509E-7</v>
      </c>
      <c r="DD280" s="408">
        <v>0</v>
      </c>
      <c r="DE280" s="408">
        <v>0</v>
      </c>
      <c r="DF280" s="408">
        <v>0</v>
      </c>
      <c r="DG280" s="408">
        <v>-3.6037363315699622E-8</v>
      </c>
      <c r="DH280" s="408">
        <v>0</v>
      </c>
      <c r="DI280" s="408">
        <v>-26.078912832122001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-4.003301165212207</v>
      </c>
      <c r="DP280" s="408">
        <v>-1.3021474974460929</v>
      </c>
      <c r="DQ280" s="408">
        <v>0</v>
      </c>
      <c r="DR280" s="408">
        <v>0</v>
      </c>
      <c r="DS280" s="408"/>
      <c r="DT280" s="408"/>
      <c r="DU280" s="408"/>
      <c r="DV280" s="408">
        <v>0</v>
      </c>
      <c r="DW280" s="408">
        <v>0</v>
      </c>
      <c r="DX280" s="408">
        <v>0</v>
      </c>
      <c r="DY280" s="408">
        <v>-31.333960000000161</v>
      </c>
      <c r="DZ280" s="408">
        <v>0</v>
      </c>
      <c r="EA280" s="408">
        <v>0</v>
      </c>
      <c r="EB280" s="408">
        <v>0</v>
      </c>
      <c r="EC280" s="408">
        <v>0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265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287</v>
      </c>
      <c r="B281" s="408" t="s">
        <v>1031</v>
      </c>
      <c r="C281" s="408" t="s">
        <v>2235</v>
      </c>
      <c r="D281" s="408" t="s">
        <v>596</v>
      </c>
      <c r="E281" s="408" t="s">
        <v>969</v>
      </c>
      <c r="F281" s="408" t="s">
        <v>2245</v>
      </c>
      <c r="G281" s="408" t="s">
        <v>1317</v>
      </c>
      <c r="H281" s="408" t="s">
        <v>1317</v>
      </c>
      <c r="I281" s="408" t="s">
        <v>1317</v>
      </c>
      <c r="J281" s="408" t="s">
        <v>2228</v>
      </c>
      <c r="K281" s="828">
        <v>44531</v>
      </c>
      <c r="L281" s="408">
        <v>4370</v>
      </c>
      <c r="M281" s="408">
        <v>4195.2</v>
      </c>
      <c r="N281" s="408">
        <v>0</v>
      </c>
      <c r="O281" s="408">
        <v>0</v>
      </c>
      <c r="P281" s="408">
        <v>0</v>
      </c>
      <c r="Q281" s="408">
        <v>0</v>
      </c>
      <c r="R281" s="408">
        <v>74.44</v>
      </c>
      <c r="S281" s="408"/>
      <c r="T281" s="408"/>
      <c r="U281" s="408">
        <v>325302.8</v>
      </c>
      <c r="V281" s="408"/>
      <c r="W281" s="408">
        <v>325302.8</v>
      </c>
      <c r="X281" s="408">
        <v>198485.4</v>
      </c>
      <c r="Y281" s="408">
        <v>0</v>
      </c>
      <c r="Z281" s="408">
        <v>0</v>
      </c>
      <c r="AA281" s="408">
        <v>0</v>
      </c>
      <c r="AB281" s="408">
        <v>0</v>
      </c>
      <c r="AC281" s="408">
        <v>0</v>
      </c>
      <c r="AD281" s="408">
        <v>118938.69435807437</v>
      </c>
      <c r="AE281" s="408">
        <v>206358.12077235873</v>
      </c>
      <c r="AF281" s="408"/>
      <c r="AG281" s="408"/>
      <c r="AH281" s="408"/>
      <c r="AI281" s="408">
        <v>0</v>
      </c>
      <c r="AJ281" s="408">
        <v>0</v>
      </c>
      <c r="AK281" s="408">
        <v>0</v>
      </c>
      <c r="AL281" s="408">
        <v>0</v>
      </c>
      <c r="AM281" s="408"/>
      <c r="AN281" s="408">
        <v>0</v>
      </c>
      <c r="AO281" s="408">
        <v>0</v>
      </c>
      <c r="AP281" s="408">
        <v>0</v>
      </c>
      <c r="AQ281" s="408">
        <v>0</v>
      </c>
      <c r="AR281" s="408">
        <v>0</v>
      </c>
      <c r="AS281" s="408"/>
      <c r="AT281" s="408"/>
      <c r="AU281" s="408">
        <v>0</v>
      </c>
      <c r="AV281" s="408">
        <v>0</v>
      </c>
      <c r="AW281" s="408">
        <v>0</v>
      </c>
      <c r="AX281" s="408"/>
      <c r="AY281" s="408"/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/>
      <c r="BG281" s="408">
        <v>0</v>
      </c>
      <c r="BH281" s="408">
        <v>0</v>
      </c>
      <c r="BI281" s="408">
        <v>0</v>
      </c>
      <c r="BJ281" s="408">
        <v>0</v>
      </c>
      <c r="BK281" s="408">
        <v>149.62</v>
      </c>
      <c r="BL281" s="408">
        <v>23</v>
      </c>
      <c r="BM281" s="408"/>
      <c r="BN281" s="408"/>
      <c r="BO281" s="408"/>
      <c r="BP281" s="408"/>
      <c r="BQ281" s="408"/>
      <c r="BR281" s="408">
        <v>7939.4160000000084</v>
      </c>
      <c r="BS281" s="408"/>
      <c r="BT281" s="408"/>
      <c r="BU281" s="408"/>
      <c r="BV281" s="408">
        <v>0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190545.984</v>
      </c>
      <c r="CJ281" s="408">
        <v>-121744.734</v>
      </c>
      <c r="CK281" s="408"/>
      <c r="CL281" s="408"/>
      <c r="CM281" s="408"/>
      <c r="CN281" s="408"/>
      <c r="CO281" s="408">
        <v>-126817.39999999998</v>
      </c>
      <c r="CP281" s="408">
        <v>0</v>
      </c>
      <c r="CQ281" s="408"/>
      <c r="CR281" s="408">
        <v>-305.68291847185174</v>
      </c>
      <c r="CS281" s="408">
        <v>0</v>
      </c>
      <c r="CT281" s="408">
        <v>0</v>
      </c>
      <c r="CU281" s="408">
        <v>0</v>
      </c>
      <c r="CV281" s="408">
        <v>0</v>
      </c>
      <c r="CW281" s="408"/>
      <c r="CX281" s="408"/>
      <c r="CY281" s="408"/>
      <c r="CZ281" s="408">
        <v>-305.68291847185174</v>
      </c>
      <c r="DA281" s="408">
        <v>0</v>
      </c>
      <c r="DB281" s="408">
        <v>0</v>
      </c>
      <c r="DC281" s="408"/>
      <c r="DD281" s="408"/>
      <c r="DE281" s="408">
        <v>0</v>
      </c>
      <c r="DF281" s="408">
        <v>0</v>
      </c>
      <c r="DG281" s="408">
        <v>0</v>
      </c>
      <c r="DH281" s="408">
        <v>0</v>
      </c>
      <c r="DI281" s="408">
        <v>0</v>
      </c>
      <c r="DJ281" s="408"/>
      <c r="DK281" s="408">
        <v>0</v>
      </c>
      <c r="DL281" s="408">
        <v>0</v>
      </c>
      <c r="DM281" s="408"/>
      <c r="DN281" s="408">
        <v>0</v>
      </c>
      <c r="DO281" s="408">
        <v>0</v>
      </c>
      <c r="DP281" s="408">
        <v>0</v>
      </c>
      <c r="DQ281" s="408">
        <v>0</v>
      </c>
      <c r="DR281" s="408">
        <v>0</v>
      </c>
      <c r="DS281" s="408"/>
      <c r="DT281" s="408"/>
      <c r="DU281" s="408">
        <v>206358.12077235873</v>
      </c>
      <c r="DV281" s="408"/>
      <c r="DW281" s="408">
        <v>0</v>
      </c>
      <c r="DX281" s="408">
        <v>0</v>
      </c>
      <c r="DY281" s="408">
        <v>-126817.4</v>
      </c>
      <c r="DZ281" s="408"/>
      <c r="EA281" s="408">
        <v>0</v>
      </c>
      <c r="EB281" s="408"/>
      <c r="EC281" s="408">
        <v>-126527.47509844377</v>
      </c>
      <c r="ED281" s="408"/>
      <c r="EE281" s="408">
        <v>0</v>
      </c>
      <c r="EF281" s="408">
        <v>0</v>
      </c>
      <c r="EG281" s="408"/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/>
      <c r="EN281" s="408"/>
      <c r="EO281" s="408">
        <v>0</v>
      </c>
      <c r="EP281" s="408">
        <v>0</v>
      </c>
      <c r="EQ281" s="408"/>
      <c r="ER281" s="408">
        <v>0</v>
      </c>
      <c r="ES281" s="408"/>
      <c r="ET281" s="408">
        <v>0</v>
      </c>
      <c r="EU281" s="408"/>
      <c r="EV281" s="408">
        <v>265</v>
      </c>
      <c r="EW281" s="408"/>
      <c r="EX281" s="408"/>
      <c r="EY281" s="408"/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288</v>
      </c>
      <c r="B282" s="408" t="s">
        <v>2230</v>
      </c>
      <c r="C282" s="408" t="s">
        <v>2235</v>
      </c>
      <c r="D282" s="408" t="s">
        <v>596</v>
      </c>
      <c r="E282" s="408" t="s">
        <v>969</v>
      </c>
      <c r="F282" s="408" t="s">
        <v>2245</v>
      </c>
      <c r="G282" s="408" t="s">
        <v>1317</v>
      </c>
      <c r="H282" s="408" t="s">
        <v>1317</v>
      </c>
      <c r="I282" s="408" t="s">
        <v>1317</v>
      </c>
      <c r="J282" s="408" t="s">
        <v>2228</v>
      </c>
      <c r="K282" s="828">
        <v>44531</v>
      </c>
      <c r="L282" s="408">
        <v>130</v>
      </c>
      <c r="M282" s="408">
        <v>124.8</v>
      </c>
      <c r="N282" s="408">
        <v>0</v>
      </c>
      <c r="O282" s="408">
        <v>0</v>
      </c>
      <c r="P282" s="408">
        <v>0</v>
      </c>
      <c r="Q282" s="408">
        <v>0</v>
      </c>
      <c r="R282" s="408">
        <v>74.44</v>
      </c>
      <c r="S282" s="408"/>
      <c r="T282" s="408"/>
      <c r="U282" s="408">
        <v>9677.1999999999989</v>
      </c>
      <c r="V282" s="408"/>
      <c r="W282" s="408">
        <v>9677.1999999999989</v>
      </c>
      <c r="X282" s="408">
        <v>5904.6</v>
      </c>
      <c r="Y282" s="408">
        <v>0</v>
      </c>
      <c r="Z282" s="408">
        <v>0</v>
      </c>
      <c r="AA282" s="408">
        <v>0</v>
      </c>
      <c r="AB282" s="408">
        <v>0</v>
      </c>
      <c r="AC282" s="408">
        <v>0</v>
      </c>
      <c r="AD282" s="408">
        <v>3538.222028958734</v>
      </c>
      <c r="AE282" s="408">
        <v>6138.7999314431663</v>
      </c>
      <c r="AF282" s="408"/>
      <c r="AG282" s="408"/>
      <c r="AH282" s="408"/>
      <c r="AI282" s="408">
        <v>0</v>
      </c>
      <c r="AJ282" s="408">
        <v>0</v>
      </c>
      <c r="AK282" s="408">
        <v>0</v>
      </c>
      <c r="AL282" s="408">
        <v>0</v>
      </c>
      <c r="AM282" s="408"/>
      <c r="AN282" s="408">
        <v>0</v>
      </c>
      <c r="AO282" s="408">
        <v>0</v>
      </c>
      <c r="AP282" s="408">
        <v>0</v>
      </c>
      <c r="AQ282" s="408">
        <v>0</v>
      </c>
      <c r="AR282" s="408">
        <v>0</v>
      </c>
      <c r="AS282" s="408"/>
      <c r="AT282" s="408"/>
      <c r="AU282" s="408">
        <v>0</v>
      </c>
      <c r="AV282" s="408">
        <v>0</v>
      </c>
      <c r="AW282" s="408">
        <v>0</v>
      </c>
      <c r="AX282" s="408"/>
      <c r="AY282" s="408"/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/>
      <c r="BG282" s="408">
        <v>0</v>
      </c>
      <c r="BH282" s="408">
        <v>0</v>
      </c>
      <c r="BI282" s="408">
        <v>0</v>
      </c>
      <c r="BJ282" s="408">
        <v>0</v>
      </c>
      <c r="BK282" s="408">
        <v>140.77000000000001</v>
      </c>
      <c r="BL282" s="408">
        <v>1</v>
      </c>
      <c r="BM282" s="408"/>
      <c r="BN282" s="408"/>
      <c r="BO282" s="408"/>
      <c r="BP282" s="408"/>
      <c r="BQ282" s="408"/>
      <c r="BR282" s="408">
        <v>236.18400000000014</v>
      </c>
      <c r="BS282" s="408"/>
      <c r="BT282" s="408"/>
      <c r="BU282" s="408"/>
      <c r="BV282" s="408">
        <v>0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5668.4160000000002</v>
      </c>
      <c r="CJ282" s="408">
        <v>-3621.7259999999997</v>
      </c>
      <c r="CK282" s="408"/>
      <c r="CL282" s="408"/>
      <c r="CM282" s="408"/>
      <c r="CN282" s="408"/>
      <c r="CO282" s="408">
        <v>-3772.5999999999995</v>
      </c>
      <c r="CP282" s="408">
        <v>0</v>
      </c>
      <c r="CQ282" s="408"/>
      <c r="CR282" s="408">
        <v>-9.0935421971030337</v>
      </c>
      <c r="CS282" s="408">
        <v>0</v>
      </c>
      <c r="CT282" s="408">
        <v>0</v>
      </c>
      <c r="CU282" s="408">
        <v>0</v>
      </c>
      <c r="CV282" s="408">
        <v>0</v>
      </c>
      <c r="CW282" s="408"/>
      <c r="CX282" s="408"/>
      <c r="CY282" s="408"/>
      <c r="CZ282" s="408">
        <v>-9.0935421971030337</v>
      </c>
      <c r="DA282" s="408">
        <v>0</v>
      </c>
      <c r="DB282" s="408">
        <v>0</v>
      </c>
      <c r="DC282" s="408"/>
      <c r="DD282" s="408"/>
      <c r="DE282" s="408">
        <v>0</v>
      </c>
      <c r="DF282" s="408">
        <v>0</v>
      </c>
      <c r="DG282" s="408">
        <v>0</v>
      </c>
      <c r="DH282" s="408">
        <v>0</v>
      </c>
      <c r="DI282" s="408">
        <v>0</v>
      </c>
      <c r="DJ282" s="408"/>
      <c r="DK282" s="408">
        <v>0</v>
      </c>
      <c r="DL282" s="408">
        <v>0</v>
      </c>
      <c r="DM282" s="408"/>
      <c r="DN282" s="408">
        <v>0</v>
      </c>
      <c r="DO282" s="408">
        <v>0</v>
      </c>
      <c r="DP282" s="408">
        <v>0</v>
      </c>
      <c r="DQ282" s="408">
        <v>0</v>
      </c>
      <c r="DR282" s="408">
        <v>0</v>
      </c>
      <c r="DS282" s="408"/>
      <c r="DT282" s="408"/>
      <c r="DU282" s="408">
        <v>6138.7999314431663</v>
      </c>
      <c r="DV282" s="408"/>
      <c r="DW282" s="408">
        <v>0</v>
      </c>
      <c r="DX282" s="408">
        <v>0</v>
      </c>
      <c r="DY282" s="408">
        <v>-3772.5999999999985</v>
      </c>
      <c r="DZ282" s="408"/>
      <c r="EA282" s="408">
        <v>0</v>
      </c>
      <c r="EB282" s="408"/>
      <c r="EC282" s="408">
        <v>-3763.9752317614852</v>
      </c>
      <c r="ED282" s="408"/>
      <c r="EE282" s="408">
        <v>0</v>
      </c>
      <c r="EF282" s="408">
        <v>0</v>
      </c>
      <c r="EG282" s="408"/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/>
      <c r="EN282" s="408"/>
      <c r="EO282" s="408">
        <v>0</v>
      </c>
      <c r="EP282" s="408">
        <v>0</v>
      </c>
      <c r="EQ282" s="408"/>
      <c r="ER282" s="408">
        <v>0</v>
      </c>
      <c r="ES282" s="408"/>
      <c r="ET282" s="408">
        <v>0</v>
      </c>
      <c r="EU282" s="408"/>
      <c r="EV282" s="408">
        <v>265</v>
      </c>
      <c r="EW282" s="408"/>
      <c r="EX282" s="408"/>
      <c r="EY282" s="408"/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289</v>
      </c>
      <c r="B283" s="408" t="s">
        <v>1031</v>
      </c>
      <c r="C283" s="408" t="s">
        <v>2235</v>
      </c>
      <c r="D283" s="408" t="s">
        <v>596</v>
      </c>
      <c r="E283" s="408" t="s">
        <v>969</v>
      </c>
      <c r="F283" s="408" t="s">
        <v>2245</v>
      </c>
      <c r="G283" s="408" t="s">
        <v>2247</v>
      </c>
      <c r="H283" s="408" t="s">
        <v>1317</v>
      </c>
      <c r="I283" s="408" t="s">
        <v>2236</v>
      </c>
      <c r="J283" s="408" t="s">
        <v>2228</v>
      </c>
      <c r="K283" s="828">
        <v>44531</v>
      </c>
      <c r="L283" s="408">
        <v>0</v>
      </c>
      <c r="M283" s="408">
        <v>0</v>
      </c>
      <c r="N283" s="408">
        <v>439.04</v>
      </c>
      <c r="O283" s="408">
        <v>131.71199999999999</v>
      </c>
      <c r="P283" s="408">
        <v>439.04</v>
      </c>
      <c r="Q283" s="408">
        <v>131.71199999999999</v>
      </c>
      <c r="R283" s="408"/>
      <c r="S283" s="408">
        <v>81.2</v>
      </c>
      <c r="T283" s="408">
        <v>252.22</v>
      </c>
      <c r="U283" s="408"/>
      <c r="V283" s="408">
        <v>146384.71679999999</v>
      </c>
      <c r="W283" s="408">
        <v>146384.71679999999</v>
      </c>
      <c r="X283" s="408">
        <v>145559.3216</v>
      </c>
      <c r="Y283" s="408">
        <v>0</v>
      </c>
      <c r="Z283" s="408">
        <v>23625.728599027985</v>
      </c>
      <c r="AA283" s="408">
        <v>0</v>
      </c>
      <c r="AB283" s="408">
        <v>0</v>
      </c>
      <c r="AC283" s="408">
        <v>0</v>
      </c>
      <c r="AD283" s="408">
        <v>0</v>
      </c>
      <c r="AE283" s="408">
        <v>0</v>
      </c>
      <c r="AF283" s="408">
        <v>110735.88383308408</v>
      </c>
      <c r="AG283" s="408">
        <v>0</v>
      </c>
      <c r="AH283" s="408">
        <v>0</v>
      </c>
      <c r="AI283" s="408">
        <v>0</v>
      </c>
      <c r="AJ283" s="408">
        <v>0</v>
      </c>
      <c r="AK283" s="408">
        <v>0</v>
      </c>
      <c r="AL283" s="408">
        <v>4197.6742529430403</v>
      </c>
      <c r="AM283" s="408"/>
      <c r="AN283" s="408">
        <v>1056.2890306690047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6771.2442322508286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/>
      <c r="BS283" s="408">
        <v>101891.52512000001</v>
      </c>
      <c r="BT283" s="408"/>
      <c r="BU283" s="408"/>
      <c r="BV283" s="408">
        <v>117507.12806533491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43667.133400000006</v>
      </c>
      <c r="CJ283" s="408">
        <v>-248.31163999999262</v>
      </c>
      <c r="CK283" s="408"/>
      <c r="CL283" s="408"/>
      <c r="CM283" s="408"/>
      <c r="CN283" s="408"/>
      <c r="CO283" s="408">
        <v>-825.39520000000425</v>
      </c>
      <c r="CP283" s="408">
        <v>0</v>
      </c>
      <c r="CQ283" s="408"/>
      <c r="CR283" s="408">
        <v>-826.72288625643705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0</v>
      </c>
      <c r="DA283" s="408">
        <v>0</v>
      </c>
      <c r="DB283" s="408">
        <v>0</v>
      </c>
      <c r="DC283" s="408">
        <v>-1.5524448826909065E-5</v>
      </c>
      <c r="DD283" s="408">
        <v>0</v>
      </c>
      <c r="DE283" s="408">
        <v>0</v>
      </c>
      <c r="DF283" s="408">
        <v>0</v>
      </c>
      <c r="DG283" s="408">
        <v>-9.4929237093310803E-7</v>
      </c>
      <c r="DH283" s="408">
        <v>0</v>
      </c>
      <c r="DI283" s="408">
        <v>-686.96741404060958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-105.45445152545608</v>
      </c>
      <c r="DP283" s="408">
        <v>-34.30100421663974</v>
      </c>
      <c r="DQ283" s="408">
        <v>0</v>
      </c>
      <c r="DR283" s="408">
        <v>0</v>
      </c>
      <c r="DS283" s="408"/>
      <c r="DT283" s="408"/>
      <c r="DU283" s="408"/>
      <c r="DV283" s="408">
        <v>0</v>
      </c>
      <c r="DW283" s="408">
        <v>0</v>
      </c>
      <c r="DX283" s="408">
        <v>0</v>
      </c>
      <c r="DY283" s="408">
        <v>-825.3952000000063</v>
      </c>
      <c r="DZ283" s="408">
        <v>0</v>
      </c>
      <c r="EA283" s="408">
        <v>0</v>
      </c>
      <c r="EB283" s="408">
        <v>0</v>
      </c>
      <c r="EC283" s="408">
        <v>0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265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290</v>
      </c>
      <c r="B284" s="408" t="s">
        <v>1031</v>
      </c>
      <c r="C284" s="408" t="s">
        <v>2227</v>
      </c>
      <c r="D284" s="408" t="s">
        <v>1949</v>
      </c>
      <c r="E284" s="408" t="s">
        <v>964</v>
      </c>
      <c r="F284" s="408" t="s">
        <v>964</v>
      </c>
      <c r="G284" s="408" t="s">
        <v>1317</v>
      </c>
      <c r="H284" s="408" t="s">
        <v>1317</v>
      </c>
      <c r="I284" s="408" t="s">
        <v>1317</v>
      </c>
      <c r="J284" s="408" t="s">
        <v>2228</v>
      </c>
      <c r="K284" s="828">
        <v>44562</v>
      </c>
      <c r="L284" s="408">
        <v>0</v>
      </c>
      <c r="M284" s="408">
        <v>0</v>
      </c>
      <c r="N284" s="408">
        <v>1398.951</v>
      </c>
      <c r="O284" s="408">
        <v>1398.951</v>
      </c>
      <c r="P284" s="408">
        <v>1398.951</v>
      </c>
      <c r="Q284" s="408">
        <v>1398.951</v>
      </c>
      <c r="R284" s="408"/>
      <c r="S284" s="408">
        <v>739.04</v>
      </c>
      <c r="T284" s="408">
        <v>252.22</v>
      </c>
      <c r="U284" s="408"/>
      <c r="V284" s="408">
        <v>1386724.1682599999</v>
      </c>
      <c r="W284" s="408">
        <v>1386724.1682599999</v>
      </c>
      <c r="X284" s="408">
        <v>948446.80946999998</v>
      </c>
      <c r="Y284" s="408">
        <v>0</v>
      </c>
      <c r="Z284" s="408">
        <v>86529.535311470594</v>
      </c>
      <c r="AA284" s="408">
        <v>0</v>
      </c>
      <c r="AB284" s="408">
        <v>0</v>
      </c>
      <c r="AC284" s="408">
        <v>0</v>
      </c>
      <c r="AD284" s="408">
        <v>172767.06429236883</v>
      </c>
      <c r="AE284" s="408">
        <v>709251.04790415452</v>
      </c>
      <c r="AF284" s="408">
        <v>352847.29278465931</v>
      </c>
      <c r="AG284" s="408">
        <v>0</v>
      </c>
      <c r="AH284" s="408">
        <v>0</v>
      </c>
      <c r="AI284" s="408">
        <v>0</v>
      </c>
      <c r="AJ284" s="408">
        <v>0</v>
      </c>
      <c r="AK284" s="408">
        <v>0</v>
      </c>
      <c r="AL284" s="408">
        <v>13375.411337984964</v>
      </c>
      <c r="AM284" s="408"/>
      <c r="AN284" s="408">
        <v>3278.1598346887927</v>
      </c>
      <c r="AO284" s="408">
        <v>0</v>
      </c>
      <c r="AP284" s="408">
        <v>0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48675.447980083802</v>
      </c>
      <c r="BH284" s="408">
        <v>0</v>
      </c>
      <c r="BI284" s="408">
        <v>0</v>
      </c>
      <c r="BJ284" s="408">
        <v>0</v>
      </c>
      <c r="BK284" s="408">
        <v>373738.79</v>
      </c>
      <c r="BL284" s="408">
        <v>8229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401522.74076474312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948446.13150000002</v>
      </c>
      <c r="CJ284" s="408">
        <v>-438278.06675999996</v>
      </c>
      <c r="CK284" s="408"/>
      <c r="CL284" s="408"/>
      <c r="CM284" s="408"/>
      <c r="CN284" s="408"/>
      <c r="CO284" s="408">
        <v>-438277.35878999997</v>
      </c>
      <c r="CP284" s="408">
        <v>0</v>
      </c>
      <c r="CQ284" s="408">
        <v>31</v>
      </c>
      <c r="CR284" s="408">
        <v>-3402.5243274340173</v>
      </c>
      <c r="CS284" s="408">
        <v>0</v>
      </c>
      <c r="CT284" s="408">
        <v>0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-444.02656943298643</v>
      </c>
      <c r="DA284" s="408">
        <v>0</v>
      </c>
      <c r="DB284" s="408">
        <v>0</v>
      </c>
      <c r="DC284" s="408">
        <v>-4.9466965720057487E-5</v>
      </c>
      <c r="DD284" s="408">
        <v>0</v>
      </c>
      <c r="DE284" s="408">
        <v>0</v>
      </c>
      <c r="DF284" s="408">
        <v>0</v>
      </c>
      <c r="DG284" s="408">
        <v>-6.8239532993175089E-6</v>
      </c>
      <c r="DH284" s="408">
        <v>0</v>
      </c>
      <c r="DI284" s="408">
        <v>-2516.0270025916834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-336.01860973029216</v>
      </c>
      <c r="DP284" s="408">
        <v>-106.45208938812175</v>
      </c>
      <c r="DQ284" s="408">
        <v>0</v>
      </c>
      <c r="DR284" s="408">
        <v>0</v>
      </c>
      <c r="DS284" s="408"/>
      <c r="DT284" s="408"/>
      <c r="DU284" s="408"/>
      <c r="DV284" s="408">
        <v>709251.04790415452</v>
      </c>
      <c r="DW284" s="408">
        <v>0</v>
      </c>
      <c r="DX284" s="408">
        <v>0</v>
      </c>
      <c r="DY284" s="408">
        <v>-438277.35878999997</v>
      </c>
      <c r="DZ284" s="408">
        <v>0</v>
      </c>
      <c r="EA284" s="408">
        <v>0</v>
      </c>
      <c r="EB284" s="408">
        <v>0</v>
      </c>
      <c r="EC284" s="408">
        <v>-434873.820164476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265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291</v>
      </c>
      <c r="B285" s="408" t="s">
        <v>2229</v>
      </c>
      <c r="C285" s="408" t="s">
        <v>2227</v>
      </c>
      <c r="D285" s="408" t="s">
        <v>1949</v>
      </c>
      <c r="E285" s="408" t="s">
        <v>964</v>
      </c>
      <c r="F285" s="408" t="s">
        <v>964</v>
      </c>
      <c r="G285" s="408" t="s">
        <v>1317</v>
      </c>
      <c r="H285" s="408" t="s">
        <v>1317</v>
      </c>
      <c r="I285" s="408" t="s">
        <v>1317</v>
      </c>
      <c r="J285" s="408" t="s">
        <v>2228</v>
      </c>
      <c r="K285" s="828">
        <v>44562</v>
      </c>
      <c r="L285" s="408">
        <v>0</v>
      </c>
      <c r="M285" s="408">
        <v>0</v>
      </c>
      <c r="N285" s="408">
        <v>0.05</v>
      </c>
      <c r="O285" s="408">
        <v>0.05</v>
      </c>
      <c r="P285" s="408">
        <v>0.05</v>
      </c>
      <c r="Q285" s="408">
        <v>0.05</v>
      </c>
      <c r="R285" s="408"/>
      <c r="S285" s="408">
        <v>739.04</v>
      </c>
      <c r="T285" s="408">
        <v>252.22</v>
      </c>
      <c r="U285" s="408"/>
      <c r="V285" s="408">
        <v>49.563000000000002</v>
      </c>
      <c r="W285" s="408">
        <v>49.563000000000002</v>
      </c>
      <c r="X285" s="408">
        <v>33.898499999999999</v>
      </c>
      <c r="Y285" s="408">
        <v>0</v>
      </c>
      <c r="Z285" s="408">
        <v>3.092657831170305</v>
      </c>
      <c r="AA285" s="408">
        <v>0</v>
      </c>
      <c r="AB285" s="408">
        <v>0</v>
      </c>
      <c r="AC285" s="408">
        <v>0</v>
      </c>
      <c r="AD285" s="408">
        <v>6.1748790448117497</v>
      </c>
      <c r="AE285" s="408">
        <v>25.349388502676451</v>
      </c>
      <c r="AF285" s="408">
        <v>12.61113837384795</v>
      </c>
      <c r="AG285" s="408">
        <v>0</v>
      </c>
      <c r="AH285" s="408">
        <v>0</v>
      </c>
      <c r="AI285" s="408">
        <v>0</v>
      </c>
      <c r="AJ285" s="408">
        <v>0</v>
      </c>
      <c r="AK285" s="408">
        <v>0</v>
      </c>
      <c r="AL285" s="408">
        <v>0.47805145919996356</v>
      </c>
      <c r="AM285" s="408"/>
      <c r="AN285" s="408">
        <v>0.11716492695915699</v>
      </c>
      <c r="AO285" s="408">
        <v>0</v>
      </c>
      <c r="AP285" s="408">
        <v>0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1.7397123980784102</v>
      </c>
      <c r="BH285" s="408">
        <v>0</v>
      </c>
      <c r="BI285" s="408">
        <v>0</v>
      </c>
      <c r="BJ285" s="408">
        <v>0</v>
      </c>
      <c r="BK285" s="408">
        <v>-13.89</v>
      </c>
      <c r="BL285" s="408">
        <v>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14.35085077192636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33.898499999999999</v>
      </c>
      <c r="CJ285" s="408">
        <v>-15.694499999999998</v>
      </c>
      <c r="CK285" s="408"/>
      <c r="CL285" s="408"/>
      <c r="CM285" s="408"/>
      <c r="CN285" s="408"/>
      <c r="CO285" s="408">
        <v>-15.664499999999999</v>
      </c>
      <c r="CP285" s="408">
        <v>0</v>
      </c>
      <c r="CQ285" s="408">
        <v>31</v>
      </c>
      <c r="CR285" s="408">
        <v>-0.1216098465004869</v>
      </c>
      <c r="CS285" s="408">
        <v>0</v>
      </c>
      <c r="CT285" s="408">
        <v>0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-1.5869982916949965E-2</v>
      </c>
      <c r="DA285" s="408">
        <v>0</v>
      </c>
      <c r="DB285" s="408">
        <v>0</v>
      </c>
      <c r="DC285" s="408">
        <v>-1.7680008568277117E-9</v>
      </c>
      <c r="DD285" s="408">
        <v>0</v>
      </c>
      <c r="DE285" s="408">
        <v>0</v>
      </c>
      <c r="DF285" s="408">
        <v>0</v>
      </c>
      <c r="DG285" s="408">
        <v>-2.4389512631728394E-10</v>
      </c>
      <c r="DH285" s="408">
        <v>0</v>
      </c>
      <c r="DI285" s="408">
        <v>-8.9925487118264869E-2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-1.2009663302370577E-2</v>
      </c>
      <c r="DP285" s="408">
        <v>-3.8047111510024906E-3</v>
      </c>
      <c r="DQ285" s="408">
        <v>0</v>
      </c>
      <c r="DR285" s="408">
        <v>0</v>
      </c>
      <c r="DS285" s="408"/>
      <c r="DT285" s="408"/>
      <c r="DU285" s="408"/>
      <c r="DV285" s="408">
        <v>25.349388502676451</v>
      </c>
      <c r="DW285" s="408">
        <v>0</v>
      </c>
      <c r="DX285" s="408">
        <v>0</v>
      </c>
      <c r="DY285" s="408">
        <v>-15.664499999999997</v>
      </c>
      <c r="DZ285" s="408">
        <v>0</v>
      </c>
      <c r="EA285" s="408">
        <v>0</v>
      </c>
      <c r="EB285" s="408">
        <v>0</v>
      </c>
      <c r="EC285" s="408">
        <v>-15.54285390140455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265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292</v>
      </c>
      <c r="B286" s="408" t="s">
        <v>2230</v>
      </c>
      <c r="C286" s="408" t="s">
        <v>2227</v>
      </c>
      <c r="D286" s="408" t="s">
        <v>1949</v>
      </c>
      <c r="E286" s="408" t="s">
        <v>964</v>
      </c>
      <c r="F286" s="408" t="s">
        <v>964</v>
      </c>
      <c r="G286" s="408" t="s">
        <v>1317</v>
      </c>
      <c r="H286" s="408" t="s">
        <v>1317</v>
      </c>
      <c r="I286" s="408" t="s">
        <v>1317</v>
      </c>
      <c r="J286" s="408" t="s">
        <v>2228</v>
      </c>
      <c r="K286" s="828">
        <v>44562</v>
      </c>
      <c r="L286" s="408">
        <v>0</v>
      </c>
      <c r="M286" s="408">
        <v>0</v>
      </c>
      <c r="N286" s="408">
        <v>39.793999999999997</v>
      </c>
      <c r="O286" s="408">
        <v>39.793999999999997</v>
      </c>
      <c r="P286" s="408">
        <v>39.793999999999997</v>
      </c>
      <c r="Q286" s="408">
        <v>39.793999999999997</v>
      </c>
      <c r="R286" s="408"/>
      <c r="S286" s="408">
        <v>739.04</v>
      </c>
      <c r="T286" s="408">
        <v>252.22</v>
      </c>
      <c r="U286" s="408"/>
      <c r="V286" s="408">
        <v>39446.200439999993</v>
      </c>
      <c r="W286" s="408">
        <v>39446.200439999993</v>
      </c>
      <c r="X286" s="408">
        <v>26979.138180000002</v>
      </c>
      <c r="Y286" s="408">
        <v>0</v>
      </c>
      <c r="Z286" s="408">
        <v>2461.3845146718222</v>
      </c>
      <c r="AA286" s="408">
        <v>0</v>
      </c>
      <c r="AB286" s="408">
        <v>0</v>
      </c>
      <c r="AC286" s="408">
        <v>0</v>
      </c>
      <c r="AD286" s="408">
        <v>4914.4627341847745</v>
      </c>
      <c r="AE286" s="408">
        <v>20175.071321510131</v>
      </c>
      <c r="AF286" s="408">
        <v>10036.952808978105</v>
      </c>
      <c r="AG286" s="408">
        <v>0</v>
      </c>
      <c r="AH286" s="408">
        <v>0</v>
      </c>
      <c r="AI286" s="408">
        <v>0</v>
      </c>
      <c r="AJ286" s="408">
        <v>0</v>
      </c>
      <c r="AK286" s="408">
        <v>0</v>
      </c>
      <c r="AL286" s="408">
        <v>380.47159534806696</v>
      </c>
      <c r="AM286" s="408"/>
      <c r="AN286" s="408">
        <v>93.249222068253857</v>
      </c>
      <c r="AO286" s="408">
        <v>0</v>
      </c>
      <c r="AP286" s="408">
        <v>0</v>
      </c>
      <c r="AQ286" s="408">
        <v>0</v>
      </c>
      <c r="AR286" s="408">
        <v>0</v>
      </c>
      <c r="AS286" s="408">
        <v>0</v>
      </c>
      <c r="AT286" s="408">
        <v>0</v>
      </c>
      <c r="AU286" s="408">
        <v>0</v>
      </c>
      <c r="AV286" s="408">
        <v>0</v>
      </c>
      <c r="AW286" s="408">
        <v>0</v>
      </c>
      <c r="AX286" s="408">
        <v>0</v>
      </c>
      <c r="AY286" s="408">
        <v>0</v>
      </c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>
        <v>0</v>
      </c>
      <c r="BG286" s="408">
        <v>1384.602303382645</v>
      </c>
      <c r="BH286" s="408">
        <v>0</v>
      </c>
      <c r="BI286" s="408">
        <v>0</v>
      </c>
      <c r="BJ286" s="408">
        <v>0</v>
      </c>
      <c r="BK286" s="408">
        <v>39678.26</v>
      </c>
      <c r="BL286" s="408">
        <v>506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>
        <v>11421.555112360751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26976.426299999999</v>
      </c>
      <c r="CJ286" s="408">
        <v>-12469.804139999993</v>
      </c>
      <c r="CK286" s="408"/>
      <c r="CL286" s="408"/>
      <c r="CM286" s="408"/>
      <c r="CN286" s="408"/>
      <c r="CO286" s="408">
        <v>-12467.062259999997</v>
      </c>
      <c r="CP286" s="408">
        <v>0</v>
      </c>
      <c r="CQ286" s="408">
        <v>31</v>
      </c>
      <c r="CR286" s="408">
        <v>-96.786844632806606</v>
      </c>
      <c r="CS286" s="408">
        <v>0</v>
      </c>
      <c r="CT286" s="408">
        <v>0</v>
      </c>
      <c r="CU286" s="408">
        <v>0</v>
      </c>
      <c r="CV286" s="408">
        <v>0</v>
      </c>
      <c r="CW286" s="408">
        <v>0</v>
      </c>
      <c r="CX286" s="408">
        <v>0</v>
      </c>
      <c r="CY286" s="408">
        <v>0</v>
      </c>
      <c r="CZ286" s="408">
        <v>-12.630602003941931</v>
      </c>
      <c r="DA286" s="408">
        <v>0</v>
      </c>
      <c r="DB286" s="408">
        <v>0</v>
      </c>
      <c r="DC286" s="408">
        <v>-1.4071156329009682E-6</v>
      </c>
      <c r="DD286" s="408">
        <v>0</v>
      </c>
      <c r="DE286" s="408">
        <v>0</v>
      </c>
      <c r="DF286" s="408">
        <v>0</v>
      </c>
      <c r="DG286" s="408">
        <v>-1.9411140783631708E-7</v>
      </c>
      <c r="DH286" s="408">
        <v>0</v>
      </c>
      <c r="DI286" s="408">
        <v>-71.569896687684832</v>
      </c>
      <c r="DJ286" s="408"/>
      <c r="DK286" s="408">
        <v>0</v>
      </c>
      <c r="DL286" s="408">
        <v>0</v>
      </c>
      <c r="DM286" s="408">
        <v>0</v>
      </c>
      <c r="DN286" s="408">
        <v>0</v>
      </c>
      <c r="DO286" s="408">
        <v>-9.5582508290906958</v>
      </c>
      <c r="DP286" s="408">
        <v>-3.0280935108598612</v>
      </c>
      <c r="DQ286" s="408">
        <v>0</v>
      </c>
      <c r="DR286" s="408">
        <v>0</v>
      </c>
      <c r="DS286" s="408"/>
      <c r="DT286" s="408"/>
      <c r="DU286" s="408"/>
      <c r="DV286" s="408">
        <v>20175.071321510131</v>
      </c>
      <c r="DW286" s="408">
        <v>0</v>
      </c>
      <c r="DX286" s="408">
        <v>0</v>
      </c>
      <c r="DY286" s="408">
        <v>-12467.062259999995</v>
      </c>
      <c r="DZ286" s="408">
        <v>0</v>
      </c>
      <c r="EA286" s="408">
        <v>0</v>
      </c>
      <c r="EB286" s="408">
        <v>0</v>
      </c>
      <c r="EC286" s="408">
        <v>-12370.246563049852</v>
      </c>
      <c r="ED286" s="408">
        <v>0</v>
      </c>
      <c r="EE286" s="408">
        <v>0</v>
      </c>
      <c r="EF286" s="408">
        <v>0</v>
      </c>
      <c r="EG286" s="408">
        <v>0</v>
      </c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>
        <v>0</v>
      </c>
      <c r="EN286" s="408">
        <v>0</v>
      </c>
      <c r="EO286" s="408">
        <v>0</v>
      </c>
      <c r="EP286" s="408">
        <v>0</v>
      </c>
      <c r="EQ286" s="408">
        <v>0</v>
      </c>
      <c r="ER286" s="408">
        <v>0</v>
      </c>
      <c r="ES286" s="408">
        <v>0</v>
      </c>
      <c r="ET286" s="408">
        <v>0</v>
      </c>
      <c r="EU286" s="408">
        <v>0</v>
      </c>
      <c r="EV286" s="408">
        <v>265</v>
      </c>
      <c r="EW286" s="408">
        <v>0</v>
      </c>
      <c r="EX286" s="408">
        <v>0</v>
      </c>
      <c r="EY286" s="408">
        <v>0</v>
      </c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293</v>
      </c>
      <c r="B287" s="408" t="s">
        <v>1031</v>
      </c>
      <c r="C287" s="408" t="s">
        <v>2227</v>
      </c>
      <c r="D287" s="408" t="s">
        <v>1949</v>
      </c>
      <c r="E287" s="408" t="s">
        <v>964</v>
      </c>
      <c r="F287" s="408" t="s">
        <v>2231</v>
      </c>
      <c r="G287" s="408" t="s">
        <v>1317</v>
      </c>
      <c r="H287" s="408" t="s">
        <v>1317</v>
      </c>
      <c r="I287" s="408" t="s">
        <v>1317</v>
      </c>
      <c r="J287" s="408" t="s">
        <v>2228</v>
      </c>
      <c r="K287" s="828">
        <v>44562</v>
      </c>
      <c r="L287" s="408">
        <v>0</v>
      </c>
      <c r="M287" s="408">
        <v>0</v>
      </c>
      <c r="N287" s="408">
        <v>9.2100000000000009</v>
      </c>
      <c r="O287" s="408">
        <v>9.2100000000000009</v>
      </c>
      <c r="P287" s="408">
        <v>9.2100000000000009</v>
      </c>
      <c r="Q287" s="408">
        <v>9.2100000000000009</v>
      </c>
      <c r="R287" s="408"/>
      <c r="S287" s="408">
        <v>667.62</v>
      </c>
      <c r="T287" s="408">
        <v>252.22</v>
      </c>
      <c r="U287" s="408"/>
      <c r="V287" s="408">
        <v>8471.7264000000014</v>
      </c>
      <c r="W287" s="408">
        <v>8471.7264000000014</v>
      </c>
      <c r="X287" s="408">
        <v>5605.1139000000003</v>
      </c>
      <c r="Y287" s="408">
        <v>0</v>
      </c>
      <c r="Z287" s="408">
        <v>0</v>
      </c>
      <c r="AA287" s="408">
        <v>0</v>
      </c>
      <c r="AB287" s="408">
        <v>0</v>
      </c>
      <c r="AC287" s="408">
        <v>0</v>
      </c>
      <c r="AD287" s="408">
        <v>1137.4127200543244</v>
      </c>
      <c r="AE287" s="408">
        <v>4669.3573621930027</v>
      </c>
      <c r="AF287" s="408">
        <v>2322.9716884627928</v>
      </c>
      <c r="AG287" s="408">
        <v>0</v>
      </c>
      <c r="AH287" s="408">
        <v>0</v>
      </c>
      <c r="AI287" s="408">
        <v>0</v>
      </c>
      <c r="AJ287" s="408">
        <v>0</v>
      </c>
      <c r="AK287" s="408">
        <v>0</v>
      </c>
      <c r="AL287" s="408">
        <v>0</v>
      </c>
      <c r="AM287" s="408"/>
      <c r="AN287" s="408">
        <v>21.581779545876721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320.45502372604318</v>
      </c>
      <c r="BH287" s="408">
        <v>0</v>
      </c>
      <c r="BI287" s="408">
        <v>0</v>
      </c>
      <c r="BJ287" s="408">
        <v>0</v>
      </c>
      <c r="BK287" s="408">
        <v>614.1</v>
      </c>
      <c r="BL287" s="408">
        <v>14</v>
      </c>
      <c r="BM287" s="408"/>
      <c r="BN287" s="408"/>
      <c r="BO287" s="408"/>
      <c r="BP287" s="408"/>
      <c r="BQ287" s="408"/>
      <c r="BR287" s="408"/>
      <c r="BS287" s="408"/>
      <c r="BT287" s="408">
        <v>3643.2918</v>
      </c>
      <c r="BU287" s="408"/>
      <c r="BV287" s="408">
        <v>2643.4267121888361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1961.8221000000003</v>
      </c>
      <c r="CJ287" s="408">
        <v>-1003.3674000000005</v>
      </c>
      <c r="CK287" s="408"/>
      <c r="CL287" s="408"/>
      <c r="CM287" s="408"/>
      <c r="CN287" s="408"/>
      <c r="CO287" s="408">
        <v>-2866.6125000000002</v>
      </c>
      <c r="CP287" s="408">
        <v>0</v>
      </c>
      <c r="CQ287" s="408">
        <v>31</v>
      </c>
      <c r="CR287" s="408">
        <v>-3.6240790179076612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-2.9232508533020791</v>
      </c>
      <c r="DA287" s="408">
        <v>0</v>
      </c>
      <c r="DB287" s="408">
        <v>0</v>
      </c>
      <c r="DC287" s="408">
        <v>-3.2566595109528862E-7</v>
      </c>
      <c r="DD287" s="408">
        <v>0</v>
      </c>
      <c r="DE287" s="408">
        <v>0</v>
      </c>
      <c r="DF287" s="408">
        <v>0</v>
      </c>
      <c r="DG287" s="408">
        <v>-4.4925513975613285E-8</v>
      </c>
      <c r="DH287" s="408">
        <v>0</v>
      </c>
      <c r="DI287" s="408">
        <v>0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0</v>
      </c>
      <c r="DP287" s="408">
        <v>-0.70082779401466055</v>
      </c>
      <c r="DQ287" s="408">
        <v>0</v>
      </c>
      <c r="DR287" s="408">
        <v>0</v>
      </c>
      <c r="DS287" s="408"/>
      <c r="DT287" s="408"/>
      <c r="DU287" s="408"/>
      <c r="DV287" s="408">
        <v>4669.3573621930027</v>
      </c>
      <c r="DW287" s="408">
        <v>0</v>
      </c>
      <c r="DX287" s="408">
        <v>0</v>
      </c>
      <c r="DY287" s="408">
        <v>-2866.6125000000006</v>
      </c>
      <c r="DZ287" s="408">
        <v>0</v>
      </c>
      <c r="EA287" s="408">
        <v>0</v>
      </c>
      <c r="EB287" s="408">
        <v>0</v>
      </c>
      <c r="EC287" s="408">
        <v>-2862.9936886387186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265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294</v>
      </c>
      <c r="B288" s="408" t="s">
        <v>2230</v>
      </c>
      <c r="C288" s="408" t="s">
        <v>2227</v>
      </c>
      <c r="D288" s="408" t="s">
        <v>1949</v>
      </c>
      <c r="E288" s="408" t="s">
        <v>964</v>
      </c>
      <c r="F288" s="408" t="s">
        <v>2231</v>
      </c>
      <c r="G288" s="408" t="s">
        <v>1317</v>
      </c>
      <c r="H288" s="408" t="s">
        <v>1317</v>
      </c>
      <c r="I288" s="408" t="s">
        <v>1317</v>
      </c>
      <c r="J288" s="408" t="s">
        <v>2228</v>
      </c>
      <c r="K288" s="828">
        <v>44562</v>
      </c>
      <c r="L288" s="408">
        <v>0</v>
      </c>
      <c r="M288" s="408">
        <v>0</v>
      </c>
      <c r="N288" s="408">
        <v>0.06</v>
      </c>
      <c r="O288" s="408">
        <v>-5.7000000000000002E-2</v>
      </c>
      <c r="P288" s="408">
        <v>0.06</v>
      </c>
      <c r="Q288" s="408">
        <v>-5.7000000000000002E-2</v>
      </c>
      <c r="R288" s="408"/>
      <c r="S288" s="408">
        <v>667.62</v>
      </c>
      <c r="T288" s="408">
        <v>252.22</v>
      </c>
      <c r="U288" s="408"/>
      <c r="V288" s="408">
        <v>55.190399999999997</v>
      </c>
      <c r="W288" s="408">
        <v>55.190399999999997</v>
      </c>
      <c r="X288" s="408">
        <v>36.5154</v>
      </c>
      <c r="Y288" s="408">
        <v>0</v>
      </c>
      <c r="Z288" s="408">
        <v>0</v>
      </c>
      <c r="AA288" s="408">
        <v>0</v>
      </c>
      <c r="AB288" s="408">
        <v>0</v>
      </c>
      <c r="AC288" s="408">
        <v>0</v>
      </c>
      <c r="AD288" s="408">
        <v>7.4098548537740996</v>
      </c>
      <c r="AE288" s="408">
        <v>30.419266203211738</v>
      </c>
      <c r="AF288" s="408">
        <v>15.133366048617539</v>
      </c>
      <c r="AG288" s="408">
        <v>0</v>
      </c>
      <c r="AH288" s="408">
        <v>0</v>
      </c>
      <c r="AI288" s="408">
        <v>0</v>
      </c>
      <c r="AJ288" s="408">
        <v>0</v>
      </c>
      <c r="AK288" s="408">
        <v>0</v>
      </c>
      <c r="AL288" s="408">
        <v>0</v>
      </c>
      <c r="AM288" s="408"/>
      <c r="AN288" s="408">
        <v>0.14059791235098837</v>
      </c>
      <c r="AO288" s="408">
        <v>0</v>
      </c>
      <c r="AP288" s="408">
        <v>0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2.0876548776940922</v>
      </c>
      <c r="BH288" s="408">
        <v>0</v>
      </c>
      <c r="BI288" s="408">
        <v>0</v>
      </c>
      <c r="BJ288" s="408">
        <v>0</v>
      </c>
      <c r="BK288" s="408">
        <v>5.48</v>
      </c>
      <c r="BL288" s="408">
        <v>0</v>
      </c>
      <c r="BM288" s="408"/>
      <c r="BN288" s="408"/>
      <c r="BO288" s="408"/>
      <c r="BP288" s="408"/>
      <c r="BQ288" s="408"/>
      <c r="BR288" s="408"/>
      <c r="BS288" s="408"/>
      <c r="BT288" s="408">
        <v>48.656970000000001</v>
      </c>
      <c r="BU288" s="408"/>
      <c r="BV288" s="408">
        <v>17.221020926311631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-12.7806</v>
      </c>
      <c r="CJ288" s="408">
        <v>5.5405499999999996</v>
      </c>
      <c r="CK288" s="408"/>
      <c r="CL288" s="408"/>
      <c r="CM288" s="408"/>
      <c r="CN288" s="408"/>
      <c r="CO288" s="408">
        <v>-18.675000000000001</v>
      </c>
      <c r="CP288" s="408">
        <v>0</v>
      </c>
      <c r="CQ288" s="408">
        <v>31</v>
      </c>
      <c r="CR288" s="408">
        <v>-2.3609635295816389E-2</v>
      </c>
      <c r="CS288" s="408">
        <v>0</v>
      </c>
      <c r="CT288" s="408">
        <v>0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-1.9043979500340313E-2</v>
      </c>
      <c r="DA288" s="408">
        <v>0</v>
      </c>
      <c r="DB288" s="408">
        <v>0</v>
      </c>
      <c r="DC288" s="408">
        <v>-2.1216006729218861E-9</v>
      </c>
      <c r="DD288" s="408">
        <v>0</v>
      </c>
      <c r="DE288" s="408">
        <v>0</v>
      </c>
      <c r="DF288" s="408">
        <v>0</v>
      </c>
      <c r="DG288" s="408">
        <v>-2.9267432921642467E-10</v>
      </c>
      <c r="DH288" s="408">
        <v>0</v>
      </c>
      <c r="DI288" s="408">
        <v>0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0</v>
      </c>
      <c r="DP288" s="408">
        <v>-4.5656533812029887E-3</v>
      </c>
      <c r="DQ288" s="408">
        <v>0</v>
      </c>
      <c r="DR288" s="408">
        <v>0</v>
      </c>
      <c r="DS288" s="408"/>
      <c r="DT288" s="408"/>
      <c r="DU288" s="408"/>
      <c r="DV288" s="408">
        <v>30.419266203211738</v>
      </c>
      <c r="DW288" s="408">
        <v>0</v>
      </c>
      <c r="DX288" s="408">
        <v>0</v>
      </c>
      <c r="DY288" s="408">
        <v>-18.675000000000001</v>
      </c>
      <c r="DZ288" s="408">
        <v>0</v>
      </c>
      <c r="EA288" s="408">
        <v>0</v>
      </c>
      <c r="EB288" s="408">
        <v>0</v>
      </c>
      <c r="EC288" s="408">
        <v>-18.651424681685455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265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295</v>
      </c>
      <c r="B289" s="408" t="s">
        <v>1031</v>
      </c>
      <c r="C289" s="408" t="s">
        <v>2227</v>
      </c>
      <c r="D289" s="408" t="s">
        <v>1949</v>
      </c>
      <c r="E289" s="408" t="s">
        <v>964</v>
      </c>
      <c r="F289" s="408" t="s">
        <v>2232</v>
      </c>
      <c r="G289" s="408" t="s">
        <v>1317</v>
      </c>
      <c r="H289" s="408" t="s">
        <v>1317</v>
      </c>
      <c r="I289" s="408" t="s">
        <v>1317</v>
      </c>
      <c r="J289" s="408" t="s">
        <v>2228</v>
      </c>
      <c r="K289" s="828">
        <v>44562</v>
      </c>
      <c r="L289" s="408">
        <v>0</v>
      </c>
      <c r="M289" s="408">
        <v>0</v>
      </c>
      <c r="N289" s="408">
        <v>18.405999999999999</v>
      </c>
      <c r="O289" s="408">
        <v>18.405999999999999</v>
      </c>
      <c r="P289" s="408">
        <v>18.405999999999999</v>
      </c>
      <c r="Q289" s="408">
        <v>18.405999999999999</v>
      </c>
      <c r="R289" s="408"/>
      <c r="S289" s="408">
        <v>667.62</v>
      </c>
      <c r="T289" s="408">
        <v>252.22</v>
      </c>
      <c r="U289" s="408"/>
      <c r="V289" s="408">
        <v>16930.57504</v>
      </c>
      <c r="W289" s="408">
        <v>16930.57504</v>
      </c>
      <c r="X289" s="408">
        <v>11201.707539999999</v>
      </c>
      <c r="Y289" s="408">
        <v>0</v>
      </c>
      <c r="Z289" s="408">
        <v>0</v>
      </c>
      <c r="AA289" s="408">
        <v>0</v>
      </c>
      <c r="AB289" s="408">
        <v>0</v>
      </c>
      <c r="AC289" s="408">
        <v>0</v>
      </c>
      <c r="AD289" s="408">
        <v>2273.0964739761012</v>
      </c>
      <c r="AE289" s="408">
        <v>9331.6168956052534</v>
      </c>
      <c r="AF289" s="408">
        <v>4642.412258180907</v>
      </c>
      <c r="AG289" s="408">
        <v>0</v>
      </c>
      <c r="AH289" s="408">
        <v>0</v>
      </c>
      <c r="AI289" s="408">
        <v>0</v>
      </c>
      <c r="AJ289" s="408">
        <v>0</v>
      </c>
      <c r="AK289" s="408">
        <v>0</v>
      </c>
      <c r="AL289" s="408">
        <v>0</v>
      </c>
      <c r="AM289" s="408"/>
      <c r="AN289" s="408">
        <v>43.130752912204869</v>
      </c>
      <c r="AO289" s="408">
        <v>0</v>
      </c>
      <c r="AP289" s="408">
        <v>0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640.42292798062431</v>
      </c>
      <c r="BH289" s="408">
        <v>0</v>
      </c>
      <c r="BI289" s="408">
        <v>0</v>
      </c>
      <c r="BJ289" s="408">
        <v>0</v>
      </c>
      <c r="BK289" s="408">
        <v>2223.37</v>
      </c>
      <c r="BL289" s="408">
        <v>75</v>
      </c>
      <c r="BM289" s="408"/>
      <c r="BN289" s="408"/>
      <c r="BO289" s="408"/>
      <c r="BP289" s="408"/>
      <c r="BQ289" s="408"/>
      <c r="BR289" s="408"/>
      <c r="BS289" s="408"/>
      <c r="BT289" s="408">
        <v>4480.7566399999996</v>
      </c>
      <c r="BU289" s="408"/>
      <c r="BV289" s="408">
        <v>5282.8351861615311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6722.4115000000002</v>
      </c>
      <c r="CJ289" s="408">
        <v>-3435.8899000000001</v>
      </c>
      <c r="CK289" s="408"/>
      <c r="CL289" s="408"/>
      <c r="CM289" s="408"/>
      <c r="CN289" s="408"/>
      <c r="CO289" s="408">
        <v>-5728.8674999999994</v>
      </c>
      <c r="CP289" s="408">
        <v>0</v>
      </c>
      <c r="CQ289" s="408">
        <v>31</v>
      </c>
      <c r="CR289" s="408">
        <v>-7.2426491209134838</v>
      </c>
      <c r="CS289" s="408">
        <v>0</v>
      </c>
      <c r="CT289" s="408">
        <v>0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-5.8420581113878143</v>
      </c>
      <c r="DA289" s="408">
        <v>0</v>
      </c>
      <c r="DB289" s="408">
        <v>0</v>
      </c>
      <c r="DC289" s="408">
        <v>-6.5083622757811099E-7</v>
      </c>
      <c r="DD289" s="408">
        <v>0</v>
      </c>
      <c r="DE289" s="408">
        <v>0</v>
      </c>
      <c r="DF289" s="408">
        <v>0</v>
      </c>
      <c r="DG289" s="408">
        <v>-8.9782702161755878E-8</v>
      </c>
      <c r="DH289" s="408">
        <v>0</v>
      </c>
      <c r="DI289" s="408">
        <v>0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0</v>
      </c>
      <c r="DP289" s="408">
        <v>-1.4005902689070382</v>
      </c>
      <c r="DQ289" s="408">
        <v>0</v>
      </c>
      <c r="DR289" s="408">
        <v>0</v>
      </c>
      <c r="DS289" s="408"/>
      <c r="DT289" s="408"/>
      <c r="DU289" s="408"/>
      <c r="DV289" s="408">
        <v>9331.6168956052534</v>
      </c>
      <c r="DW289" s="408">
        <v>0</v>
      </c>
      <c r="DX289" s="408">
        <v>0</v>
      </c>
      <c r="DY289" s="408">
        <v>-5728.8675000000003</v>
      </c>
      <c r="DZ289" s="408">
        <v>0</v>
      </c>
      <c r="EA289" s="408">
        <v>0</v>
      </c>
      <c r="EB289" s="408">
        <v>0</v>
      </c>
      <c r="EC289" s="408">
        <v>-5721.6353781850412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265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296</v>
      </c>
      <c r="B290" s="408" t="s">
        <v>2230</v>
      </c>
      <c r="C290" s="408" t="s">
        <v>2227</v>
      </c>
      <c r="D290" s="408" t="s">
        <v>1949</v>
      </c>
      <c r="E290" s="408" t="s">
        <v>964</v>
      </c>
      <c r="F290" s="408" t="s">
        <v>2232</v>
      </c>
      <c r="G290" s="408" t="s">
        <v>1317</v>
      </c>
      <c r="H290" s="408" t="s">
        <v>1317</v>
      </c>
      <c r="I290" s="408" t="s">
        <v>1317</v>
      </c>
      <c r="J290" s="408" t="s">
        <v>2228</v>
      </c>
      <c r="K290" s="828">
        <v>44562</v>
      </c>
      <c r="L290" s="408">
        <v>0</v>
      </c>
      <c r="M290" s="408">
        <v>0</v>
      </c>
      <c r="N290" s="408">
        <v>0.14000000000000001</v>
      </c>
      <c r="O290" s="408">
        <v>-2.8000000000000001E-2</v>
      </c>
      <c r="P290" s="408">
        <v>0.14000000000000001</v>
      </c>
      <c r="Q290" s="408">
        <v>-2.8000000000000001E-2</v>
      </c>
      <c r="R290" s="408"/>
      <c r="S290" s="408">
        <v>667.62</v>
      </c>
      <c r="T290" s="408">
        <v>252.22</v>
      </c>
      <c r="U290" s="408"/>
      <c r="V290" s="408">
        <v>128.77760000000001</v>
      </c>
      <c r="W290" s="408">
        <v>128.77760000000001</v>
      </c>
      <c r="X290" s="408">
        <v>85.202600000000004</v>
      </c>
      <c r="Y290" s="408">
        <v>0</v>
      </c>
      <c r="Z290" s="408">
        <v>0</v>
      </c>
      <c r="AA290" s="408">
        <v>0</v>
      </c>
      <c r="AB290" s="408">
        <v>0</v>
      </c>
      <c r="AC290" s="408">
        <v>0</v>
      </c>
      <c r="AD290" s="408">
        <v>17.289661325472899</v>
      </c>
      <c r="AE290" s="408">
        <v>70.97828780749407</v>
      </c>
      <c r="AF290" s="408">
        <v>35.311187446774262</v>
      </c>
      <c r="AG290" s="408">
        <v>0</v>
      </c>
      <c r="AH290" s="408">
        <v>0</v>
      </c>
      <c r="AI290" s="408">
        <v>0</v>
      </c>
      <c r="AJ290" s="408">
        <v>0</v>
      </c>
      <c r="AK290" s="408">
        <v>0</v>
      </c>
      <c r="AL290" s="408">
        <v>0</v>
      </c>
      <c r="AM290" s="408"/>
      <c r="AN290" s="408">
        <v>0.32806179548563963</v>
      </c>
      <c r="AO290" s="408">
        <v>0</v>
      </c>
      <c r="AP290" s="408">
        <v>0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4.8711947146195493</v>
      </c>
      <c r="BH290" s="408">
        <v>0</v>
      </c>
      <c r="BI290" s="408">
        <v>0</v>
      </c>
      <c r="BJ290" s="408">
        <v>0</v>
      </c>
      <c r="BK290" s="408">
        <v>22.03</v>
      </c>
      <c r="BL290" s="408">
        <v>0</v>
      </c>
      <c r="BM290" s="408"/>
      <c r="BN290" s="408"/>
      <c r="BO290" s="408"/>
      <c r="BP290" s="408"/>
      <c r="BQ290" s="408"/>
      <c r="BR290" s="408"/>
      <c r="BS290" s="408"/>
      <c r="BT290" s="408">
        <v>95.426800000000014</v>
      </c>
      <c r="BU290" s="408"/>
      <c r="BV290" s="408">
        <v>40.182382161393811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-10.954499999999999</v>
      </c>
      <c r="CJ290" s="408">
        <v>4.4687000000000037</v>
      </c>
      <c r="CK290" s="408"/>
      <c r="CL290" s="408"/>
      <c r="CM290" s="408"/>
      <c r="CN290" s="408"/>
      <c r="CO290" s="408">
        <v>-43.575000000000003</v>
      </c>
      <c r="CP290" s="408">
        <v>0</v>
      </c>
      <c r="CQ290" s="408">
        <v>31</v>
      </c>
      <c r="CR290" s="408">
        <v>-5.5089149023565653E-2</v>
      </c>
      <c r="CS290" s="408">
        <v>0</v>
      </c>
      <c r="CT290" s="408">
        <v>0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-4.4435952167457771E-2</v>
      </c>
      <c r="DA290" s="408">
        <v>0</v>
      </c>
      <c r="DB290" s="408">
        <v>0</v>
      </c>
      <c r="DC290" s="408">
        <v>-4.9504009780321212E-9</v>
      </c>
      <c r="DD290" s="408">
        <v>0</v>
      </c>
      <c r="DE290" s="408">
        <v>0</v>
      </c>
      <c r="DF290" s="408">
        <v>0</v>
      </c>
      <c r="DG290" s="408">
        <v>-6.8290706423113079E-10</v>
      </c>
      <c r="DH290" s="408">
        <v>0</v>
      </c>
      <c r="DI290" s="408">
        <v>0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0</v>
      </c>
      <c r="DP290" s="408">
        <v>-1.0653191222807001E-2</v>
      </c>
      <c r="DQ290" s="408">
        <v>0</v>
      </c>
      <c r="DR290" s="408">
        <v>0</v>
      </c>
      <c r="DS290" s="408"/>
      <c r="DT290" s="408"/>
      <c r="DU290" s="408"/>
      <c r="DV290" s="408">
        <v>70.97828780749407</v>
      </c>
      <c r="DW290" s="408">
        <v>0</v>
      </c>
      <c r="DX290" s="408">
        <v>0</v>
      </c>
      <c r="DY290" s="408">
        <v>-43.575000000000003</v>
      </c>
      <c r="DZ290" s="408">
        <v>0</v>
      </c>
      <c r="EA290" s="408">
        <v>0</v>
      </c>
      <c r="EB290" s="408">
        <v>0</v>
      </c>
      <c r="EC290" s="408">
        <v>-43.519990923932745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265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297</v>
      </c>
      <c r="B291" s="408" t="s">
        <v>1031</v>
      </c>
      <c r="C291" s="408" t="s">
        <v>2227</v>
      </c>
      <c r="D291" s="408" t="s">
        <v>1949</v>
      </c>
      <c r="E291" s="408" t="s">
        <v>964</v>
      </c>
      <c r="F291" s="408" t="s">
        <v>2233</v>
      </c>
      <c r="G291" s="408" t="s">
        <v>1317</v>
      </c>
      <c r="H291" s="408" t="s">
        <v>1317</v>
      </c>
      <c r="I291" s="408" t="s">
        <v>1317</v>
      </c>
      <c r="J291" s="408" t="s">
        <v>2228</v>
      </c>
      <c r="K291" s="828">
        <v>44562</v>
      </c>
      <c r="L291" s="408">
        <v>0</v>
      </c>
      <c r="M291" s="408">
        <v>0</v>
      </c>
      <c r="N291" s="408">
        <v>16.968</v>
      </c>
      <c r="O291" s="408">
        <v>16.968</v>
      </c>
      <c r="P291" s="408">
        <v>16.968</v>
      </c>
      <c r="Q291" s="408">
        <v>16.968</v>
      </c>
      <c r="R291" s="408"/>
      <c r="S291" s="408">
        <v>667.62</v>
      </c>
      <c r="T291" s="408">
        <v>252.22</v>
      </c>
      <c r="U291" s="408"/>
      <c r="V291" s="408">
        <v>15607.845120000002</v>
      </c>
      <c r="W291" s="408">
        <v>15607.845120000002</v>
      </c>
      <c r="X291" s="408">
        <v>10326.555120000001</v>
      </c>
      <c r="Y291" s="408">
        <v>0</v>
      </c>
      <c r="Z291" s="408">
        <v>0</v>
      </c>
      <c r="AA291" s="408">
        <v>0</v>
      </c>
      <c r="AB291" s="408">
        <v>0</v>
      </c>
      <c r="AC291" s="408">
        <v>0</v>
      </c>
      <c r="AD291" s="408">
        <v>2095.5069526473153</v>
      </c>
      <c r="AE291" s="408">
        <v>8602.5684822682797</v>
      </c>
      <c r="AF291" s="408">
        <v>4279.71591854904</v>
      </c>
      <c r="AG291" s="408">
        <v>0</v>
      </c>
      <c r="AH291" s="408">
        <v>0</v>
      </c>
      <c r="AI291" s="408">
        <v>0</v>
      </c>
      <c r="AJ291" s="408">
        <v>0</v>
      </c>
      <c r="AK291" s="408">
        <v>0</v>
      </c>
      <c r="AL291" s="408">
        <v>0</v>
      </c>
      <c r="AM291" s="408"/>
      <c r="AN291" s="408">
        <v>39.761089612859514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590.38879941188929</v>
      </c>
      <c r="BH291" s="408">
        <v>0</v>
      </c>
      <c r="BI291" s="408">
        <v>0</v>
      </c>
      <c r="BJ291" s="408">
        <v>0</v>
      </c>
      <c r="BK291" s="408">
        <v>3097.77</v>
      </c>
      <c r="BL291" s="408">
        <v>144</v>
      </c>
      <c r="BM291" s="408"/>
      <c r="BN291" s="408"/>
      <c r="BO291" s="408"/>
      <c r="BP291" s="408"/>
      <c r="BQ291" s="408"/>
      <c r="BR291" s="408"/>
      <c r="BS291" s="408"/>
      <c r="BT291" s="408">
        <v>1032.5027999999998</v>
      </c>
      <c r="BU291" s="408"/>
      <c r="BV291" s="408">
        <v>4870.1047179609295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9295.1477999999988</v>
      </c>
      <c r="CJ291" s="408">
        <v>-4752.0106800000012</v>
      </c>
      <c r="CK291" s="408"/>
      <c r="CL291" s="408"/>
      <c r="CM291" s="408"/>
      <c r="CN291" s="408"/>
      <c r="CO291" s="408">
        <v>-5281.29</v>
      </c>
      <c r="CP291" s="408">
        <v>0</v>
      </c>
      <c r="CQ291" s="408">
        <v>31</v>
      </c>
      <c r="CR291" s="408">
        <v>-6.6768048616568194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-5.3856374026959202</v>
      </c>
      <c r="DA291" s="408">
        <v>0</v>
      </c>
      <c r="DB291" s="408">
        <v>0</v>
      </c>
      <c r="DC291" s="408">
        <v>-5.9998819779139012E-7</v>
      </c>
      <c r="DD291" s="408">
        <v>0</v>
      </c>
      <c r="DE291" s="408">
        <v>0</v>
      </c>
      <c r="DF291" s="408">
        <v>0</v>
      </c>
      <c r="DG291" s="408">
        <v>-8.2768337961169891E-8</v>
      </c>
      <c r="DH291" s="408">
        <v>0</v>
      </c>
      <c r="DI291" s="408">
        <v>0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0</v>
      </c>
      <c r="DP291" s="408">
        <v>-1.2911667762042072</v>
      </c>
      <c r="DQ291" s="408">
        <v>0</v>
      </c>
      <c r="DR291" s="408">
        <v>0</v>
      </c>
      <c r="DS291" s="408"/>
      <c r="DT291" s="408"/>
      <c r="DU291" s="408"/>
      <c r="DV291" s="408">
        <v>8602.5684822682797</v>
      </c>
      <c r="DW291" s="408">
        <v>0</v>
      </c>
      <c r="DX291" s="408">
        <v>0</v>
      </c>
      <c r="DY291" s="408">
        <v>-5281.2900000000009</v>
      </c>
      <c r="DZ291" s="408">
        <v>0</v>
      </c>
      <c r="EA291" s="408">
        <v>0</v>
      </c>
      <c r="EB291" s="408">
        <v>0</v>
      </c>
      <c r="EC291" s="408">
        <v>-5274.6228999806481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265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298</v>
      </c>
      <c r="B292" s="408" t="s">
        <v>2230</v>
      </c>
      <c r="C292" s="408" t="s">
        <v>2227</v>
      </c>
      <c r="D292" s="408" t="s">
        <v>1949</v>
      </c>
      <c r="E292" s="408" t="s">
        <v>964</v>
      </c>
      <c r="F292" s="408" t="s">
        <v>2233</v>
      </c>
      <c r="G292" s="408" t="s">
        <v>1317</v>
      </c>
      <c r="H292" s="408" t="s">
        <v>1317</v>
      </c>
      <c r="I292" s="408" t="s">
        <v>1317</v>
      </c>
      <c r="J292" s="408" t="s">
        <v>2228</v>
      </c>
      <c r="K292" s="828">
        <v>44562</v>
      </c>
      <c r="L292" s="408">
        <v>0</v>
      </c>
      <c r="M292" s="408">
        <v>0</v>
      </c>
      <c r="N292" s="408">
        <v>0.18</v>
      </c>
      <c r="O292" s="408">
        <v>0.126</v>
      </c>
      <c r="P292" s="408">
        <v>0.18</v>
      </c>
      <c r="Q292" s="408">
        <v>0.126</v>
      </c>
      <c r="R292" s="408"/>
      <c r="S292" s="408">
        <v>667.62</v>
      </c>
      <c r="T292" s="408">
        <v>252.22</v>
      </c>
      <c r="U292" s="408"/>
      <c r="V292" s="408">
        <v>165.5712</v>
      </c>
      <c r="W292" s="408">
        <v>165.5712</v>
      </c>
      <c r="X292" s="408">
        <v>109.5462</v>
      </c>
      <c r="Y292" s="408">
        <v>0</v>
      </c>
      <c r="Z292" s="408">
        <v>0</v>
      </c>
      <c r="AA292" s="408">
        <v>0</v>
      </c>
      <c r="AB292" s="408">
        <v>0</v>
      </c>
      <c r="AC292" s="408">
        <v>0</v>
      </c>
      <c r="AD292" s="408">
        <v>22.229564561322299</v>
      </c>
      <c r="AE292" s="408">
        <v>91.257798609635216</v>
      </c>
      <c r="AF292" s="408">
        <v>45.400098145852617</v>
      </c>
      <c r="AG292" s="408">
        <v>0</v>
      </c>
      <c r="AH292" s="408">
        <v>0</v>
      </c>
      <c r="AI292" s="408">
        <v>0</v>
      </c>
      <c r="AJ292" s="408">
        <v>0</v>
      </c>
      <c r="AK292" s="408">
        <v>0</v>
      </c>
      <c r="AL292" s="408">
        <v>0</v>
      </c>
      <c r="AM292" s="408"/>
      <c r="AN292" s="408">
        <v>0.42179373705296513</v>
      </c>
      <c r="AO292" s="408">
        <v>0</v>
      </c>
      <c r="AP292" s="408">
        <v>0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6.2629646330822766</v>
      </c>
      <c r="BH292" s="408">
        <v>0</v>
      </c>
      <c r="BI292" s="408">
        <v>0</v>
      </c>
      <c r="BJ292" s="408">
        <v>0</v>
      </c>
      <c r="BK292" s="408">
        <v>52.1</v>
      </c>
      <c r="BL292" s="408">
        <v>0</v>
      </c>
      <c r="BM292" s="408"/>
      <c r="BN292" s="408"/>
      <c r="BO292" s="408"/>
      <c r="BP292" s="408"/>
      <c r="BQ292" s="408"/>
      <c r="BR292" s="408"/>
      <c r="BS292" s="408"/>
      <c r="BT292" s="408">
        <v>40.53096</v>
      </c>
      <c r="BU292" s="408"/>
      <c r="BV292" s="408">
        <v>51.663062778934894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71.20620000000001</v>
      </c>
      <c r="CJ292" s="408">
        <v>-33.134160000000008</v>
      </c>
      <c r="CK292" s="408"/>
      <c r="CL292" s="408"/>
      <c r="CM292" s="408"/>
      <c r="CN292" s="408"/>
      <c r="CO292" s="408">
        <v>-56.024999999999999</v>
      </c>
      <c r="CP292" s="408">
        <v>0</v>
      </c>
      <c r="CQ292" s="408">
        <v>31</v>
      </c>
      <c r="CR292" s="408">
        <v>-7.082890588745272E-2</v>
      </c>
      <c r="CS292" s="408">
        <v>0</v>
      </c>
      <c r="CT292" s="408">
        <v>0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-5.7131938501019164E-2</v>
      </c>
      <c r="DA292" s="408">
        <v>0</v>
      </c>
      <c r="DB292" s="408">
        <v>0</v>
      </c>
      <c r="DC292" s="408">
        <v>-6.364800242408819E-9</v>
      </c>
      <c r="DD292" s="408">
        <v>0</v>
      </c>
      <c r="DE292" s="408">
        <v>0</v>
      </c>
      <c r="DF292" s="408">
        <v>0</v>
      </c>
      <c r="DG292" s="408">
        <v>-8.78022987649274E-10</v>
      </c>
      <c r="DH292" s="408">
        <v>0</v>
      </c>
      <c r="DI292" s="408">
        <v>0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0</v>
      </c>
      <c r="DP292" s="408">
        <v>-1.3696960143608938E-2</v>
      </c>
      <c r="DQ292" s="408">
        <v>0</v>
      </c>
      <c r="DR292" s="408">
        <v>0</v>
      </c>
      <c r="DS292" s="408"/>
      <c r="DT292" s="408"/>
      <c r="DU292" s="408"/>
      <c r="DV292" s="408">
        <v>91.257798609635216</v>
      </c>
      <c r="DW292" s="408">
        <v>0</v>
      </c>
      <c r="DX292" s="408">
        <v>0</v>
      </c>
      <c r="DY292" s="408">
        <v>-56.025000000000006</v>
      </c>
      <c r="DZ292" s="408">
        <v>0</v>
      </c>
      <c r="EA292" s="408">
        <v>0</v>
      </c>
      <c r="EB292" s="408">
        <v>0</v>
      </c>
      <c r="EC292" s="408">
        <v>-55.954274045056373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265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299</v>
      </c>
      <c r="B293" s="408" t="s">
        <v>1031</v>
      </c>
      <c r="C293" s="408" t="s">
        <v>2227</v>
      </c>
      <c r="D293" s="408" t="s">
        <v>1949</v>
      </c>
      <c r="E293" s="408" t="s">
        <v>964</v>
      </c>
      <c r="F293" s="408" t="s">
        <v>2234</v>
      </c>
      <c r="G293" s="408" t="s">
        <v>1317</v>
      </c>
      <c r="H293" s="408" t="s">
        <v>1317</v>
      </c>
      <c r="I293" s="408" t="s">
        <v>1317</v>
      </c>
      <c r="J293" s="408" t="s">
        <v>2228</v>
      </c>
      <c r="K293" s="828">
        <v>44562</v>
      </c>
      <c r="L293" s="408">
        <v>0</v>
      </c>
      <c r="M293" s="408">
        <v>0</v>
      </c>
      <c r="N293" s="408">
        <v>8.1270000000000007</v>
      </c>
      <c r="O293" s="408">
        <v>8.1270000000000007</v>
      </c>
      <c r="P293" s="408">
        <v>8.1270000000000007</v>
      </c>
      <c r="Q293" s="408">
        <v>8.1270000000000007</v>
      </c>
      <c r="R293" s="408"/>
      <c r="S293" s="408">
        <v>667.62</v>
      </c>
      <c r="T293" s="408">
        <v>252.22</v>
      </c>
      <c r="U293" s="408"/>
      <c r="V293" s="408">
        <v>7475.5396800000008</v>
      </c>
      <c r="W293" s="408">
        <v>7475.5396800000008</v>
      </c>
      <c r="X293" s="408">
        <v>4946.0109300000004</v>
      </c>
      <c r="Y293" s="408">
        <v>0</v>
      </c>
      <c r="Z293" s="408">
        <v>0</v>
      </c>
      <c r="AA293" s="408">
        <v>0</v>
      </c>
      <c r="AB293" s="408">
        <v>0</v>
      </c>
      <c r="AC293" s="408">
        <v>0</v>
      </c>
      <c r="AD293" s="408">
        <v>1003.6648399437018</v>
      </c>
      <c r="AE293" s="408">
        <v>4120.2896072250305</v>
      </c>
      <c r="AF293" s="408">
        <v>2049.814431285246</v>
      </c>
      <c r="AG293" s="408">
        <v>0</v>
      </c>
      <c r="AH293" s="408">
        <v>0</v>
      </c>
      <c r="AI293" s="408">
        <v>0</v>
      </c>
      <c r="AJ293" s="408">
        <v>0</v>
      </c>
      <c r="AK293" s="408">
        <v>0</v>
      </c>
      <c r="AL293" s="408">
        <v>0</v>
      </c>
      <c r="AM293" s="408"/>
      <c r="AN293" s="408">
        <v>19.043987227941379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>
        <v>0</v>
      </c>
      <c r="BG293" s="408">
        <v>282.77285318366484</v>
      </c>
      <c r="BH293" s="408">
        <v>0</v>
      </c>
      <c r="BI293" s="408">
        <v>0</v>
      </c>
      <c r="BJ293" s="408">
        <v>0</v>
      </c>
      <c r="BK293" s="408">
        <v>1648.34</v>
      </c>
      <c r="BL293" s="408">
        <v>74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2332.5872844689106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4947.8366999999998</v>
      </c>
      <c r="CJ293" s="408">
        <v>-2527.7329800000016</v>
      </c>
      <c r="CK293" s="408"/>
      <c r="CL293" s="408"/>
      <c r="CM293" s="408"/>
      <c r="CN293" s="408"/>
      <c r="CO293" s="408">
        <v>-2529.5287500000004</v>
      </c>
      <c r="CP293" s="408">
        <v>0</v>
      </c>
      <c r="CQ293" s="408">
        <v>31</v>
      </c>
      <c r="CR293" s="408">
        <v>-3.1979251008183383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-2.5795070233210708</v>
      </c>
      <c r="DA293" s="408">
        <v>0</v>
      </c>
      <c r="DB293" s="408">
        <v>0</v>
      </c>
      <c r="DC293" s="408">
        <v>-2.873707671824377E-7</v>
      </c>
      <c r="DD293" s="408">
        <v>0</v>
      </c>
      <c r="DE293" s="408">
        <v>0</v>
      </c>
      <c r="DF293" s="408">
        <v>0</v>
      </c>
      <c r="DG293" s="408">
        <v>-3.9642770843784092E-8</v>
      </c>
      <c r="DH293" s="408">
        <v>0</v>
      </c>
      <c r="DI293" s="408">
        <v>0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0</v>
      </c>
      <c r="DP293" s="408">
        <v>-0.61841775048394609</v>
      </c>
      <c r="DQ293" s="408">
        <v>0</v>
      </c>
      <c r="DR293" s="408">
        <v>0</v>
      </c>
      <c r="DS293" s="408"/>
      <c r="DT293" s="408"/>
      <c r="DU293" s="408"/>
      <c r="DV293" s="408">
        <v>4120.2896072250305</v>
      </c>
      <c r="DW293" s="408">
        <v>0</v>
      </c>
      <c r="DX293" s="408">
        <v>0</v>
      </c>
      <c r="DY293" s="408">
        <v>-2529.5287500000004</v>
      </c>
      <c r="DZ293" s="408">
        <v>0</v>
      </c>
      <c r="EA293" s="408">
        <v>0</v>
      </c>
      <c r="EB293" s="408">
        <v>0</v>
      </c>
      <c r="EC293" s="408">
        <v>-2526.3354731342956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265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300</v>
      </c>
      <c r="B294" s="408" t="s">
        <v>2230</v>
      </c>
      <c r="C294" s="408" t="s">
        <v>2227</v>
      </c>
      <c r="D294" s="408" t="s">
        <v>1949</v>
      </c>
      <c r="E294" s="408" t="s">
        <v>964</v>
      </c>
      <c r="F294" s="408" t="s">
        <v>2234</v>
      </c>
      <c r="G294" s="408" t="s">
        <v>1317</v>
      </c>
      <c r="H294" s="408" t="s">
        <v>1317</v>
      </c>
      <c r="I294" s="408" t="s">
        <v>1317</v>
      </c>
      <c r="J294" s="408" t="s">
        <v>2228</v>
      </c>
      <c r="K294" s="828">
        <v>44562</v>
      </c>
      <c r="L294" s="408">
        <v>0</v>
      </c>
      <c r="M294" s="408">
        <v>0</v>
      </c>
      <c r="N294" s="408">
        <v>0.27900000000000003</v>
      </c>
      <c r="O294" s="408">
        <v>0.27900000000000003</v>
      </c>
      <c r="P294" s="408">
        <v>0.27900000000000003</v>
      </c>
      <c r="Q294" s="408">
        <v>0.27900000000000003</v>
      </c>
      <c r="R294" s="408"/>
      <c r="S294" s="408">
        <v>667.62</v>
      </c>
      <c r="T294" s="408">
        <v>252.22</v>
      </c>
      <c r="U294" s="408"/>
      <c r="V294" s="408">
        <v>256.63535999999999</v>
      </c>
      <c r="W294" s="408">
        <v>256.63535999999999</v>
      </c>
      <c r="X294" s="408">
        <v>169.79661000000002</v>
      </c>
      <c r="Y294" s="408">
        <v>0</v>
      </c>
      <c r="Z294" s="408">
        <v>0</v>
      </c>
      <c r="AA294" s="408">
        <v>0</v>
      </c>
      <c r="AB294" s="408">
        <v>0</v>
      </c>
      <c r="AC294" s="408">
        <v>0</v>
      </c>
      <c r="AD294" s="408">
        <v>34.455825070049563</v>
      </c>
      <c r="AE294" s="408">
        <v>141.4495878449346</v>
      </c>
      <c r="AF294" s="408">
        <v>70.370152126071574</v>
      </c>
      <c r="AG294" s="408">
        <v>0</v>
      </c>
      <c r="AH294" s="408">
        <v>0</v>
      </c>
      <c r="AI294" s="408">
        <v>0</v>
      </c>
      <c r="AJ294" s="408">
        <v>0</v>
      </c>
      <c r="AK294" s="408">
        <v>0</v>
      </c>
      <c r="AL294" s="408">
        <v>0</v>
      </c>
      <c r="AM294" s="408"/>
      <c r="AN294" s="408">
        <v>0.65378029243209601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9.7075951812775294</v>
      </c>
      <c r="BH294" s="408">
        <v>0</v>
      </c>
      <c r="BI294" s="408">
        <v>0</v>
      </c>
      <c r="BJ294" s="408">
        <v>0</v>
      </c>
      <c r="BK294" s="408">
        <v>98.75</v>
      </c>
      <c r="BL294" s="408">
        <v>3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80.0777473073491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170.40520000000001</v>
      </c>
      <c r="CJ294" s="408">
        <v>-86.260159999999956</v>
      </c>
      <c r="CK294" s="408"/>
      <c r="CL294" s="408"/>
      <c r="CM294" s="408"/>
      <c r="CN294" s="408"/>
      <c r="CO294" s="408">
        <v>-86.838750000000005</v>
      </c>
      <c r="CP294" s="408">
        <v>0</v>
      </c>
      <c r="CQ294" s="408">
        <v>31</v>
      </c>
      <c r="CR294" s="408">
        <v>-0.10978480412555314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-8.8554504676579882E-2</v>
      </c>
      <c r="DA294" s="408">
        <v>0</v>
      </c>
      <c r="DB294" s="408">
        <v>0</v>
      </c>
      <c r="DC294" s="408">
        <v>-9.8654453495328198E-9</v>
      </c>
      <c r="DD294" s="408">
        <v>0</v>
      </c>
      <c r="DE294" s="408">
        <v>0</v>
      </c>
      <c r="DF294" s="408">
        <v>0</v>
      </c>
      <c r="DG294" s="408">
        <v>-1.3609344762244291E-9</v>
      </c>
      <c r="DH294" s="408">
        <v>0</v>
      </c>
      <c r="DI294" s="408">
        <v>0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0</v>
      </c>
      <c r="DP294" s="408">
        <v>-2.1230288222593874E-2</v>
      </c>
      <c r="DQ294" s="408">
        <v>0</v>
      </c>
      <c r="DR294" s="408">
        <v>0</v>
      </c>
      <c r="DS294" s="408"/>
      <c r="DT294" s="408"/>
      <c r="DU294" s="408"/>
      <c r="DV294" s="408">
        <v>141.4495878449346</v>
      </c>
      <c r="DW294" s="408">
        <v>0</v>
      </c>
      <c r="DX294" s="408">
        <v>0</v>
      </c>
      <c r="DY294" s="408">
        <v>-86.838750000000005</v>
      </c>
      <c r="DZ294" s="408">
        <v>0</v>
      </c>
      <c r="EA294" s="408">
        <v>0</v>
      </c>
      <c r="EB294" s="408">
        <v>0</v>
      </c>
      <c r="EC294" s="408">
        <v>-86.729124769837398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265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301</v>
      </c>
      <c r="B295" s="408" t="s">
        <v>1031</v>
      </c>
      <c r="C295" s="408" t="s">
        <v>2227</v>
      </c>
      <c r="D295" s="408" t="s">
        <v>1952</v>
      </c>
      <c r="E295" s="408" t="s">
        <v>965</v>
      </c>
      <c r="F295" s="408" t="s">
        <v>1317</v>
      </c>
      <c r="G295" s="408" t="s">
        <v>1317</v>
      </c>
      <c r="H295" s="408" t="s">
        <v>1317</v>
      </c>
      <c r="I295" s="408" t="s">
        <v>1317</v>
      </c>
      <c r="J295" s="408" t="s">
        <v>2228</v>
      </c>
      <c r="K295" s="828">
        <v>44562</v>
      </c>
      <c r="L295" s="408">
        <v>0</v>
      </c>
      <c r="M295" s="408">
        <v>0</v>
      </c>
      <c r="N295" s="408">
        <v>51.26</v>
      </c>
      <c r="O295" s="408">
        <v>51.26</v>
      </c>
      <c r="P295" s="408">
        <v>51.26</v>
      </c>
      <c r="Q295" s="408">
        <v>51.26</v>
      </c>
      <c r="R295" s="408"/>
      <c r="S295" s="408">
        <v>739.04</v>
      </c>
      <c r="T295" s="408">
        <v>252.22</v>
      </c>
      <c r="U295" s="408"/>
      <c r="V295" s="408">
        <v>50811.9876</v>
      </c>
      <c r="W295" s="408">
        <v>50811.9876</v>
      </c>
      <c r="X295" s="408">
        <v>34752.742200000001</v>
      </c>
      <c r="Y295" s="408">
        <v>0</v>
      </c>
      <c r="Z295" s="408">
        <v>3170.5928085157966</v>
      </c>
      <c r="AA295" s="408">
        <v>0</v>
      </c>
      <c r="AB295" s="408">
        <v>0</v>
      </c>
      <c r="AC295" s="408">
        <v>0</v>
      </c>
      <c r="AD295" s="408">
        <v>6330.4859967410057</v>
      </c>
      <c r="AE295" s="408">
        <v>25988.193092943897</v>
      </c>
      <c r="AF295" s="408">
        <v>12928.939060868917</v>
      </c>
      <c r="AG295" s="408">
        <v>0</v>
      </c>
      <c r="AH295" s="408">
        <v>0</v>
      </c>
      <c r="AI295" s="408">
        <v>0</v>
      </c>
      <c r="AJ295" s="408">
        <v>0</v>
      </c>
      <c r="AK295" s="408">
        <v>0</v>
      </c>
      <c r="AL295" s="408">
        <v>490.09835597180256</v>
      </c>
      <c r="AM295" s="408"/>
      <c r="AN295" s="408">
        <v>120.11748311852774</v>
      </c>
      <c r="AO295" s="408">
        <v>0</v>
      </c>
      <c r="AP295" s="408">
        <v>0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>
        <v>0</v>
      </c>
      <c r="BG295" s="408">
        <v>1783.5531505099859</v>
      </c>
      <c r="BH295" s="408">
        <v>0</v>
      </c>
      <c r="BI295" s="408">
        <v>0</v>
      </c>
      <c r="BJ295" s="408">
        <v>0</v>
      </c>
      <c r="BK295" s="408">
        <v>8608.76</v>
      </c>
      <c r="BL295" s="408">
        <v>18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14712.492211378903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34752.742200000001</v>
      </c>
      <c r="CJ295" s="408">
        <v>-16059.275400000006</v>
      </c>
      <c r="CK295" s="408"/>
      <c r="CL295" s="408"/>
      <c r="CM295" s="408"/>
      <c r="CN295" s="408"/>
      <c r="CO295" s="408">
        <v>-16059.245399999998</v>
      </c>
      <c r="CP295" s="408">
        <v>0</v>
      </c>
      <c r="CQ295" s="408">
        <v>31</v>
      </c>
      <c r="CR295" s="408">
        <v>-124.67441463229625</v>
      </c>
      <c r="CS295" s="408">
        <v>0</v>
      </c>
      <c r="CT295" s="408">
        <v>0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-16.26990648645733</v>
      </c>
      <c r="DA295" s="408">
        <v>0</v>
      </c>
      <c r="DB295" s="408">
        <v>0</v>
      </c>
      <c r="DC295" s="408">
        <v>-1.8125538190361112E-6</v>
      </c>
      <c r="DD295" s="408">
        <v>0</v>
      </c>
      <c r="DE295" s="408">
        <v>0</v>
      </c>
      <c r="DF295" s="408">
        <v>0</v>
      </c>
      <c r="DG295" s="408">
        <v>-2.5004123926919419E-7</v>
      </c>
      <c r="DH295" s="408">
        <v>0</v>
      </c>
      <c r="DI295" s="408">
        <v>-92.191609393645194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-12.312306817590297</v>
      </c>
      <c r="DP295" s="408">
        <v>-3.9005898720077568</v>
      </c>
      <c r="DQ295" s="408">
        <v>0</v>
      </c>
      <c r="DR295" s="408">
        <v>0</v>
      </c>
      <c r="DS295" s="408"/>
      <c r="DT295" s="408"/>
      <c r="DU295" s="408"/>
      <c r="DV295" s="408">
        <v>25988.193092943897</v>
      </c>
      <c r="DW295" s="408">
        <v>0</v>
      </c>
      <c r="DX295" s="408">
        <v>0</v>
      </c>
      <c r="DY295" s="408">
        <v>-16059.2454</v>
      </c>
      <c r="DZ295" s="408">
        <v>0</v>
      </c>
      <c r="EA295" s="408">
        <v>0</v>
      </c>
      <c r="EB295" s="408">
        <v>0</v>
      </c>
      <c r="EC295" s="408">
        <v>-15934.533819719945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265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302</v>
      </c>
      <c r="B296" s="408" t="s">
        <v>2230</v>
      </c>
      <c r="C296" s="408" t="s">
        <v>2227</v>
      </c>
      <c r="D296" s="408" t="s">
        <v>1952</v>
      </c>
      <c r="E296" s="408" t="s">
        <v>965</v>
      </c>
      <c r="F296" s="408" t="s">
        <v>1317</v>
      </c>
      <c r="G296" s="408" t="s">
        <v>1317</v>
      </c>
      <c r="H296" s="408" t="s">
        <v>1317</v>
      </c>
      <c r="I296" s="408" t="s">
        <v>1317</v>
      </c>
      <c r="J296" s="408" t="s">
        <v>2228</v>
      </c>
      <c r="K296" s="828">
        <v>44562</v>
      </c>
      <c r="L296" s="408">
        <v>0</v>
      </c>
      <c r="M296" s="408">
        <v>0</v>
      </c>
      <c r="N296" s="408">
        <v>11.93</v>
      </c>
      <c r="O296" s="408">
        <v>11.93</v>
      </c>
      <c r="P296" s="408">
        <v>11.93</v>
      </c>
      <c r="Q296" s="408">
        <v>11.93</v>
      </c>
      <c r="R296" s="408"/>
      <c r="S296" s="408">
        <v>739.04</v>
      </c>
      <c r="T296" s="408">
        <v>252.22</v>
      </c>
      <c r="U296" s="408"/>
      <c r="V296" s="408">
        <v>11825.7318</v>
      </c>
      <c r="W296" s="408">
        <v>11825.7318</v>
      </c>
      <c r="X296" s="408">
        <v>8088.1821</v>
      </c>
      <c r="Y296" s="408">
        <v>0</v>
      </c>
      <c r="Z296" s="408">
        <v>737.90815851723471</v>
      </c>
      <c r="AA296" s="408">
        <v>0</v>
      </c>
      <c r="AB296" s="408">
        <v>0</v>
      </c>
      <c r="AC296" s="408">
        <v>0</v>
      </c>
      <c r="AD296" s="408">
        <v>1473.3261400920835</v>
      </c>
      <c r="AE296" s="408">
        <v>6048.3640967386009</v>
      </c>
      <c r="AF296" s="408">
        <v>3009.0176160001211</v>
      </c>
      <c r="AG296" s="408">
        <v>0</v>
      </c>
      <c r="AH296" s="408">
        <v>0</v>
      </c>
      <c r="AI296" s="408">
        <v>0</v>
      </c>
      <c r="AJ296" s="408">
        <v>0</v>
      </c>
      <c r="AK296" s="408">
        <v>0</v>
      </c>
      <c r="AL296" s="408">
        <v>114.06307816511129</v>
      </c>
      <c r="AM296" s="408"/>
      <c r="AN296" s="408">
        <v>27.955551572454858</v>
      </c>
      <c r="AO296" s="408">
        <v>0</v>
      </c>
      <c r="AP296" s="408">
        <v>0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>
        <v>0</v>
      </c>
      <c r="BG296" s="408">
        <v>415.09537818150864</v>
      </c>
      <c r="BH296" s="408">
        <v>0</v>
      </c>
      <c r="BI296" s="408">
        <v>0</v>
      </c>
      <c r="BJ296" s="408">
        <v>0</v>
      </c>
      <c r="BK296" s="408">
        <v>3532.26</v>
      </c>
      <c r="BL296" s="408">
        <v>12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3424.1129941816298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8088.1821</v>
      </c>
      <c r="CJ296" s="408">
        <v>-3737.5797000000002</v>
      </c>
      <c r="CK296" s="408"/>
      <c r="CL296" s="408"/>
      <c r="CM296" s="408"/>
      <c r="CN296" s="408"/>
      <c r="CO296" s="408">
        <v>-3737.5496999999996</v>
      </c>
      <c r="CP296" s="408">
        <v>0</v>
      </c>
      <c r="CQ296" s="408">
        <v>31</v>
      </c>
      <c r="CR296" s="408">
        <v>-29.01610937501664</v>
      </c>
      <c r="CS296" s="408">
        <v>0</v>
      </c>
      <c r="CT296" s="408">
        <v>0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-3.786577923984396</v>
      </c>
      <c r="DA296" s="408">
        <v>0</v>
      </c>
      <c r="DB296" s="408">
        <v>0</v>
      </c>
      <c r="DC296" s="408">
        <v>-4.2184501580777578E-7</v>
      </c>
      <c r="DD296" s="408">
        <v>0</v>
      </c>
      <c r="DE296" s="408">
        <v>0</v>
      </c>
      <c r="DF296" s="408">
        <v>0</v>
      </c>
      <c r="DG296" s="408">
        <v>-5.8193393215333344E-8</v>
      </c>
      <c r="DH296" s="408">
        <v>0</v>
      </c>
      <c r="DI296" s="408">
        <v>-21.456221226417938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-2.865505663945612</v>
      </c>
      <c r="DP296" s="408">
        <v>-0.90780408062919449</v>
      </c>
      <c r="DQ296" s="408">
        <v>0</v>
      </c>
      <c r="DR296" s="408">
        <v>0</v>
      </c>
      <c r="DS296" s="408"/>
      <c r="DT296" s="408"/>
      <c r="DU296" s="408"/>
      <c r="DV296" s="408">
        <v>6048.3640967386009</v>
      </c>
      <c r="DW296" s="408">
        <v>0</v>
      </c>
      <c r="DX296" s="408">
        <v>0</v>
      </c>
      <c r="DY296" s="408">
        <v>-3737.5496999999996</v>
      </c>
      <c r="DZ296" s="408">
        <v>0</v>
      </c>
      <c r="EA296" s="408">
        <v>0</v>
      </c>
      <c r="EB296" s="408">
        <v>0</v>
      </c>
      <c r="EC296" s="408">
        <v>-3708.5249408751256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265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303</v>
      </c>
      <c r="B297" s="408" t="s">
        <v>1031</v>
      </c>
      <c r="C297" s="408" t="s">
        <v>2235</v>
      </c>
      <c r="D297" s="408" t="s">
        <v>596</v>
      </c>
      <c r="E297" s="408" t="s">
        <v>965</v>
      </c>
      <c r="F297" s="408" t="s">
        <v>1317</v>
      </c>
      <c r="G297" s="408" t="s">
        <v>1317</v>
      </c>
      <c r="H297" s="408" t="s">
        <v>1317</v>
      </c>
      <c r="I297" s="408" t="s">
        <v>968</v>
      </c>
      <c r="J297" s="408" t="s">
        <v>2228</v>
      </c>
      <c r="K297" s="828">
        <v>44562</v>
      </c>
      <c r="L297" s="408">
        <v>0</v>
      </c>
      <c r="M297" s="408">
        <v>0</v>
      </c>
      <c r="N297" s="408">
        <v>26.715</v>
      </c>
      <c r="O297" s="408">
        <v>26.715</v>
      </c>
      <c r="P297" s="408">
        <v>26.715</v>
      </c>
      <c r="Q297" s="408">
        <v>26.715</v>
      </c>
      <c r="R297" s="408"/>
      <c r="S297" s="408">
        <v>2641.06</v>
      </c>
      <c r="T297" s="408">
        <v>252.22</v>
      </c>
      <c r="U297" s="408"/>
      <c r="V297" s="408">
        <v>77293.975200000001</v>
      </c>
      <c r="W297" s="408">
        <v>77293.975200000001</v>
      </c>
      <c r="X297" s="408">
        <v>45878.738099999995</v>
      </c>
      <c r="Y297" s="408">
        <v>0</v>
      </c>
      <c r="Z297" s="408">
        <v>1437.5941588990356</v>
      </c>
      <c r="AA297" s="408">
        <v>0</v>
      </c>
      <c r="AB297" s="408">
        <v>0</v>
      </c>
      <c r="AC297" s="408">
        <v>0</v>
      </c>
      <c r="AD297" s="408">
        <v>17305.095152255715</v>
      </c>
      <c r="AE297" s="408">
        <v>51081.493451806913</v>
      </c>
      <c r="AF297" s="408">
        <v>6738.1312331469599</v>
      </c>
      <c r="AG297" s="408">
        <v>0</v>
      </c>
      <c r="AH297" s="408">
        <v>0</v>
      </c>
      <c r="AI297" s="408">
        <v>0</v>
      </c>
      <c r="AJ297" s="408">
        <v>0</v>
      </c>
      <c r="AK297" s="408">
        <v>0</v>
      </c>
      <c r="AL297" s="408">
        <v>255.42289465054051</v>
      </c>
      <c r="AM297" s="408"/>
      <c r="AN297" s="408">
        <v>64.273782467024546</v>
      </c>
      <c r="AO297" s="408">
        <v>0</v>
      </c>
      <c r="AP297" s="408">
        <v>0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412.02120459315978</v>
      </c>
      <c r="BH297" s="408">
        <v>0</v>
      </c>
      <c r="BI297" s="408">
        <v>0</v>
      </c>
      <c r="BJ297" s="408">
        <v>0</v>
      </c>
      <c r="BK297" s="408">
        <v>0</v>
      </c>
      <c r="BL297" s="408">
        <v>0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7150.1524377401192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45887.324800000002</v>
      </c>
      <c r="CJ297" s="408">
        <v>-31406.680399999983</v>
      </c>
      <c r="CK297" s="408"/>
      <c r="CL297" s="408"/>
      <c r="CM297" s="408"/>
      <c r="CN297" s="408"/>
      <c r="CO297" s="408">
        <v>-31415.237100000002</v>
      </c>
      <c r="CP297" s="408">
        <v>0</v>
      </c>
      <c r="CQ297" s="408">
        <v>31</v>
      </c>
      <c r="CR297" s="408">
        <v>-94.7806064041215</v>
      </c>
      <c r="CS297" s="408">
        <v>0</v>
      </c>
      <c r="CT297" s="408">
        <v>0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-44.475618461474369</v>
      </c>
      <c r="DA297" s="408">
        <v>0</v>
      </c>
      <c r="DB297" s="408">
        <v>0</v>
      </c>
      <c r="DC297" s="408">
        <v>-9.4464303401764482E-7</v>
      </c>
      <c r="DD297" s="408">
        <v>0</v>
      </c>
      <c r="DE297" s="408">
        <v>0</v>
      </c>
      <c r="DF297" s="408">
        <v>0</v>
      </c>
      <c r="DG297" s="408">
        <v>-5.7763145377975889E-8</v>
      </c>
      <c r="DH297" s="408">
        <v>0</v>
      </c>
      <c r="DI297" s="408">
        <v>-41.80105335754115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-6.4167631024565992</v>
      </c>
      <c r="DP297" s="408">
        <v>-2.0871704802467406</v>
      </c>
      <c r="DQ297" s="408">
        <v>0</v>
      </c>
      <c r="DR297" s="408">
        <v>0</v>
      </c>
      <c r="DS297" s="408"/>
      <c r="DT297" s="408"/>
      <c r="DU297" s="408"/>
      <c r="DV297" s="408">
        <v>51081.493451806913</v>
      </c>
      <c r="DW297" s="408">
        <v>0</v>
      </c>
      <c r="DX297" s="408">
        <v>0</v>
      </c>
      <c r="DY297" s="408">
        <v>-31415.237100000006</v>
      </c>
      <c r="DZ297" s="408">
        <v>0</v>
      </c>
      <c r="EA297" s="408">
        <v>0</v>
      </c>
      <c r="EB297" s="408">
        <v>0</v>
      </c>
      <c r="EC297" s="408">
        <v>-31320.36852499067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265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304</v>
      </c>
      <c r="B298" s="408" t="s">
        <v>1031</v>
      </c>
      <c r="C298" s="408" t="s">
        <v>2235</v>
      </c>
      <c r="D298" s="408" t="s">
        <v>596</v>
      </c>
      <c r="E298" s="408" t="s">
        <v>965</v>
      </c>
      <c r="F298" s="408" t="s">
        <v>1317</v>
      </c>
      <c r="G298" s="408" t="s">
        <v>1317</v>
      </c>
      <c r="H298" s="408" t="s">
        <v>1317</v>
      </c>
      <c r="I298" s="408" t="s">
        <v>2236</v>
      </c>
      <c r="J298" s="408" t="s">
        <v>2228</v>
      </c>
      <c r="K298" s="828">
        <v>44562</v>
      </c>
      <c r="L298" s="408">
        <v>0</v>
      </c>
      <c r="M298" s="408">
        <v>0</v>
      </c>
      <c r="N298" s="408">
        <v>372.16</v>
      </c>
      <c r="O298" s="408">
        <v>372.16</v>
      </c>
      <c r="P298" s="408">
        <v>372.16</v>
      </c>
      <c r="Q298" s="408">
        <v>372.16</v>
      </c>
      <c r="R298" s="408"/>
      <c r="S298" s="408">
        <v>81.2</v>
      </c>
      <c r="T298" s="408">
        <v>252.22</v>
      </c>
      <c r="U298" s="408"/>
      <c r="V298" s="408">
        <v>124085.58720000001</v>
      </c>
      <c r="W298" s="408">
        <v>124085.58720000001</v>
      </c>
      <c r="X298" s="408">
        <v>123385.9264</v>
      </c>
      <c r="Y298" s="408">
        <v>0</v>
      </c>
      <c r="Z298" s="408">
        <v>20026.765569001127</v>
      </c>
      <c r="AA298" s="408">
        <v>0</v>
      </c>
      <c r="AB298" s="408">
        <v>0</v>
      </c>
      <c r="AC298" s="408">
        <v>0</v>
      </c>
      <c r="AD298" s="408">
        <v>0</v>
      </c>
      <c r="AE298" s="408">
        <v>0</v>
      </c>
      <c r="AF298" s="408">
        <v>93867.225144225071</v>
      </c>
      <c r="AG298" s="408">
        <v>0</v>
      </c>
      <c r="AH298" s="408">
        <v>0</v>
      </c>
      <c r="AI298" s="408">
        <v>0</v>
      </c>
      <c r="AJ298" s="408">
        <v>0</v>
      </c>
      <c r="AK298" s="408">
        <v>0</v>
      </c>
      <c r="AL298" s="408">
        <v>3558.2326211171689</v>
      </c>
      <c r="AM298" s="408"/>
      <c r="AN298" s="408">
        <v>895.38202818371167</v>
      </c>
      <c r="AO298" s="408">
        <v>0</v>
      </c>
      <c r="AP298" s="408">
        <v>0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5739.7646079502283</v>
      </c>
      <c r="BH298" s="408">
        <v>0</v>
      </c>
      <c r="BI298" s="408">
        <v>0</v>
      </c>
      <c r="BJ298" s="408">
        <v>0</v>
      </c>
      <c r="BK298" s="408">
        <v>0</v>
      </c>
      <c r="BL298" s="408">
        <v>0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99606.989752175301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123385.9264</v>
      </c>
      <c r="CJ298" s="408">
        <v>-699.69079999999667</v>
      </c>
      <c r="CK298" s="408"/>
      <c r="CL298" s="408"/>
      <c r="CM298" s="408"/>
      <c r="CN298" s="408"/>
      <c r="CO298" s="408">
        <v>-699.66080000000363</v>
      </c>
      <c r="CP298" s="408">
        <v>0</v>
      </c>
      <c r="CQ298" s="408">
        <v>31</v>
      </c>
      <c r="CR298" s="408">
        <v>-700.78623667366628</v>
      </c>
      <c r="CS298" s="408">
        <v>0</v>
      </c>
      <c r="CT298" s="408">
        <v>0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0</v>
      </c>
      <c r="DA298" s="408">
        <v>0</v>
      </c>
      <c r="DB298" s="408">
        <v>0</v>
      </c>
      <c r="DC298" s="408">
        <v>-1.3159587979316711E-5</v>
      </c>
      <c r="DD298" s="408">
        <v>0</v>
      </c>
      <c r="DE298" s="408">
        <v>0</v>
      </c>
      <c r="DF298" s="408">
        <v>0</v>
      </c>
      <c r="DG298" s="408">
        <v>-8.0468362284591421E-7</v>
      </c>
      <c r="DH298" s="408">
        <v>0</v>
      </c>
      <c r="DI298" s="408">
        <v>-582.32004557524124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-89.390325892204601</v>
      </c>
      <c r="DP298" s="408">
        <v>-29.075851241947476</v>
      </c>
      <c r="DQ298" s="408">
        <v>0</v>
      </c>
      <c r="DR298" s="408">
        <v>0</v>
      </c>
      <c r="DS298" s="408"/>
      <c r="DT298" s="408"/>
      <c r="DU298" s="408"/>
      <c r="DV298" s="408">
        <v>0</v>
      </c>
      <c r="DW298" s="408">
        <v>0</v>
      </c>
      <c r="DX298" s="408">
        <v>0</v>
      </c>
      <c r="DY298" s="408">
        <v>-699.66080000000511</v>
      </c>
      <c r="DZ298" s="408">
        <v>0</v>
      </c>
      <c r="EA298" s="408">
        <v>0</v>
      </c>
      <c r="EB298" s="408">
        <v>0</v>
      </c>
      <c r="EC298" s="408">
        <v>0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265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305</v>
      </c>
      <c r="B299" s="408" t="s">
        <v>1031</v>
      </c>
      <c r="C299" s="408" t="s">
        <v>2235</v>
      </c>
      <c r="D299" s="408" t="s">
        <v>596</v>
      </c>
      <c r="E299" s="408" t="s">
        <v>965</v>
      </c>
      <c r="F299" s="408" t="s">
        <v>1317</v>
      </c>
      <c r="G299" s="408" t="s">
        <v>1317</v>
      </c>
      <c r="H299" s="408" t="s">
        <v>1317</v>
      </c>
      <c r="I299" s="408" t="s">
        <v>1317</v>
      </c>
      <c r="J299" s="408" t="s">
        <v>2228</v>
      </c>
      <c r="K299" s="828">
        <v>44562</v>
      </c>
      <c r="L299" s="408">
        <v>1848</v>
      </c>
      <c r="M299" s="408">
        <v>1848</v>
      </c>
      <c r="N299" s="408">
        <v>0</v>
      </c>
      <c r="O299" s="408">
        <v>0</v>
      </c>
      <c r="P299" s="408">
        <v>0</v>
      </c>
      <c r="Q299" s="408">
        <v>0</v>
      </c>
      <c r="R299" s="408">
        <v>74.44</v>
      </c>
      <c r="S299" s="408"/>
      <c r="T299" s="408"/>
      <c r="U299" s="408">
        <v>137565.12</v>
      </c>
      <c r="V299" s="408"/>
      <c r="W299" s="408">
        <v>137565.12</v>
      </c>
      <c r="X299" s="408">
        <v>83936.16</v>
      </c>
      <c r="Y299" s="408">
        <v>0</v>
      </c>
      <c r="Z299" s="408">
        <v>0</v>
      </c>
      <c r="AA299" s="408">
        <v>0</v>
      </c>
      <c r="AB299" s="408">
        <v>0</v>
      </c>
      <c r="AC299" s="408">
        <v>0</v>
      </c>
      <c r="AD299" s="408">
        <v>50297.186996274926</v>
      </c>
      <c r="AE299" s="408">
        <v>87265.402102361317</v>
      </c>
      <c r="AF299" s="408"/>
      <c r="AG299" s="408"/>
      <c r="AH299" s="408"/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0</v>
      </c>
      <c r="AO299" s="408">
        <v>0</v>
      </c>
      <c r="AP299" s="408">
        <v>0</v>
      </c>
      <c r="AQ299" s="408">
        <v>0</v>
      </c>
      <c r="AR299" s="408">
        <v>0</v>
      </c>
      <c r="AS299" s="408"/>
      <c r="AT299" s="408"/>
      <c r="AU299" s="408">
        <v>0</v>
      </c>
      <c r="AV299" s="408">
        <v>0</v>
      </c>
      <c r="AW299" s="408">
        <v>0</v>
      </c>
      <c r="AX299" s="408"/>
      <c r="AY299" s="408"/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/>
      <c r="BG299" s="408">
        <v>0</v>
      </c>
      <c r="BH299" s="408">
        <v>0</v>
      </c>
      <c r="BI299" s="408">
        <v>0</v>
      </c>
      <c r="BJ299" s="408">
        <v>0</v>
      </c>
      <c r="BK299" s="408">
        <v>63452</v>
      </c>
      <c r="BL299" s="408">
        <v>9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0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83936.16</v>
      </c>
      <c r="CJ299" s="408">
        <v>-53628.99000000002</v>
      </c>
      <c r="CK299" s="408"/>
      <c r="CL299" s="408"/>
      <c r="CM299" s="408"/>
      <c r="CN299" s="408"/>
      <c r="CO299" s="408">
        <v>-53628.959999999992</v>
      </c>
      <c r="CP299" s="408">
        <v>0</v>
      </c>
      <c r="CQ299" s="408">
        <v>31</v>
      </c>
      <c r="CR299" s="408">
        <v>-129.26819984804752</v>
      </c>
      <c r="CS299" s="408">
        <v>0</v>
      </c>
      <c r="CT299" s="408">
        <v>0</v>
      </c>
      <c r="CU299" s="408">
        <v>0</v>
      </c>
      <c r="CV299" s="408">
        <v>0</v>
      </c>
      <c r="CW299" s="408"/>
      <c r="CX299" s="408"/>
      <c r="CY299" s="408"/>
      <c r="CZ299" s="408">
        <v>-129.26819984804752</v>
      </c>
      <c r="DA299" s="408">
        <v>0</v>
      </c>
      <c r="DB299" s="408">
        <v>0</v>
      </c>
      <c r="DC299" s="408"/>
      <c r="DD299" s="408"/>
      <c r="DE299" s="408">
        <v>0</v>
      </c>
      <c r="DF299" s="408">
        <v>0</v>
      </c>
      <c r="DG299" s="408">
        <v>0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/>
      <c r="DN299" s="408">
        <v>0</v>
      </c>
      <c r="DO299" s="408">
        <v>0</v>
      </c>
      <c r="DP299" s="408">
        <v>0</v>
      </c>
      <c r="DQ299" s="408">
        <v>0</v>
      </c>
      <c r="DR299" s="408">
        <v>0</v>
      </c>
      <c r="DS299" s="408"/>
      <c r="DT299" s="408"/>
      <c r="DU299" s="408">
        <v>87265.402102361317</v>
      </c>
      <c r="DV299" s="408"/>
      <c r="DW299" s="408">
        <v>0</v>
      </c>
      <c r="DX299" s="408">
        <v>0</v>
      </c>
      <c r="DY299" s="408">
        <v>-53628.959999999992</v>
      </c>
      <c r="DZ299" s="408"/>
      <c r="EA299" s="408">
        <v>0</v>
      </c>
      <c r="EB299" s="408"/>
      <c r="EC299" s="408">
        <v>-53506.35560227096</v>
      </c>
      <c r="ED299" s="408"/>
      <c r="EE299" s="408">
        <v>0</v>
      </c>
      <c r="EF299" s="408">
        <v>0</v>
      </c>
      <c r="EG299" s="408"/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/>
      <c r="EN299" s="408"/>
      <c r="EO299" s="408">
        <v>0</v>
      </c>
      <c r="EP299" s="408">
        <v>0</v>
      </c>
      <c r="EQ299" s="408"/>
      <c r="ER299" s="408">
        <v>0</v>
      </c>
      <c r="ES299" s="408"/>
      <c r="ET299" s="408">
        <v>0</v>
      </c>
      <c r="EU299" s="408"/>
      <c r="EV299" s="408">
        <v>265</v>
      </c>
      <c r="EW299" s="408"/>
      <c r="EX299" s="408"/>
      <c r="EY299" s="408"/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306</v>
      </c>
      <c r="B300" s="408" t="s">
        <v>2230</v>
      </c>
      <c r="C300" s="408" t="s">
        <v>2235</v>
      </c>
      <c r="D300" s="408" t="s">
        <v>596</v>
      </c>
      <c r="E300" s="408" t="s">
        <v>965</v>
      </c>
      <c r="F300" s="408" t="s">
        <v>1317</v>
      </c>
      <c r="G300" s="408" t="s">
        <v>1317</v>
      </c>
      <c r="H300" s="408" t="s">
        <v>1317</v>
      </c>
      <c r="I300" s="408" t="s">
        <v>1317</v>
      </c>
      <c r="J300" s="408" t="s">
        <v>2228</v>
      </c>
      <c r="K300" s="828">
        <v>44562</v>
      </c>
      <c r="L300" s="408">
        <v>80</v>
      </c>
      <c r="M300" s="408">
        <v>80</v>
      </c>
      <c r="N300" s="408">
        <v>0</v>
      </c>
      <c r="O300" s="408">
        <v>0</v>
      </c>
      <c r="P300" s="408">
        <v>0</v>
      </c>
      <c r="Q300" s="408">
        <v>0</v>
      </c>
      <c r="R300" s="408">
        <v>74.44</v>
      </c>
      <c r="S300" s="408"/>
      <c r="T300" s="408"/>
      <c r="U300" s="408">
        <v>5955.2</v>
      </c>
      <c r="V300" s="408"/>
      <c r="W300" s="408">
        <v>5955.2</v>
      </c>
      <c r="X300" s="408">
        <v>3633.6000000000004</v>
      </c>
      <c r="Y300" s="408">
        <v>0</v>
      </c>
      <c r="Z300" s="408">
        <v>0</v>
      </c>
      <c r="AA300" s="408">
        <v>0</v>
      </c>
      <c r="AB300" s="408">
        <v>0</v>
      </c>
      <c r="AC300" s="408">
        <v>0</v>
      </c>
      <c r="AD300" s="408">
        <v>2177.3674024361439</v>
      </c>
      <c r="AE300" s="408">
        <v>3777.7230347342561</v>
      </c>
      <c r="AF300" s="408"/>
      <c r="AG300" s="408"/>
      <c r="AH300" s="408"/>
      <c r="AI300" s="408">
        <v>0</v>
      </c>
      <c r="AJ300" s="408">
        <v>0</v>
      </c>
      <c r="AK300" s="408">
        <v>0</v>
      </c>
      <c r="AL300" s="408">
        <v>0</v>
      </c>
      <c r="AM300" s="408"/>
      <c r="AN300" s="408">
        <v>0</v>
      </c>
      <c r="AO300" s="408">
        <v>0</v>
      </c>
      <c r="AP300" s="408">
        <v>0</v>
      </c>
      <c r="AQ300" s="408">
        <v>0</v>
      </c>
      <c r="AR300" s="408">
        <v>0</v>
      </c>
      <c r="AS300" s="408"/>
      <c r="AT300" s="408"/>
      <c r="AU300" s="408">
        <v>0</v>
      </c>
      <c r="AV300" s="408">
        <v>0</v>
      </c>
      <c r="AW300" s="408">
        <v>0</v>
      </c>
      <c r="AX300" s="408"/>
      <c r="AY300" s="408"/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/>
      <c r="BG300" s="408">
        <v>0</v>
      </c>
      <c r="BH300" s="408">
        <v>0</v>
      </c>
      <c r="BI300" s="408">
        <v>0</v>
      </c>
      <c r="BJ300" s="408">
        <v>0</v>
      </c>
      <c r="BK300" s="408">
        <v>841.46</v>
      </c>
      <c r="BL300" s="408">
        <v>1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0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3633.6000000000004</v>
      </c>
      <c r="CJ300" s="408">
        <v>-2321.63</v>
      </c>
      <c r="CK300" s="408"/>
      <c r="CL300" s="408"/>
      <c r="CM300" s="408"/>
      <c r="CN300" s="408"/>
      <c r="CO300" s="408">
        <v>-2321.5999999999995</v>
      </c>
      <c r="CP300" s="408">
        <v>0</v>
      </c>
      <c r="CQ300" s="408">
        <v>31</v>
      </c>
      <c r="CR300" s="408">
        <v>-5.5960259674479857</v>
      </c>
      <c r="CS300" s="408">
        <v>0</v>
      </c>
      <c r="CT300" s="408">
        <v>0</v>
      </c>
      <c r="CU300" s="408">
        <v>0</v>
      </c>
      <c r="CV300" s="408">
        <v>0</v>
      </c>
      <c r="CW300" s="408"/>
      <c r="CX300" s="408"/>
      <c r="CY300" s="408"/>
      <c r="CZ300" s="408">
        <v>-5.5960259674479857</v>
      </c>
      <c r="DA300" s="408">
        <v>0</v>
      </c>
      <c r="DB300" s="408">
        <v>0</v>
      </c>
      <c r="DC300" s="408"/>
      <c r="DD300" s="408"/>
      <c r="DE300" s="408">
        <v>0</v>
      </c>
      <c r="DF300" s="408">
        <v>0</v>
      </c>
      <c r="DG300" s="408">
        <v>0</v>
      </c>
      <c r="DH300" s="408">
        <v>0</v>
      </c>
      <c r="DI300" s="408">
        <v>0</v>
      </c>
      <c r="DJ300" s="408"/>
      <c r="DK300" s="408">
        <v>0</v>
      </c>
      <c r="DL300" s="408">
        <v>0</v>
      </c>
      <c r="DM300" s="408"/>
      <c r="DN300" s="408">
        <v>0</v>
      </c>
      <c r="DO300" s="408">
        <v>0</v>
      </c>
      <c r="DP300" s="408">
        <v>0</v>
      </c>
      <c r="DQ300" s="408">
        <v>0</v>
      </c>
      <c r="DR300" s="408">
        <v>0</v>
      </c>
      <c r="DS300" s="408"/>
      <c r="DT300" s="408"/>
      <c r="DU300" s="408">
        <v>3777.7230347342561</v>
      </c>
      <c r="DV300" s="408"/>
      <c r="DW300" s="408">
        <v>0</v>
      </c>
      <c r="DX300" s="408">
        <v>0</v>
      </c>
      <c r="DY300" s="408">
        <v>-2321.5999999999995</v>
      </c>
      <c r="DZ300" s="408"/>
      <c r="EA300" s="408">
        <v>0</v>
      </c>
      <c r="EB300" s="408"/>
      <c r="EC300" s="408">
        <v>-2316.2924503147601</v>
      </c>
      <c r="ED300" s="408"/>
      <c r="EE300" s="408">
        <v>0</v>
      </c>
      <c r="EF300" s="408">
        <v>0</v>
      </c>
      <c r="EG300" s="408"/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/>
      <c r="EN300" s="408"/>
      <c r="EO300" s="408">
        <v>0</v>
      </c>
      <c r="EP300" s="408">
        <v>0</v>
      </c>
      <c r="EQ300" s="408"/>
      <c r="ER300" s="408">
        <v>0</v>
      </c>
      <c r="ES300" s="408"/>
      <c r="ET300" s="408">
        <v>0</v>
      </c>
      <c r="EU300" s="408"/>
      <c r="EV300" s="408">
        <v>265</v>
      </c>
      <c r="EW300" s="408"/>
      <c r="EX300" s="408"/>
      <c r="EY300" s="408"/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307</v>
      </c>
      <c r="B301" s="408" t="s">
        <v>1031</v>
      </c>
      <c r="C301" s="408" t="s">
        <v>2227</v>
      </c>
      <c r="D301" s="408" t="s">
        <v>1952</v>
      </c>
      <c r="E301" s="408" t="s">
        <v>993</v>
      </c>
      <c r="F301" s="408" t="s">
        <v>1317</v>
      </c>
      <c r="G301" s="408" t="s">
        <v>1317</v>
      </c>
      <c r="H301" s="408" t="s">
        <v>1317</v>
      </c>
      <c r="I301" s="408" t="s">
        <v>1317</v>
      </c>
      <c r="J301" s="408" t="s">
        <v>2228</v>
      </c>
      <c r="K301" s="828">
        <v>44562</v>
      </c>
      <c r="L301" s="408">
        <v>0</v>
      </c>
      <c r="M301" s="408">
        <v>0</v>
      </c>
      <c r="N301" s="408">
        <v>456.79899999999998</v>
      </c>
      <c r="O301" s="408">
        <v>456.79899999999998</v>
      </c>
      <c r="P301" s="408">
        <v>456.79899999999998</v>
      </c>
      <c r="Q301" s="408">
        <v>456.79899999999998</v>
      </c>
      <c r="R301" s="408"/>
      <c r="S301" s="408">
        <v>739.04</v>
      </c>
      <c r="T301" s="408">
        <v>252.22</v>
      </c>
      <c r="U301" s="408"/>
      <c r="V301" s="408">
        <v>452806.57673999999</v>
      </c>
      <c r="W301" s="408">
        <v>452806.57673999999</v>
      </c>
      <c r="X301" s="408">
        <v>309696.01802999998</v>
      </c>
      <c r="Y301" s="408">
        <v>0</v>
      </c>
      <c r="Z301" s="408">
        <v>28254.46009241528</v>
      </c>
      <c r="AA301" s="408">
        <v>0</v>
      </c>
      <c r="AB301" s="408">
        <v>0</v>
      </c>
      <c r="AC301" s="408">
        <v>0</v>
      </c>
      <c r="AD301" s="408">
        <v>56413.571455819249</v>
      </c>
      <c r="AE301" s="408">
        <v>231591.50637268199</v>
      </c>
      <c r="AF301" s="408">
        <v>115215.10796070739</v>
      </c>
      <c r="AG301" s="408">
        <v>0</v>
      </c>
      <c r="AH301" s="408">
        <v>0</v>
      </c>
      <c r="AI301" s="408">
        <v>0</v>
      </c>
      <c r="AJ301" s="408">
        <v>0</v>
      </c>
      <c r="AK301" s="408">
        <v>0</v>
      </c>
      <c r="AL301" s="408">
        <v>4367.468570221683</v>
      </c>
      <c r="AM301" s="408"/>
      <c r="AN301" s="408">
        <v>1070.416429400319</v>
      </c>
      <c r="AO301" s="408">
        <v>0</v>
      </c>
      <c r="AP301" s="408">
        <v>0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15893.977674596394</v>
      </c>
      <c r="BH301" s="408">
        <v>0</v>
      </c>
      <c r="BI301" s="408">
        <v>0</v>
      </c>
      <c r="BJ301" s="408">
        <v>0</v>
      </c>
      <c r="BK301" s="408">
        <v>124846.24</v>
      </c>
      <c r="BL301" s="408">
        <v>837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131109.08563530378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309696.696</v>
      </c>
      <c r="CJ301" s="408">
        <v>-143109.91074000002</v>
      </c>
      <c r="CK301" s="408"/>
      <c r="CL301" s="408"/>
      <c r="CM301" s="408"/>
      <c r="CN301" s="408"/>
      <c r="CO301" s="408">
        <v>-143110.55870999998</v>
      </c>
      <c r="CP301" s="408">
        <v>0</v>
      </c>
      <c r="CQ301" s="408">
        <v>31</v>
      </c>
      <c r="CR301" s="408">
        <v>-1111.025125431479</v>
      </c>
      <c r="CS301" s="408">
        <v>0</v>
      </c>
      <c r="CT301" s="408">
        <v>0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-144.98784652959876</v>
      </c>
      <c r="DA301" s="408">
        <v>0</v>
      </c>
      <c r="DB301" s="408">
        <v>0</v>
      </c>
      <c r="DC301" s="408">
        <v>-1.6152422176674008E-5</v>
      </c>
      <c r="DD301" s="408">
        <v>0</v>
      </c>
      <c r="DE301" s="408">
        <v>0</v>
      </c>
      <c r="DF301" s="408">
        <v>0</v>
      </c>
      <c r="DG301" s="408">
        <v>-2.2282220015767962E-6</v>
      </c>
      <c r="DH301" s="408">
        <v>0</v>
      </c>
      <c r="DI301" s="408">
        <v>-821.55745180272424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-109.7200437371921</v>
      </c>
      <c r="DP301" s="408">
        <v>-34.75976498133582</v>
      </c>
      <c r="DQ301" s="408">
        <v>0</v>
      </c>
      <c r="DR301" s="408">
        <v>0</v>
      </c>
      <c r="DS301" s="408"/>
      <c r="DT301" s="408"/>
      <c r="DU301" s="408"/>
      <c r="DV301" s="408">
        <v>231591.50637268199</v>
      </c>
      <c r="DW301" s="408">
        <v>0</v>
      </c>
      <c r="DX301" s="408">
        <v>0</v>
      </c>
      <c r="DY301" s="408">
        <v>-143110.55871000001</v>
      </c>
      <c r="DZ301" s="408">
        <v>0</v>
      </c>
      <c r="EA301" s="408">
        <v>0</v>
      </c>
      <c r="EB301" s="408">
        <v>0</v>
      </c>
      <c r="EC301" s="408">
        <v>-141999.20238615392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265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308</v>
      </c>
      <c r="B302" s="408" t="s">
        <v>2229</v>
      </c>
      <c r="C302" s="408" t="s">
        <v>2227</v>
      </c>
      <c r="D302" s="408" t="s">
        <v>1952</v>
      </c>
      <c r="E302" s="408" t="s">
        <v>993</v>
      </c>
      <c r="F302" s="408" t="s">
        <v>1317</v>
      </c>
      <c r="G302" s="408" t="s">
        <v>1317</v>
      </c>
      <c r="H302" s="408" t="s">
        <v>1317</v>
      </c>
      <c r="I302" s="408" t="s">
        <v>1317</v>
      </c>
      <c r="J302" s="408" t="s">
        <v>2228</v>
      </c>
      <c r="K302" s="828">
        <v>44562</v>
      </c>
      <c r="L302" s="408">
        <v>0</v>
      </c>
      <c r="M302" s="408">
        <v>0</v>
      </c>
      <c r="N302" s="408">
        <v>4.3899999999999997</v>
      </c>
      <c r="O302" s="408">
        <v>4.3899999999999997</v>
      </c>
      <c r="P302" s="408">
        <v>4.3899999999999997</v>
      </c>
      <c r="Q302" s="408">
        <v>4.3899999999999997</v>
      </c>
      <c r="R302" s="408"/>
      <c r="S302" s="408">
        <v>739.04</v>
      </c>
      <c r="T302" s="408">
        <v>252.22</v>
      </c>
      <c r="U302" s="408"/>
      <c r="V302" s="408">
        <v>4351.6313999999993</v>
      </c>
      <c r="W302" s="408">
        <v>4351.6313999999993</v>
      </c>
      <c r="X302" s="408">
        <v>2976.2882999999997</v>
      </c>
      <c r="Y302" s="408">
        <v>0</v>
      </c>
      <c r="Z302" s="408">
        <v>271.53535757675274</v>
      </c>
      <c r="AA302" s="408">
        <v>0</v>
      </c>
      <c r="AB302" s="408">
        <v>0</v>
      </c>
      <c r="AC302" s="408">
        <v>0</v>
      </c>
      <c r="AD302" s="408">
        <v>542.15438013447158</v>
      </c>
      <c r="AE302" s="408">
        <v>2225.6763105349924</v>
      </c>
      <c r="AF302" s="408">
        <v>1107.2579492238499</v>
      </c>
      <c r="AG302" s="408">
        <v>0</v>
      </c>
      <c r="AH302" s="408">
        <v>0</v>
      </c>
      <c r="AI302" s="408">
        <v>0</v>
      </c>
      <c r="AJ302" s="408">
        <v>0</v>
      </c>
      <c r="AK302" s="408">
        <v>0</v>
      </c>
      <c r="AL302" s="408">
        <v>41.972918117756791</v>
      </c>
      <c r="AM302" s="408"/>
      <c r="AN302" s="408">
        <v>10.287080587013984</v>
      </c>
      <c r="AO302" s="408">
        <v>0</v>
      </c>
      <c r="AP302" s="408">
        <v>0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152.74674855128441</v>
      </c>
      <c r="BH302" s="408">
        <v>0</v>
      </c>
      <c r="BI302" s="408">
        <v>0</v>
      </c>
      <c r="BJ302" s="408">
        <v>0</v>
      </c>
      <c r="BK302" s="408">
        <v>1184.28</v>
      </c>
      <c r="BL302" s="408">
        <v>0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1260.0046977751342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2976.2882999999997</v>
      </c>
      <c r="CJ302" s="408">
        <v>-1375.3731000000002</v>
      </c>
      <c r="CK302" s="408"/>
      <c r="CL302" s="408"/>
      <c r="CM302" s="408"/>
      <c r="CN302" s="408"/>
      <c r="CO302" s="408">
        <v>-1375.3430999999998</v>
      </c>
      <c r="CP302" s="408">
        <v>0</v>
      </c>
      <c r="CQ302" s="408">
        <v>31</v>
      </c>
      <c r="CR302" s="408">
        <v>-10.67734452274226</v>
      </c>
      <c r="CS302" s="408">
        <v>0</v>
      </c>
      <c r="CT302" s="408">
        <v>0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-1.3933845001082545</v>
      </c>
      <c r="DA302" s="408">
        <v>0</v>
      </c>
      <c r="DB302" s="408">
        <v>0</v>
      </c>
      <c r="DC302" s="408">
        <v>-1.552305093355244E-7</v>
      </c>
      <c r="DD302" s="408">
        <v>0</v>
      </c>
      <c r="DE302" s="408">
        <v>0</v>
      </c>
      <c r="DF302" s="408">
        <v>0</v>
      </c>
      <c r="DG302" s="408">
        <v>-2.1414024331534165E-8</v>
      </c>
      <c r="DH302" s="408">
        <v>0</v>
      </c>
      <c r="DI302" s="408">
        <v>-7.8954577689836469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-1.0544484379481318</v>
      </c>
      <c r="DP302" s="408">
        <v>-0.33405363905801977</v>
      </c>
      <c r="DQ302" s="408">
        <v>0</v>
      </c>
      <c r="DR302" s="408">
        <v>0</v>
      </c>
      <c r="DS302" s="408"/>
      <c r="DT302" s="408"/>
      <c r="DU302" s="408"/>
      <c r="DV302" s="408">
        <v>2225.6763105349924</v>
      </c>
      <c r="DW302" s="408">
        <v>0</v>
      </c>
      <c r="DX302" s="408">
        <v>0</v>
      </c>
      <c r="DY302" s="408">
        <v>-1375.3430999999998</v>
      </c>
      <c r="DZ302" s="408">
        <v>0</v>
      </c>
      <c r="EA302" s="408">
        <v>0</v>
      </c>
      <c r="EB302" s="408">
        <v>0</v>
      </c>
      <c r="EC302" s="408">
        <v>-1364.6625725433196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265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309</v>
      </c>
      <c r="B303" s="408" t="s">
        <v>2230</v>
      </c>
      <c r="C303" s="408" t="s">
        <v>2227</v>
      </c>
      <c r="D303" s="408" t="s">
        <v>1952</v>
      </c>
      <c r="E303" s="408" t="s">
        <v>993</v>
      </c>
      <c r="F303" s="408" t="s">
        <v>1317</v>
      </c>
      <c r="G303" s="408" t="s">
        <v>1317</v>
      </c>
      <c r="H303" s="408" t="s">
        <v>1317</v>
      </c>
      <c r="I303" s="408" t="s">
        <v>1317</v>
      </c>
      <c r="J303" s="408" t="s">
        <v>2228</v>
      </c>
      <c r="K303" s="828">
        <v>44562</v>
      </c>
      <c r="L303" s="408">
        <v>0</v>
      </c>
      <c r="M303" s="408">
        <v>0</v>
      </c>
      <c r="N303" s="408">
        <v>58.091999999999999</v>
      </c>
      <c r="O303" s="408">
        <v>58.091999999999999</v>
      </c>
      <c r="P303" s="408">
        <v>58.091999999999999</v>
      </c>
      <c r="Q303" s="408">
        <v>58.091999999999999</v>
      </c>
      <c r="R303" s="408"/>
      <c r="S303" s="408">
        <v>739.04</v>
      </c>
      <c r="T303" s="408">
        <v>252.22</v>
      </c>
      <c r="U303" s="408"/>
      <c r="V303" s="408">
        <v>57584.27592</v>
      </c>
      <c r="W303" s="408">
        <v>57584.27592</v>
      </c>
      <c r="X303" s="408">
        <v>39384.633239999996</v>
      </c>
      <c r="Y303" s="408">
        <v>0</v>
      </c>
      <c r="Z303" s="408">
        <v>3593.1735745669071</v>
      </c>
      <c r="AA303" s="408">
        <v>0</v>
      </c>
      <c r="AB303" s="408">
        <v>0</v>
      </c>
      <c r="AC303" s="408">
        <v>0</v>
      </c>
      <c r="AD303" s="408">
        <v>7174.2214694240829</v>
      </c>
      <c r="AE303" s="408">
        <v>29451.933537949608</v>
      </c>
      <c r="AF303" s="408">
        <v>14652.125008271501</v>
      </c>
      <c r="AG303" s="408">
        <v>0</v>
      </c>
      <c r="AH303" s="408">
        <v>0</v>
      </c>
      <c r="AI303" s="408">
        <v>0</v>
      </c>
      <c r="AJ303" s="408">
        <v>0</v>
      </c>
      <c r="AK303" s="408">
        <v>0</v>
      </c>
      <c r="AL303" s="408">
        <v>555.41930735688561</v>
      </c>
      <c r="AM303" s="408"/>
      <c r="AN303" s="408">
        <v>136.12689873822694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2021.26745258342</v>
      </c>
      <c r="BH303" s="408">
        <v>0</v>
      </c>
      <c r="BI303" s="408">
        <v>0</v>
      </c>
      <c r="BJ303" s="408">
        <v>0</v>
      </c>
      <c r="BK303" s="408">
        <v>35490.65</v>
      </c>
      <c r="BL303" s="408">
        <v>123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16673.392460854921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39383.277300000002</v>
      </c>
      <c r="CJ303" s="408">
        <v>-18201.028620000005</v>
      </c>
      <c r="CK303" s="408"/>
      <c r="CL303" s="408"/>
      <c r="CM303" s="408"/>
      <c r="CN303" s="408"/>
      <c r="CO303" s="408">
        <v>-18199.642679999997</v>
      </c>
      <c r="CP303" s="408">
        <v>0</v>
      </c>
      <c r="CQ303" s="408">
        <v>31</v>
      </c>
      <c r="CR303" s="408">
        <v>-141.29118405812187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-18.438380952228727</v>
      </c>
      <c r="DA303" s="408">
        <v>0</v>
      </c>
      <c r="DB303" s="408">
        <v>0</v>
      </c>
      <c r="DC303" s="408">
        <v>-2.0541338017210364E-6</v>
      </c>
      <c r="DD303" s="408">
        <v>0</v>
      </c>
      <c r="DE303" s="408">
        <v>0</v>
      </c>
      <c r="DF303" s="408">
        <v>0</v>
      </c>
      <c r="DG303" s="408">
        <v>-2.8336717150523327E-7</v>
      </c>
      <c r="DH303" s="408">
        <v>0</v>
      </c>
      <c r="DI303" s="408">
        <v>-104.479027953485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-13.953307211226274</v>
      </c>
      <c r="DP303" s="408">
        <v>-4.4204656036807251</v>
      </c>
      <c r="DQ303" s="408">
        <v>0</v>
      </c>
      <c r="DR303" s="408">
        <v>0</v>
      </c>
      <c r="DS303" s="408"/>
      <c r="DT303" s="408"/>
      <c r="DU303" s="408"/>
      <c r="DV303" s="408">
        <v>29451.933537949608</v>
      </c>
      <c r="DW303" s="408">
        <v>0</v>
      </c>
      <c r="DX303" s="408">
        <v>0</v>
      </c>
      <c r="DY303" s="408">
        <v>-18199.642680000001</v>
      </c>
      <c r="DZ303" s="408">
        <v>0</v>
      </c>
      <c r="EA303" s="408">
        <v>0</v>
      </c>
      <c r="EB303" s="408">
        <v>0</v>
      </c>
      <c r="EC303" s="408">
        <v>-18058.309376807862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265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310</v>
      </c>
      <c r="B304" s="408" t="s">
        <v>1031</v>
      </c>
      <c r="C304" s="408" t="s">
        <v>2235</v>
      </c>
      <c r="D304" s="408" t="s">
        <v>596</v>
      </c>
      <c r="E304" s="408" t="s">
        <v>993</v>
      </c>
      <c r="F304" s="408" t="s">
        <v>1317</v>
      </c>
      <c r="G304" s="408" t="s">
        <v>1317</v>
      </c>
      <c r="H304" s="408" t="s">
        <v>1317</v>
      </c>
      <c r="I304" s="408" t="s">
        <v>968</v>
      </c>
      <c r="J304" s="408" t="s">
        <v>2228</v>
      </c>
      <c r="K304" s="828">
        <v>44562</v>
      </c>
      <c r="L304" s="408">
        <v>0</v>
      </c>
      <c r="M304" s="408">
        <v>0</v>
      </c>
      <c r="N304" s="408">
        <v>12.834</v>
      </c>
      <c r="O304" s="408">
        <v>12.834</v>
      </c>
      <c r="P304" s="408">
        <v>12.834</v>
      </c>
      <c r="Q304" s="408">
        <v>12.834</v>
      </c>
      <c r="R304" s="408"/>
      <c r="S304" s="408">
        <v>2641.06</v>
      </c>
      <c r="T304" s="408">
        <v>252.22</v>
      </c>
      <c r="U304" s="408"/>
      <c r="V304" s="408">
        <v>37132.355519999997</v>
      </c>
      <c r="W304" s="408">
        <v>37132.355519999997</v>
      </c>
      <c r="X304" s="408">
        <v>22040.341559999997</v>
      </c>
      <c r="Y304" s="408">
        <v>0</v>
      </c>
      <c r="Z304" s="408">
        <v>690.62636853117056</v>
      </c>
      <c r="AA304" s="408">
        <v>0</v>
      </c>
      <c r="AB304" s="408">
        <v>0</v>
      </c>
      <c r="AC304" s="408">
        <v>0</v>
      </c>
      <c r="AD304" s="408">
        <v>8313.4415565805666</v>
      </c>
      <c r="AE304" s="408">
        <v>24539.76743254688</v>
      </c>
      <c r="AF304" s="408">
        <v>3237.0269977992916</v>
      </c>
      <c r="AG304" s="408">
        <v>0</v>
      </c>
      <c r="AH304" s="408">
        <v>0</v>
      </c>
      <c r="AI304" s="408">
        <v>0</v>
      </c>
      <c r="AJ304" s="408">
        <v>0</v>
      </c>
      <c r="AK304" s="408">
        <v>0</v>
      </c>
      <c r="AL304" s="408">
        <v>122.70624854744663</v>
      </c>
      <c r="AM304" s="408"/>
      <c r="AN304" s="408">
        <v>30.877399370458281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197.93674489045901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3434.9637426897507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22033.472199999997</v>
      </c>
      <c r="CJ304" s="408">
        <v>-15098.913320000007</v>
      </c>
      <c r="CK304" s="408"/>
      <c r="CL304" s="408"/>
      <c r="CM304" s="408"/>
      <c r="CN304" s="408"/>
      <c r="CO304" s="408">
        <v>-15092.01396</v>
      </c>
      <c r="CP304" s="408">
        <v>0</v>
      </c>
      <c r="CQ304" s="408">
        <v>31</v>
      </c>
      <c r="CR304" s="408">
        <v>-45.533007770562108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-21.366276898168508</v>
      </c>
      <c r="DA304" s="408">
        <v>0</v>
      </c>
      <c r="DB304" s="408">
        <v>0</v>
      </c>
      <c r="DC304" s="408">
        <v>-4.5381011659628712E-7</v>
      </c>
      <c r="DD304" s="408">
        <v>0</v>
      </c>
      <c r="DE304" s="408">
        <v>0</v>
      </c>
      <c r="DF304" s="408">
        <v>0</v>
      </c>
      <c r="DG304" s="408">
        <v>-2.7749649689212674E-8</v>
      </c>
      <c r="DH304" s="408">
        <v>0</v>
      </c>
      <c r="DI304" s="408">
        <v>-20.081404409159063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-3.0826403764524741</v>
      </c>
      <c r="DP304" s="408">
        <v>-1.0026856052212878</v>
      </c>
      <c r="DQ304" s="408">
        <v>0</v>
      </c>
      <c r="DR304" s="408">
        <v>0</v>
      </c>
      <c r="DS304" s="408"/>
      <c r="DT304" s="408"/>
      <c r="DU304" s="408"/>
      <c r="DV304" s="408">
        <v>24539.76743254688</v>
      </c>
      <c r="DW304" s="408">
        <v>0</v>
      </c>
      <c r="DX304" s="408">
        <v>0</v>
      </c>
      <c r="DY304" s="408">
        <v>-15092.013960000004</v>
      </c>
      <c r="DZ304" s="408">
        <v>0</v>
      </c>
      <c r="EA304" s="408">
        <v>0</v>
      </c>
      <c r="EB304" s="408">
        <v>0</v>
      </c>
      <c r="EC304" s="408">
        <v>-15046.438691736112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265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311</v>
      </c>
      <c r="B305" s="408" t="s">
        <v>2230</v>
      </c>
      <c r="C305" s="408" t="s">
        <v>2235</v>
      </c>
      <c r="D305" s="408" t="s">
        <v>596</v>
      </c>
      <c r="E305" s="408" t="s">
        <v>993</v>
      </c>
      <c r="F305" s="408" t="s">
        <v>1317</v>
      </c>
      <c r="G305" s="408" t="s">
        <v>1317</v>
      </c>
      <c r="H305" s="408" t="s">
        <v>1317</v>
      </c>
      <c r="I305" s="408" t="s">
        <v>968</v>
      </c>
      <c r="J305" s="408" t="s">
        <v>2228</v>
      </c>
      <c r="K305" s="828">
        <v>44562</v>
      </c>
      <c r="L305" s="408">
        <v>0</v>
      </c>
      <c r="M305" s="408">
        <v>0</v>
      </c>
      <c r="N305" s="408">
        <v>1.218</v>
      </c>
      <c r="O305" s="408">
        <v>1.218</v>
      </c>
      <c r="P305" s="408">
        <v>1.218</v>
      </c>
      <c r="Q305" s="408">
        <v>1.218</v>
      </c>
      <c r="R305" s="408"/>
      <c r="S305" s="408">
        <v>2641.06</v>
      </c>
      <c r="T305" s="408">
        <v>252.22</v>
      </c>
      <c r="U305" s="408"/>
      <c r="V305" s="408">
        <v>3524.0150399999998</v>
      </c>
      <c r="W305" s="408">
        <v>3524.0150399999998</v>
      </c>
      <c r="X305" s="408">
        <v>2091.72012</v>
      </c>
      <c r="Y305" s="408">
        <v>0</v>
      </c>
      <c r="Z305" s="408">
        <v>65.543315947558497</v>
      </c>
      <c r="AA305" s="408">
        <v>0</v>
      </c>
      <c r="AB305" s="408">
        <v>0</v>
      </c>
      <c r="AC305" s="408">
        <v>0</v>
      </c>
      <c r="AD305" s="408">
        <v>788.98019447679064</v>
      </c>
      <c r="AE305" s="408">
        <v>2328.926034972892</v>
      </c>
      <c r="AF305" s="408">
        <v>307.20733078693604</v>
      </c>
      <c r="AG305" s="408">
        <v>0</v>
      </c>
      <c r="AH305" s="408">
        <v>0</v>
      </c>
      <c r="AI305" s="408">
        <v>0</v>
      </c>
      <c r="AJ305" s="408">
        <v>0</v>
      </c>
      <c r="AK305" s="408">
        <v>0</v>
      </c>
      <c r="AL305" s="408">
        <v>11.645333546111111</v>
      </c>
      <c r="AM305" s="408"/>
      <c r="AN305" s="408">
        <v>2.930393675644241</v>
      </c>
      <c r="AO305" s="408">
        <v>0</v>
      </c>
      <c r="AP305" s="408">
        <v>0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>
        <v>0</v>
      </c>
      <c r="BG305" s="408">
        <v>18.785020669828508</v>
      </c>
      <c r="BH305" s="408">
        <v>0</v>
      </c>
      <c r="BI305" s="408">
        <v>0</v>
      </c>
      <c r="BJ305" s="408">
        <v>0</v>
      </c>
      <c r="BK305" s="408">
        <v>0</v>
      </c>
      <c r="BL305" s="408">
        <v>0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325.99235145676454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2095.1547999999998</v>
      </c>
      <c r="CJ305" s="408">
        <v>-1428.8902400000006</v>
      </c>
      <c r="CK305" s="408"/>
      <c r="CL305" s="408"/>
      <c r="CM305" s="408"/>
      <c r="CN305" s="408"/>
      <c r="CO305" s="408">
        <v>-1432.29492</v>
      </c>
      <c r="CP305" s="408">
        <v>0</v>
      </c>
      <c r="CQ305" s="408">
        <v>31</v>
      </c>
      <c r="CR305" s="408">
        <v>-4.3212718922036402</v>
      </c>
      <c r="CS305" s="408">
        <v>0</v>
      </c>
      <c r="CT305" s="408">
        <v>0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-2.0277485789285947</v>
      </c>
      <c r="DA305" s="408">
        <v>0</v>
      </c>
      <c r="DB305" s="408">
        <v>0</v>
      </c>
      <c r="DC305" s="408">
        <v>-4.3068496324849548E-8</v>
      </c>
      <c r="DD305" s="408">
        <v>0</v>
      </c>
      <c r="DE305" s="408">
        <v>0</v>
      </c>
      <c r="DF305" s="408">
        <v>0</v>
      </c>
      <c r="DG305" s="408">
        <v>-2.6335591485349141E-9</v>
      </c>
      <c r="DH305" s="408">
        <v>0</v>
      </c>
      <c r="DI305" s="408">
        <v>-1.9058088335948042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-0.29255539804574759</v>
      </c>
      <c r="DP305" s="408">
        <v>-9.5159035932641967E-2</v>
      </c>
      <c r="DQ305" s="408">
        <v>0</v>
      </c>
      <c r="DR305" s="408">
        <v>0</v>
      </c>
      <c r="DS305" s="408"/>
      <c r="DT305" s="408"/>
      <c r="DU305" s="408"/>
      <c r="DV305" s="408">
        <v>2328.926034972892</v>
      </c>
      <c r="DW305" s="408">
        <v>0</v>
      </c>
      <c r="DX305" s="408">
        <v>0</v>
      </c>
      <c r="DY305" s="408">
        <v>-1432.29492</v>
      </c>
      <c r="DZ305" s="408">
        <v>0</v>
      </c>
      <c r="EA305" s="408">
        <v>0</v>
      </c>
      <c r="EB305" s="408">
        <v>0</v>
      </c>
      <c r="EC305" s="408">
        <v>-1427.9696374111409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265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312</v>
      </c>
      <c r="B306" s="408" t="s">
        <v>1031</v>
      </c>
      <c r="C306" s="408" t="s">
        <v>2235</v>
      </c>
      <c r="D306" s="408" t="s">
        <v>596</v>
      </c>
      <c r="E306" s="408" t="s">
        <v>993</v>
      </c>
      <c r="F306" s="408" t="s">
        <v>1317</v>
      </c>
      <c r="G306" s="408" t="s">
        <v>1317</v>
      </c>
      <c r="H306" s="408" t="s">
        <v>1317</v>
      </c>
      <c r="I306" s="408" t="s">
        <v>2236</v>
      </c>
      <c r="J306" s="408" t="s">
        <v>2228</v>
      </c>
      <c r="K306" s="828">
        <v>44562</v>
      </c>
      <c r="L306" s="408">
        <v>0</v>
      </c>
      <c r="M306" s="408">
        <v>0</v>
      </c>
      <c r="N306" s="408">
        <v>264.84399999999999</v>
      </c>
      <c r="O306" s="408">
        <v>264.84399999999999</v>
      </c>
      <c r="P306" s="408">
        <v>264.84399999999999</v>
      </c>
      <c r="Q306" s="408">
        <v>264.84399999999999</v>
      </c>
      <c r="R306" s="408"/>
      <c r="S306" s="408">
        <v>81.2</v>
      </c>
      <c r="T306" s="408">
        <v>252.22</v>
      </c>
      <c r="U306" s="408"/>
      <c r="V306" s="408">
        <v>88304.286479999995</v>
      </c>
      <c r="W306" s="408">
        <v>88304.286479999995</v>
      </c>
      <c r="X306" s="408">
        <v>87806.379759999982</v>
      </c>
      <c r="Y306" s="408">
        <v>0</v>
      </c>
      <c r="Z306" s="408">
        <v>14251.850549109346</v>
      </c>
      <c r="AA306" s="408">
        <v>0</v>
      </c>
      <c r="AB306" s="408">
        <v>0</v>
      </c>
      <c r="AC306" s="408">
        <v>0</v>
      </c>
      <c r="AD306" s="408">
        <v>0</v>
      </c>
      <c r="AE306" s="408">
        <v>0</v>
      </c>
      <c r="AF306" s="408">
        <v>66799.686629667733</v>
      </c>
      <c r="AG306" s="408">
        <v>0</v>
      </c>
      <c r="AH306" s="408">
        <v>0</v>
      </c>
      <c r="AI306" s="408">
        <v>0</v>
      </c>
      <c r="AJ306" s="408">
        <v>0</v>
      </c>
      <c r="AK306" s="408">
        <v>0</v>
      </c>
      <c r="AL306" s="408">
        <v>2532.1812132071027</v>
      </c>
      <c r="AM306" s="408"/>
      <c r="AN306" s="408">
        <v>637.18980511685004</v>
      </c>
      <c r="AO306" s="408">
        <v>0</v>
      </c>
      <c r="AP306" s="408">
        <v>0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4084.6469739573577</v>
      </c>
      <c r="BH306" s="408">
        <v>0</v>
      </c>
      <c r="BI306" s="408">
        <v>0</v>
      </c>
      <c r="BJ306" s="408">
        <v>0</v>
      </c>
      <c r="BK306" s="408">
        <v>0</v>
      </c>
      <c r="BL306" s="408">
        <v>0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70884.333603625084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87805.053599999985</v>
      </c>
      <c r="CJ306" s="408">
        <v>-499.26287999999477</v>
      </c>
      <c r="CK306" s="408"/>
      <c r="CL306" s="408"/>
      <c r="CM306" s="408"/>
      <c r="CN306" s="408"/>
      <c r="CO306" s="408">
        <v>-497.90672000000257</v>
      </c>
      <c r="CP306" s="408">
        <v>0</v>
      </c>
      <c r="CQ306" s="408">
        <v>31</v>
      </c>
      <c r="CR306" s="408">
        <v>-498.70762592861138</v>
      </c>
      <c r="CS306" s="408">
        <v>0</v>
      </c>
      <c r="CT306" s="408">
        <v>0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0</v>
      </c>
      <c r="DA306" s="408">
        <v>0</v>
      </c>
      <c r="DB306" s="408">
        <v>0</v>
      </c>
      <c r="DC306" s="408">
        <v>-9.3648850452154875E-6</v>
      </c>
      <c r="DD306" s="408">
        <v>0</v>
      </c>
      <c r="DE306" s="408">
        <v>0</v>
      </c>
      <c r="DF306" s="408">
        <v>0</v>
      </c>
      <c r="DG306" s="408">
        <v>-5.7264560382463969E-7</v>
      </c>
      <c r="DH306" s="408">
        <v>0</v>
      </c>
      <c r="DI306" s="408">
        <v>-414.40232736008329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-63.613745353060494</v>
      </c>
      <c r="DP306" s="408">
        <v>-20.691543277951268</v>
      </c>
      <c r="DQ306" s="408">
        <v>0</v>
      </c>
      <c r="DR306" s="408">
        <v>0</v>
      </c>
      <c r="DS306" s="408"/>
      <c r="DT306" s="408"/>
      <c r="DU306" s="408"/>
      <c r="DV306" s="408">
        <v>0</v>
      </c>
      <c r="DW306" s="408">
        <v>0</v>
      </c>
      <c r="DX306" s="408">
        <v>0</v>
      </c>
      <c r="DY306" s="408">
        <v>-497.90672000000268</v>
      </c>
      <c r="DZ306" s="408">
        <v>0</v>
      </c>
      <c r="EA306" s="408">
        <v>0</v>
      </c>
      <c r="EB306" s="408">
        <v>0</v>
      </c>
      <c r="EC306" s="408">
        <v>0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265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313</v>
      </c>
      <c r="B307" s="408" t="s">
        <v>1031</v>
      </c>
      <c r="C307" s="408" t="s">
        <v>2235</v>
      </c>
      <c r="D307" s="408" t="s">
        <v>596</v>
      </c>
      <c r="E307" s="408" t="s">
        <v>993</v>
      </c>
      <c r="F307" s="408" t="s">
        <v>1317</v>
      </c>
      <c r="G307" s="408" t="s">
        <v>1317</v>
      </c>
      <c r="H307" s="408" t="s">
        <v>1317</v>
      </c>
      <c r="I307" s="408" t="s">
        <v>1317</v>
      </c>
      <c r="J307" s="408" t="s">
        <v>2228</v>
      </c>
      <c r="K307" s="828">
        <v>44562</v>
      </c>
      <c r="L307" s="408">
        <v>2357</v>
      </c>
      <c r="M307" s="408">
        <v>2357</v>
      </c>
      <c r="N307" s="408">
        <v>0</v>
      </c>
      <c r="O307" s="408">
        <v>0</v>
      </c>
      <c r="P307" s="408">
        <v>0</v>
      </c>
      <c r="Q307" s="408">
        <v>0</v>
      </c>
      <c r="R307" s="408">
        <v>74.44</v>
      </c>
      <c r="S307" s="408"/>
      <c r="T307" s="408"/>
      <c r="U307" s="408">
        <v>175455.08</v>
      </c>
      <c r="V307" s="408"/>
      <c r="W307" s="408">
        <v>175455.08</v>
      </c>
      <c r="X307" s="408">
        <v>107054.94</v>
      </c>
      <c r="Y307" s="408">
        <v>0</v>
      </c>
      <c r="Z307" s="408">
        <v>0</v>
      </c>
      <c r="AA307" s="408">
        <v>0</v>
      </c>
      <c r="AB307" s="408">
        <v>0</v>
      </c>
      <c r="AC307" s="408">
        <v>0</v>
      </c>
      <c r="AD307" s="408">
        <v>64150.687094274894</v>
      </c>
      <c r="AE307" s="408">
        <v>111301.16491085802</v>
      </c>
      <c r="AF307" s="408"/>
      <c r="AG307" s="408"/>
      <c r="AH307" s="408"/>
      <c r="AI307" s="408">
        <v>0</v>
      </c>
      <c r="AJ307" s="408">
        <v>0</v>
      </c>
      <c r="AK307" s="408">
        <v>0</v>
      </c>
      <c r="AL307" s="408">
        <v>0</v>
      </c>
      <c r="AM307" s="408"/>
      <c r="AN307" s="408">
        <v>0</v>
      </c>
      <c r="AO307" s="408">
        <v>0</v>
      </c>
      <c r="AP307" s="408">
        <v>0</v>
      </c>
      <c r="AQ307" s="408">
        <v>0</v>
      </c>
      <c r="AR307" s="408">
        <v>0</v>
      </c>
      <c r="AS307" s="408"/>
      <c r="AT307" s="408"/>
      <c r="AU307" s="408">
        <v>0</v>
      </c>
      <c r="AV307" s="408">
        <v>0</v>
      </c>
      <c r="AW307" s="408">
        <v>0</v>
      </c>
      <c r="AX307" s="408"/>
      <c r="AY307" s="408"/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/>
      <c r="BG307" s="408">
        <v>0</v>
      </c>
      <c r="BH307" s="408">
        <v>0</v>
      </c>
      <c r="BI307" s="408">
        <v>0</v>
      </c>
      <c r="BJ307" s="408">
        <v>0</v>
      </c>
      <c r="BK307" s="408">
        <v>83687.56</v>
      </c>
      <c r="BL307" s="408">
        <v>15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0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107054.94</v>
      </c>
      <c r="CJ307" s="408">
        <v>-68400.170000000013</v>
      </c>
      <c r="CK307" s="408"/>
      <c r="CL307" s="408"/>
      <c r="CM307" s="408"/>
      <c r="CN307" s="408"/>
      <c r="CO307" s="408">
        <v>-68400.139999999985</v>
      </c>
      <c r="CP307" s="408">
        <v>0</v>
      </c>
      <c r="CQ307" s="408">
        <v>31</v>
      </c>
      <c r="CR307" s="408">
        <v>-164.87291506594192</v>
      </c>
      <c r="CS307" s="408">
        <v>0</v>
      </c>
      <c r="CT307" s="408">
        <v>0</v>
      </c>
      <c r="CU307" s="408">
        <v>0</v>
      </c>
      <c r="CV307" s="408">
        <v>0</v>
      </c>
      <c r="CW307" s="408"/>
      <c r="CX307" s="408"/>
      <c r="CY307" s="408"/>
      <c r="CZ307" s="408">
        <v>-164.87291506594192</v>
      </c>
      <c r="DA307" s="408">
        <v>0</v>
      </c>
      <c r="DB307" s="408">
        <v>0</v>
      </c>
      <c r="DC307" s="408"/>
      <c r="DD307" s="408"/>
      <c r="DE307" s="408">
        <v>0</v>
      </c>
      <c r="DF307" s="408">
        <v>0</v>
      </c>
      <c r="DG307" s="408">
        <v>0</v>
      </c>
      <c r="DH307" s="408">
        <v>0</v>
      </c>
      <c r="DI307" s="408">
        <v>0</v>
      </c>
      <c r="DJ307" s="408"/>
      <c r="DK307" s="408">
        <v>0</v>
      </c>
      <c r="DL307" s="408">
        <v>0</v>
      </c>
      <c r="DM307" s="408"/>
      <c r="DN307" s="408">
        <v>0</v>
      </c>
      <c r="DO307" s="408">
        <v>0</v>
      </c>
      <c r="DP307" s="408">
        <v>0</v>
      </c>
      <c r="DQ307" s="408">
        <v>0</v>
      </c>
      <c r="DR307" s="408">
        <v>0</v>
      </c>
      <c r="DS307" s="408"/>
      <c r="DT307" s="408"/>
      <c r="DU307" s="408">
        <v>111301.16491085802</v>
      </c>
      <c r="DV307" s="408"/>
      <c r="DW307" s="408">
        <v>0</v>
      </c>
      <c r="DX307" s="408">
        <v>0</v>
      </c>
      <c r="DY307" s="408">
        <v>-68400.139999999985</v>
      </c>
      <c r="DZ307" s="408"/>
      <c r="EA307" s="408">
        <v>0</v>
      </c>
      <c r="EB307" s="408"/>
      <c r="EC307" s="408">
        <v>-68243.766317398622</v>
      </c>
      <c r="ED307" s="408"/>
      <c r="EE307" s="408">
        <v>0</v>
      </c>
      <c r="EF307" s="408">
        <v>0</v>
      </c>
      <c r="EG307" s="408"/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/>
      <c r="EN307" s="408"/>
      <c r="EO307" s="408">
        <v>0</v>
      </c>
      <c r="EP307" s="408">
        <v>0</v>
      </c>
      <c r="EQ307" s="408"/>
      <c r="ER307" s="408">
        <v>0</v>
      </c>
      <c r="ES307" s="408"/>
      <c r="ET307" s="408">
        <v>0</v>
      </c>
      <c r="EU307" s="408"/>
      <c r="EV307" s="408">
        <v>265</v>
      </c>
      <c r="EW307" s="408"/>
      <c r="EX307" s="408"/>
      <c r="EY307" s="408"/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314</v>
      </c>
      <c r="B308" s="408" t="s">
        <v>2230</v>
      </c>
      <c r="C308" s="408" t="s">
        <v>2235</v>
      </c>
      <c r="D308" s="408" t="s">
        <v>596</v>
      </c>
      <c r="E308" s="408" t="s">
        <v>993</v>
      </c>
      <c r="F308" s="408" t="s">
        <v>1317</v>
      </c>
      <c r="G308" s="408" t="s">
        <v>1317</v>
      </c>
      <c r="H308" s="408" t="s">
        <v>1317</v>
      </c>
      <c r="I308" s="408" t="s">
        <v>1317</v>
      </c>
      <c r="J308" s="408" t="s">
        <v>2228</v>
      </c>
      <c r="K308" s="828">
        <v>44562</v>
      </c>
      <c r="L308" s="408">
        <v>105</v>
      </c>
      <c r="M308" s="408">
        <v>105</v>
      </c>
      <c r="N308" s="408">
        <v>0</v>
      </c>
      <c r="O308" s="408">
        <v>0</v>
      </c>
      <c r="P308" s="408">
        <v>0</v>
      </c>
      <c r="Q308" s="408">
        <v>0</v>
      </c>
      <c r="R308" s="408">
        <v>74.44</v>
      </c>
      <c r="S308" s="408"/>
      <c r="T308" s="408"/>
      <c r="U308" s="408">
        <v>7816.2</v>
      </c>
      <c r="V308" s="408"/>
      <c r="W308" s="408">
        <v>7816.2</v>
      </c>
      <c r="X308" s="408">
        <v>4769.1000000000004</v>
      </c>
      <c r="Y308" s="408">
        <v>0</v>
      </c>
      <c r="Z308" s="408">
        <v>0</v>
      </c>
      <c r="AA308" s="408">
        <v>0</v>
      </c>
      <c r="AB308" s="408">
        <v>0</v>
      </c>
      <c r="AC308" s="408">
        <v>0</v>
      </c>
      <c r="AD308" s="408">
        <v>2857.7947156974392</v>
      </c>
      <c r="AE308" s="408">
        <v>4958.2614830887114</v>
      </c>
      <c r="AF308" s="408"/>
      <c r="AG308" s="408"/>
      <c r="AH308" s="408"/>
      <c r="AI308" s="408">
        <v>0</v>
      </c>
      <c r="AJ308" s="408">
        <v>0</v>
      </c>
      <c r="AK308" s="408">
        <v>0</v>
      </c>
      <c r="AL308" s="408">
        <v>0</v>
      </c>
      <c r="AM308" s="408"/>
      <c r="AN308" s="408">
        <v>0</v>
      </c>
      <c r="AO308" s="408">
        <v>0</v>
      </c>
      <c r="AP308" s="408">
        <v>0</v>
      </c>
      <c r="AQ308" s="408">
        <v>0</v>
      </c>
      <c r="AR308" s="408">
        <v>0</v>
      </c>
      <c r="AS308" s="408"/>
      <c r="AT308" s="408"/>
      <c r="AU308" s="408">
        <v>0</v>
      </c>
      <c r="AV308" s="408">
        <v>0</v>
      </c>
      <c r="AW308" s="408">
        <v>0</v>
      </c>
      <c r="AX308" s="408"/>
      <c r="AY308" s="408"/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/>
      <c r="BG308" s="408">
        <v>0</v>
      </c>
      <c r="BH308" s="408">
        <v>0</v>
      </c>
      <c r="BI308" s="408">
        <v>0</v>
      </c>
      <c r="BJ308" s="408">
        <v>0</v>
      </c>
      <c r="BK308" s="408">
        <v>4089.1</v>
      </c>
      <c r="BL308" s="408">
        <v>1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0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4769.1000000000004</v>
      </c>
      <c r="CJ308" s="408">
        <v>-3047.13</v>
      </c>
      <c r="CK308" s="408"/>
      <c r="CL308" s="408"/>
      <c r="CM308" s="408"/>
      <c r="CN308" s="408"/>
      <c r="CO308" s="408">
        <v>-3047.0999999999995</v>
      </c>
      <c r="CP308" s="408">
        <v>0</v>
      </c>
      <c r="CQ308" s="408">
        <v>31</v>
      </c>
      <c r="CR308" s="408">
        <v>-7.3447840822759645</v>
      </c>
      <c r="CS308" s="408">
        <v>0</v>
      </c>
      <c r="CT308" s="408">
        <v>0</v>
      </c>
      <c r="CU308" s="408">
        <v>0</v>
      </c>
      <c r="CV308" s="408">
        <v>0</v>
      </c>
      <c r="CW308" s="408"/>
      <c r="CX308" s="408"/>
      <c r="CY308" s="408"/>
      <c r="CZ308" s="408">
        <v>-7.3447840822759645</v>
      </c>
      <c r="DA308" s="408">
        <v>0</v>
      </c>
      <c r="DB308" s="408">
        <v>0</v>
      </c>
      <c r="DC308" s="408"/>
      <c r="DD308" s="408"/>
      <c r="DE308" s="408">
        <v>0</v>
      </c>
      <c r="DF308" s="408">
        <v>0</v>
      </c>
      <c r="DG308" s="408">
        <v>0</v>
      </c>
      <c r="DH308" s="408">
        <v>0</v>
      </c>
      <c r="DI308" s="408">
        <v>0</v>
      </c>
      <c r="DJ308" s="408"/>
      <c r="DK308" s="408">
        <v>0</v>
      </c>
      <c r="DL308" s="408">
        <v>0</v>
      </c>
      <c r="DM308" s="408"/>
      <c r="DN308" s="408">
        <v>0</v>
      </c>
      <c r="DO308" s="408">
        <v>0</v>
      </c>
      <c r="DP308" s="408">
        <v>0</v>
      </c>
      <c r="DQ308" s="408">
        <v>0</v>
      </c>
      <c r="DR308" s="408">
        <v>0</v>
      </c>
      <c r="DS308" s="408"/>
      <c r="DT308" s="408"/>
      <c r="DU308" s="408">
        <v>4958.2614830887114</v>
      </c>
      <c r="DV308" s="408"/>
      <c r="DW308" s="408">
        <v>0</v>
      </c>
      <c r="DX308" s="408">
        <v>0</v>
      </c>
      <c r="DY308" s="408">
        <v>-3047.0999999999995</v>
      </c>
      <c r="DZ308" s="408"/>
      <c r="EA308" s="408">
        <v>0</v>
      </c>
      <c r="EB308" s="408"/>
      <c r="EC308" s="408">
        <v>-3040.1338410381231</v>
      </c>
      <c r="ED308" s="408"/>
      <c r="EE308" s="408">
        <v>0</v>
      </c>
      <c r="EF308" s="408">
        <v>0</v>
      </c>
      <c r="EG308" s="408"/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/>
      <c r="EN308" s="408"/>
      <c r="EO308" s="408">
        <v>0</v>
      </c>
      <c r="EP308" s="408">
        <v>0</v>
      </c>
      <c r="EQ308" s="408"/>
      <c r="ER308" s="408">
        <v>0</v>
      </c>
      <c r="ES308" s="408"/>
      <c r="ET308" s="408">
        <v>0</v>
      </c>
      <c r="EU308" s="408"/>
      <c r="EV308" s="408">
        <v>265</v>
      </c>
      <c r="EW308" s="408"/>
      <c r="EX308" s="408"/>
      <c r="EY308" s="408"/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315</v>
      </c>
      <c r="B309" s="408" t="s">
        <v>1031</v>
      </c>
      <c r="C309" s="408" t="s">
        <v>2227</v>
      </c>
      <c r="D309" s="408" t="s">
        <v>2237</v>
      </c>
      <c r="E309" s="408" t="s">
        <v>969</v>
      </c>
      <c r="F309" s="408" t="s">
        <v>1317</v>
      </c>
      <c r="G309" s="408" t="s">
        <v>1317</v>
      </c>
      <c r="H309" s="408" t="s">
        <v>1317</v>
      </c>
      <c r="I309" s="408" t="s">
        <v>1317</v>
      </c>
      <c r="J309" s="408" t="s">
        <v>2228</v>
      </c>
      <c r="K309" s="828">
        <v>44562</v>
      </c>
      <c r="L309" s="408">
        <v>0</v>
      </c>
      <c r="M309" s="408">
        <v>0</v>
      </c>
      <c r="N309" s="408">
        <v>6116.61</v>
      </c>
      <c r="O309" s="408">
        <v>6116.61</v>
      </c>
      <c r="P309" s="408">
        <v>6116.61</v>
      </c>
      <c r="Q309" s="408">
        <v>6116.61</v>
      </c>
      <c r="R309" s="408"/>
      <c r="S309" s="408">
        <v>739.04</v>
      </c>
      <c r="T309" s="408">
        <v>252.22</v>
      </c>
      <c r="U309" s="408"/>
      <c r="V309" s="408">
        <v>6063150.8285999987</v>
      </c>
      <c r="W309" s="408">
        <v>6063150.8285999987</v>
      </c>
      <c r="X309" s="408">
        <v>4146878.0817</v>
      </c>
      <c r="Y309" s="408">
        <v>0</v>
      </c>
      <c r="Z309" s="408">
        <v>378331.63633429195</v>
      </c>
      <c r="AA309" s="408">
        <v>0</v>
      </c>
      <c r="AB309" s="408">
        <v>0</v>
      </c>
      <c r="AC309" s="408">
        <v>0</v>
      </c>
      <c r="AD309" s="408">
        <v>755386.53828571993</v>
      </c>
      <c r="AE309" s="408">
        <v>3101046.4641871159</v>
      </c>
      <c r="AF309" s="408">
        <v>1542748.3017772422</v>
      </c>
      <c r="AG309" s="408">
        <v>0</v>
      </c>
      <c r="AH309" s="408">
        <v>0</v>
      </c>
      <c r="AI309" s="408">
        <v>0</v>
      </c>
      <c r="AJ309" s="408">
        <v>0</v>
      </c>
      <c r="AK309" s="408">
        <v>0</v>
      </c>
      <c r="AL309" s="408">
        <v>58481.086717141778</v>
      </c>
      <c r="AM309" s="408"/>
      <c r="AN309" s="408">
        <v>14333.043277752984</v>
      </c>
      <c r="AO309" s="408">
        <v>0</v>
      </c>
      <c r="AP309" s="408">
        <v>0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>
        <v>0</v>
      </c>
      <c r="BG309" s="408">
        <v>212822.84502420767</v>
      </c>
      <c r="BH309" s="408">
        <v>0</v>
      </c>
      <c r="BI309" s="408">
        <v>0</v>
      </c>
      <c r="BJ309" s="408">
        <v>0</v>
      </c>
      <c r="BK309" s="408">
        <v>124816.13</v>
      </c>
      <c r="BL309" s="408">
        <v>12138</v>
      </c>
      <c r="BM309" s="408"/>
      <c r="BN309" s="408"/>
      <c r="BO309" s="408"/>
      <c r="BP309" s="408"/>
      <c r="BQ309" s="408"/>
      <c r="BR309" s="408">
        <v>497586.22349999973</v>
      </c>
      <c r="BS309" s="408"/>
      <c r="BT309" s="408"/>
      <c r="BU309" s="408"/>
      <c r="BV309" s="408">
        <v>1755571.1468014498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3649291.8581999997</v>
      </c>
      <c r="CJ309" s="408">
        <v>-1686288.2408999996</v>
      </c>
      <c r="CK309" s="408"/>
      <c r="CL309" s="408"/>
      <c r="CM309" s="408"/>
      <c r="CN309" s="408"/>
      <c r="CO309" s="408">
        <v>-1916272.7468999997</v>
      </c>
      <c r="CP309" s="408">
        <v>0</v>
      </c>
      <c r="CQ309" s="408">
        <v>31</v>
      </c>
      <c r="CR309" s="408">
        <v>-14876.800064067356</v>
      </c>
      <c r="CS309" s="408">
        <v>0</v>
      </c>
      <c r="CT309" s="408">
        <v>0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-1941.4099241929362</v>
      </c>
      <c r="DA309" s="408">
        <v>0</v>
      </c>
      <c r="DB309" s="408">
        <v>0</v>
      </c>
      <c r="DC309" s="408">
        <v>-2.1628360264003277E-4</v>
      </c>
      <c r="DD309" s="408">
        <v>0</v>
      </c>
      <c r="DE309" s="408">
        <v>0</v>
      </c>
      <c r="DF309" s="408">
        <v>0</v>
      </c>
      <c r="DG309" s="408">
        <v>-2.9836228350177407E-5</v>
      </c>
      <c r="DH309" s="408">
        <v>0</v>
      </c>
      <c r="DI309" s="408">
        <v>-11000.782675248978</v>
      </c>
      <c r="DJ309" s="408"/>
      <c r="DK309" s="408">
        <v>0</v>
      </c>
      <c r="DL309" s="408">
        <v>0</v>
      </c>
      <c r="DM309" s="408">
        <v>0</v>
      </c>
      <c r="DN309" s="408">
        <v>0</v>
      </c>
      <c r="DO309" s="408">
        <v>-1469.1685330382606</v>
      </c>
      <c r="DP309" s="408">
        <v>-465.43868546666818</v>
      </c>
      <c r="DQ309" s="408">
        <v>0</v>
      </c>
      <c r="DR309" s="408">
        <v>0</v>
      </c>
      <c r="DS309" s="408"/>
      <c r="DT309" s="408"/>
      <c r="DU309" s="408"/>
      <c r="DV309" s="408">
        <v>3101046.4641871159</v>
      </c>
      <c r="DW309" s="408">
        <v>0</v>
      </c>
      <c r="DX309" s="408">
        <v>0</v>
      </c>
      <c r="DY309" s="408">
        <v>-1916272.7468999992</v>
      </c>
      <c r="DZ309" s="408">
        <v>0</v>
      </c>
      <c r="EA309" s="408">
        <v>0</v>
      </c>
      <c r="EB309" s="408">
        <v>0</v>
      </c>
      <c r="EC309" s="408">
        <v>-1901391.5120374016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265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316</v>
      </c>
      <c r="B310" s="408" t="s">
        <v>2229</v>
      </c>
      <c r="C310" s="408" t="s">
        <v>2227</v>
      </c>
      <c r="D310" s="408" t="s">
        <v>2237</v>
      </c>
      <c r="E310" s="408" t="s">
        <v>969</v>
      </c>
      <c r="F310" s="408" t="s">
        <v>1317</v>
      </c>
      <c r="G310" s="408" t="s">
        <v>1317</v>
      </c>
      <c r="H310" s="408" t="s">
        <v>1317</v>
      </c>
      <c r="I310" s="408" t="s">
        <v>1317</v>
      </c>
      <c r="J310" s="408" t="s">
        <v>2228</v>
      </c>
      <c r="K310" s="828">
        <v>44562</v>
      </c>
      <c r="L310" s="408">
        <v>0</v>
      </c>
      <c r="M310" s="408">
        <v>0</v>
      </c>
      <c r="N310" s="408">
        <v>-0.21199999999999999</v>
      </c>
      <c r="O310" s="408">
        <v>-0.21199999999999999</v>
      </c>
      <c r="P310" s="408">
        <v>-0.21199999999999999</v>
      </c>
      <c r="Q310" s="408">
        <v>-0.21199999999999999</v>
      </c>
      <c r="R310" s="408"/>
      <c r="S310" s="408">
        <v>739.04</v>
      </c>
      <c r="T310" s="408">
        <v>252.22</v>
      </c>
      <c r="U310" s="408"/>
      <c r="V310" s="408">
        <v>-210.14712</v>
      </c>
      <c r="W310" s="408">
        <v>-210.14712</v>
      </c>
      <c r="X310" s="408">
        <v>-143.72963999999999</v>
      </c>
      <c r="Y310" s="408">
        <v>0</v>
      </c>
      <c r="Z310" s="408">
        <v>-13.112869204162093</v>
      </c>
      <c r="AA310" s="408">
        <v>0</v>
      </c>
      <c r="AB310" s="408">
        <v>0</v>
      </c>
      <c r="AC310" s="408">
        <v>0</v>
      </c>
      <c r="AD310" s="408">
        <v>-26.181487150001818</v>
      </c>
      <c r="AE310" s="408">
        <v>-107.48140725134814</v>
      </c>
      <c r="AF310" s="408">
        <v>-53.471226705115306</v>
      </c>
      <c r="AG310" s="408">
        <v>0</v>
      </c>
      <c r="AH310" s="408">
        <v>0</v>
      </c>
      <c r="AI310" s="408">
        <v>0</v>
      </c>
      <c r="AJ310" s="408">
        <v>0</v>
      </c>
      <c r="AK310" s="408">
        <v>0</v>
      </c>
      <c r="AL310" s="408">
        <v>-2.0269381870078451</v>
      </c>
      <c r="AM310" s="408"/>
      <c r="AN310" s="408">
        <v>-0.4967792903068256</v>
      </c>
      <c r="AO310" s="408">
        <v>0</v>
      </c>
      <c r="AP310" s="408">
        <v>0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0</v>
      </c>
      <c r="BE310" s="408">
        <v>0</v>
      </c>
      <c r="BF310" s="408">
        <v>0</v>
      </c>
      <c r="BG310" s="408">
        <v>-7.3763805678524585</v>
      </c>
      <c r="BH310" s="408">
        <v>0</v>
      </c>
      <c r="BI310" s="408">
        <v>0</v>
      </c>
      <c r="BJ310" s="408">
        <v>0</v>
      </c>
      <c r="BK310" s="408">
        <v>0</v>
      </c>
      <c r="BL310" s="408">
        <v>0</v>
      </c>
      <c r="BM310" s="408"/>
      <c r="BN310" s="408"/>
      <c r="BO310" s="408"/>
      <c r="BP310" s="408"/>
      <c r="BQ310" s="408"/>
      <c r="BR310" s="408">
        <v>-17.246199999999995</v>
      </c>
      <c r="BS310" s="408"/>
      <c r="BT310" s="408"/>
      <c r="BU310" s="408"/>
      <c r="BV310" s="408">
        <v>-60.847607272967764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-125.2902</v>
      </c>
      <c r="CJ310" s="408">
        <v>59.609520000000032</v>
      </c>
      <c r="CK310" s="408"/>
      <c r="CL310" s="408"/>
      <c r="CM310" s="408"/>
      <c r="CN310" s="408"/>
      <c r="CO310" s="408">
        <v>66.417479999999983</v>
      </c>
      <c r="CP310" s="408">
        <v>0</v>
      </c>
      <c r="CQ310" s="408">
        <v>31</v>
      </c>
      <c r="CR310" s="408">
        <v>0.51562574916204085</v>
      </c>
      <c r="CS310" s="408">
        <v>0</v>
      </c>
      <c r="CT310" s="408">
        <v>0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6.7288727567866857E-2</v>
      </c>
      <c r="DA310" s="408">
        <v>0</v>
      </c>
      <c r="DB310" s="408">
        <v>0</v>
      </c>
      <c r="DC310" s="408">
        <v>7.4963253382520634E-9</v>
      </c>
      <c r="DD310" s="408">
        <v>0</v>
      </c>
      <c r="DE310" s="408">
        <v>0</v>
      </c>
      <c r="DF310" s="408">
        <v>0</v>
      </c>
      <c r="DG310" s="408">
        <v>1.0341150158410528E-9</v>
      </c>
      <c r="DH310" s="408">
        <v>0</v>
      </c>
      <c r="DI310" s="408">
        <v>0.38128406538144333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5.0920972402050957E-2</v>
      </c>
      <c r="DP310" s="408">
        <v>1.6131975280250566E-2</v>
      </c>
      <c r="DQ310" s="408">
        <v>0</v>
      </c>
      <c r="DR310" s="408">
        <v>0</v>
      </c>
      <c r="DS310" s="408"/>
      <c r="DT310" s="408"/>
      <c r="DU310" s="408"/>
      <c r="DV310" s="408">
        <v>-107.48140725134814</v>
      </c>
      <c r="DW310" s="408">
        <v>0</v>
      </c>
      <c r="DX310" s="408">
        <v>0</v>
      </c>
      <c r="DY310" s="408">
        <v>66.417479999999998</v>
      </c>
      <c r="DZ310" s="408">
        <v>0</v>
      </c>
      <c r="EA310" s="408">
        <v>0</v>
      </c>
      <c r="EB310" s="408">
        <v>0</v>
      </c>
      <c r="EC310" s="408">
        <v>65.901700541955279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265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317</v>
      </c>
      <c r="B311" s="408" t="s">
        <v>2230</v>
      </c>
      <c r="C311" s="408" t="s">
        <v>2227</v>
      </c>
      <c r="D311" s="408" t="s">
        <v>2237</v>
      </c>
      <c r="E311" s="408" t="s">
        <v>969</v>
      </c>
      <c r="F311" s="408" t="s">
        <v>1317</v>
      </c>
      <c r="G311" s="408" t="s">
        <v>1317</v>
      </c>
      <c r="H311" s="408" t="s">
        <v>1317</v>
      </c>
      <c r="I311" s="408" t="s">
        <v>1317</v>
      </c>
      <c r="J311" s="408" t="s">
        <v>2228</v>
      </c>
      <c r="K311" s="828">
        <v>44562</v>
      </c>
      <c r="L311" s="408">
        <v>0</v>
      </c>
      <c r="M311" s="408">
        <v>0</v>
      </c>
      <c r="N311" s="408">
        <v>227.94</v>
      </c>
      <c r="O311" s="408">
        <v>227.94</v>
      </c>
      <c r="P311" s="408">
        <v>227.94</v>
      </c>
      <c r="Q311" s="408">
        <v>227.94</v>
      </c>
      <c r="R311" s="408"/>
      <c r="S311" s="408">
        <v>739.04</v>
      </c>
      <c r="T311" s="408">
        <v>252.22</v>
      </c>
      <c r="U311" s="408"/>
      <c r="V311" s="408">
        <v>225947.80439999999</v>
      </c>
      <c r="W311" s="408">
        <v>225947.80439999999</v>
      </c>
      <c r="X311" s="408">
        <v>154536.48180000001</v>
      </c>
      <c r="Y311" s="408">
        <v>0</v>
      </c>
      <c r="Z311" s="408">
        <v>14098.808520739187</v>
      </c>
      <c r="AA311" s="408">
        <v>0</v>
      </c>
      <c r="AB311" s="408">
        <v>0</v>
      </c>
      <c r="AC311" s="408">
        <v>0</v>
      </c>
      <c r="AD311" s="408">
        <v>28150.038589487805</v>
      </c>
      <c r="AE311" s="408">
        <v>115562.7923060014</v>
      </c>
      <c r="AF311" s="408">
        <v>57491.657618698038</v>
      </c>
      <c r="AG311" s="408">
        <v>0</v>
      </c>
      <c r="AH311" s="408">
        <v>0</v>
      </c>
      <c r="AI311" s="408">
        <v>0</v>
      </c>
      <c r="AJ311" s="408">
        <v>0</v>
      </c>
      <c r="AK311" s="408">
        <v>0</v>
      </c>
      <c r="AL311" s="408">
        <v>2179.3409922007936</v>
      </c>
      <c r="AM311" s="408"/>
      <c r="AN311" s="408">
        <v>534.13146902140488</v>
      </c>
      <c r="AO311" s="408">
        <v>0</v>
      </c>
      <c r="AP311" s="408">
        <v>0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>
        <v>0</v>
      </c>
      <c r="BG311" s="408">
        <v>7931.0008803598557</v>
      </c>
      <c r="BH311" s="408">
        <v>0</v>
      </c>
      <c r="BI311" s="408">
        <v>0</v>
      </c>
      <c r="BJ311" s="408">
        <v>0</v>
      </c>
      <c r="BK311" s="408">
        <v>8651.9699999999993</v>
      </c>
      <c r="BL311" s="408">
        <v>925</v>
      </c>
      <c r="BM311" s="408"/>
      <c r="BN311" s="408"/>
      <c r="BO311" s="408"/>
      <c r="BP311" s="408"/>
      <c r="BQ311" s="408"/>
      <c r="BR311" s="408">
        <v>18542.918999999991</v>
      </c>
      <c r="BS311" s="408"/>
      <c r="BT311" s="408"/>
      <c r="BU311" s="408"/>
      <c r="BV311" s="408">
        <v>65422.658499057892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135993.56280000001</v>
      </c>
      <c r="CJ311" s="408">
        <v>-62840.808600000018</v>
      </c>
      <c r="CK311" s="408"/>
      <c r="CL311" s="408"/>
      <c r="CM311" s="408"/>
      <c r="CN311" s="408"/>
      <c r="CO311" s="408">
        <v>-71411.322599999985</v>
      </c>
      <c r="CP311" s="408">
        <v>0</v>
      </c>
      <c r="CQ311" s="408">
        <v>31</v>
      </c>
      <c r="CR311" s="408">
        <v>-554.39496822640649</v>
      </c>
      <c r="CS311" s="408">
        <v>0</v>
      </c>
      <c r="CT311" s="408">
        <v>0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-72.348078121791332</v>
      </c>
      <c r="DA311" s="408">
        <v>0</v>
      </c>
      <c r="DB311" s="408">
        <v>0</v>
      </c>
      <c r="DC311" s="408">
        <v>-8.0599638749845326E-6</v>
      </c>
      <c r="DD311" s="408">
        <v>0</v>
      </c>
      <c r="DE311" s="408">
        <v>0</v>
      </c>
      <c r="DF311" s="408">
        <v>0</v>
      </c>
      <c r="DG311" s="408">
        <v>-1.1118690963485278E-6</v>
      </c>
      <c r="DH311" s="408">
        <v>0</v>
      </c>
      <c r="DI311" s="408">
        <v>-409.9523106747456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-54.749653062846846</v>
      </c>
      <c r="DP311" s="408">
        <v>-17.344917195190192</v>
      </c>
      <c r="DQ311" s="408">
        <v>0</v>
      </c>
      <c r="DR311" s="408">
        <v>0</v>
      </c>
      <c r="DS311" s="408"/>
      <c r="DT311" s="408"/>
      <c r="DU311" s="408"/>
      <c r="DV311" s="408">
        <v>115562.7923060014</v>
      </c>
      <c r="DW311" s="408">
        <v>0</v>
      </c>
      <c r="DX311" s="408">
        <v>0</v>
      </c>
      <c r="DY311" s="408">
        <v>-71411.3226</v>
      </c>
      <c r="DZ311" s="408">
        <v>0</v>
      </c>
      <c r="EA311" s="408">
        <v>0</v>
      </c>
      <c r="EB311" s="408">
        <v>0</v>
      </c>
      <c r="EC311" s="408">
        <v>-70856.762365723058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265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318</v>
      </c>
      <c r="B312" s="408" t="s">
        <v>1031</v>
      </c>
      <c r="C312" s="408" t="s">
        <v>2235</v>
      </c>
      <c r="D312" s="408" t="s">
        <v>596</v>
      </c>
      <c r="E312" s="408" t="s">
        <v>969</v>
      </c>
      <c r="F312" s="408" t="s">
        <v>1317</v>
      </c>
      <c r="G312" s="408" t="s">
        <v>1317</v>
      </c>
      <c r="H312" s="408" t="s">
        <v>1317</v>
      </c>
      <c r="I312" s="408" t="s">
        <v>968</v>
      </c>
      <c r="J312" s="408" t="s">
        <v>2228</v>
      </c>
      <c r="K312" s="828">
        <v>44562</v>
      </c>
      <c r="L312" s="408">
        <v>0</v>
      </c>
      <c r="M312" s="408">
        <v>0</v>
      </c>
      <c r="N312" s="408">
        <v>4.181</v>
      </c>
      <c r="O312" s="408">
        <v>4.0137600000000004</v>
      </c>
      <c r="P312" s="408">
        <v>4.181</v>
      </c>
      <c r="Q312" s="408">
        <v>4.0137600000000004</v>
      </c>
      <c r="R312" s="408"/>
      <c r="S312" s="408">
        <v>2641.06</v>
      </c>
      <c r="T312" s="408">
        <v>252.22</v>
      </c>
      <c r="U312" s="408"/>
      <c r="V312" s="408">
        <v>12096.803680000001</v>
      </c>
      <c r="W312" s="408">
        <v>12096.803680000001</v>
      </c>
      <c r="X312" s="408">
        <v>7180.1985399999994</v>
      </c>
      <c r="Y312" s="408">
        <v>0</v>
      </c>
      <c r="Z312" s="408">
        <v>224.98900162294098</v>
      </c>
      <c r="AA312" s="408">
        <v>0</v>
      </c>
      <c r="AB312" s="408">
        <v>0</v>
      </c>
      <c r="AC312" s="408">
        <v>0</v>
      </c>
      <c r="AD312" s="408">
        <v>2708.3137874445497</v>
      </c>
      <c r="AE312" s="408">
        <v>7994.4497144677034</v>
      </c>
      <c r="AF312" s="408">
        <v>1054.5433908211655</v>
      </c>
      <c r="AG312" s="408">
        <v>0</v>
      </c>
      <c r="AH312" s="408">
        <v>0</v>
      </c>
      <c r="AI312" s="408">
        <v>0</v>
      </c>
      <c r="AJ312" s="408">
        <v>0</v>
      </c>
      <c r="AK312" s="408">
        <v>0</v>
      </c>
      <c r="AL312" s="408">
        <v>39.974663018300951</v>
      </c>
      <c r="AM312" s="408"/>
      <c r="AN312" s="408">
        <v>10.059093561468449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64.482899360059932</v>
      </c>
      <c r="BH312" s="408">
        <v>0</v>
      </c>
      <c r="BI312" s="408">
        <v>0</v>
      </c>
      <c r="BJ312" s="408">
        <v>0</v>
      </c>
      <c r="BK312" s="408">
        <v>0</v>
      </c>
      <c r="BL312" s="408">
        <v>0</v>
      </c>
      <c r="BM312" s="408"/>
      <c r="BN312" s="408"/>
      <c r="BO312" s="408"/>
      <c r="BP312" s="408"/>
      <c r="BQ312" s="408"/>
      <c r="BR312" s="408">
        <v>287.20794159999934</v>
      </c>
      <c r="BS312" s="408"/>
      <c r="BT312" s="408"/>
      <c r="BU312" s="408"/>
      <c r="BV312" s="408">
        <v>1119.0262901812255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6886.5333999999984</v>
      </c>
      <c r="CJ312" s="408">
        <v>-4726.4281328000034</v>
      </c>
      <c r="CK312" s="408"/>
      <c r="CL312" s="408"/>
      <c r="CM312" s="408"/>
      <c r="CN312" s="408"/>
      <c r="CO312" s="408">
        <v>-4916.6051400000006</v>
      </c>
      <c r="CP312" s="408">
        <v>0</v>
      </c>
      <c r="CQ312" s="408">
        <v>31</v>
      </c>
      <c r="CR312" s="408">
        <v>-14.833528556078363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-6.9606049330873248</v>
      </c>
      <c r="DA312" s="408">
        <v>0</v>
      </c>
      <c r="DB312" s="408">
        <v>0</v>
      </c>
      <c r="DC312" s="408">
        <v>-1.4784018276259303E-7</v>
      </c>
      <c r="DD312" s="408">
        <v>0</v>
      </c>
      <c r="DE312" s="408">
        <v>0</v>
      </c>
      <c r="DF312" s="408">
        <v>0</v>
      </c>
      <c r="DG312" s="408">
        <v>-9.0401499619474635E-9</v>
      </c>
      <c r="DH312" s="408">
        <v>0</v>
      </c>
      <c r="DI312" s="408">
        <v>-6.5420252325614854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-1.0042480453442266</v>
      </c>
      <c r="DP312" s="408">
        <v>-0.32665018820556391</v>
      </c>
      <c r="DQ312" s="408">
        <v>0</v>
      </c>
      <c r="DR312" s="408">
        <v>0</v>
      </c>
      <c r="DS312" s="408"/>
      <c r="DT312" s="408"/>
      <c r="DU312" s="408"/>
      <c r="DV312" s="408">
        <v>7994.4497144677034</v>
      </c>
      <c r="DW312" s="408">
        <v>0</v>
      </c>
      <c r="DX312" s="408">
        <v>0</v>
      </c>
      <c r="DY312" s="408">
        <v>-4916.6051400000015</v>
      </c>
      <c r="DZ312" s="408">
        <v>0</v>
      </c>
      <c r="EA312" s="408">
        <v>0</v>
      </c>
      <c r="EB312" s="408">
        <v>0</v>
      </c>
      <c r="EC312" s="408">
        <v>-4901.7578440196885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265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319</v>
      </c>
      <c r="B313" s="408" t="s">
        <v>1031</v>
      </c>
      <c r="C313" s="408" t="s">
        <v>2235</v>
      </c>
      <c r="D313" s="408" t="s">
        <v>596</v>
      </c>
      <c r="E313" s="408" t="s">
        <v>969</v>
      </c>
      <c r="F313" s="408" t="s">
        <v>1317</v>
      </c>
      <c r="G313" s="408" t="s">
        <v>1317</v>
      </c>
      <c r="H313" s="408" t="s">
        <v>1317</v>
      </c>
      <c r="I313" s="408" t="s">
        <v>2236</v>
      </c>
      <c r="J313" s="408" t="s">
        <v>2228</v>
      </c>
      <c r="K313" s="828">
        <v>44562</v>
      </c>
      <c r="L313" s="408">
        <v>0</v>
      </c>
      <c r="M313" s="408">
        <v>0</v>
      </c>
      <c r="N313" s="408">
        <v>38.256</v>
      </c>
      <c r="O313" s="408">
        <v>36.725760000000001</v>
      </c>
      <c r="P313" s="408">
        <v>38.256</v>
      </c>
      <c r="Q313" s="408">
        <v>36.725760000000001</v>
      </c>
      <c r="R313" s="408"/>
      <c r="S313" s="408">
        <v>81.2</v>
      </c>
      <c r="T313" s="408">
        <v>252.22</v>
      </c>
      <c r="U313" s="408"/>
      <c r="V313" s="408">
        <v>12755.31552</v>
      </c>
      <c r="W313" s="408">
        <v>12755.31552</v>
      </c>
      <c r="X313" s="408">
        <v>12683.394240000001</v>
      </c>
      <c r="Y313" s="408">
        <v>0</v>
      </c>
      <c r="Z313" s="408">
        <v>2058.6412930129704</v>
      </c>
      <c r="AA313" s="408">
        <v>0</v>
      </c>
      <c r="AB313" s="408">
        <v>0</v>
      </c>
      <c r="AC313" s="408">
        <v>0</v>
      </c>
      <c r="AD313" s="408">
        <v>0</v>
      </c>
      <c r="AE313" s="408">
        <v>0</v>
      </c>
      <c r="AF313" s="408">
        <v>9649.0341925985431</v>
      </c>
      <c r="AG313" s="408">
        <v>0</v>
      </c>
      <c r="AH313" s="408">
        <v>0</v>
      </c>
      <c r="AI313" s="408">
        <v>0</v>
      </c>
      <c r="AJ313" s="408">
        <v>0</v>
      </c>
      <c r="AK313" s="408">
        <v>0</v>
      </c>
      <c r="AL313" s="408">
        <v>365.7667324630761</v>
      </c>
      <c r="AM313" s="408"/>
      <c r="AN313" s="408">
        <v>92.040345201515663</v>
      </c>
      <c r="AO313" s="408">
        <v>0</v>
      </c>
      <c r="AP313" s="408">
        <v>0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590.01621571835756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>
        <v>507.33576959999971</v>
      </c>
      <c r="BS313" s="408"/>
      <c r="BT313" s="408"/>
      <c r="BU313" s="408"/>
      <c r="BV313" s="408">
        <v>10239.0504083169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12177.464199999999</v>
      </c>
      <c r="CJ313" s="408">
        <v>-67.668699200003175</v>
      </c>
      <c r="CK313" s="408"/>
      <c r="CL313" s="408"/>
      <c r="CM313" s="408"/>
      <c r="CN313" s="408"/>
      <c r="CO313" s="408">
        <v>-71.921280000000365</v>
      </c>
      <c r="CP313" s="408">
        <v>0</v>
      </c>
      <c r="CQ313" s="408">
        <v>31</v>
      </c>
      <c r="CR313" s="408">
        <v>-72.036968696760596</v>
      </c>
      <c r="CS313" s="408">
        <v>0</v>
      </c>
      <c r="CT313" s="408">
        <v>0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0</v>
      </c>
      <c r="DA313" s="408">
        <v>0</v>
      </c>
      <c r="DB313" s="408">
        <v>0</v>
      </c>
      <c r="DC313" s="408">
        <v>-1.3527314877137542E-6</v>
      </c>
      <c r="DD313" s="408">
        <v>0</v>
      </c>
      <c r="DE313" s="408">
        <v>0</v>
      </c>
      <c r="DF313" s="408">
        <v>0</v>
      </c>
      <c r="DG313" s="408">
        <v>-8.2717178884195164E-8</v>
      </c>
      <c r="DH313" s="408">
        <v>0</v>
      </c>
      <c r="DI313" s="408">
        <v>-59.85929617241618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-9.1888335859097765</v>
      </c>
      <c r="DP313" s="408">
        <v>-2.9888375029878063</v>
      </c>
      <c r="DQ313" s="408">
        <v>0</v>
      </c>
      <c r="DR313" s="408">
        <v>0</v>
      </c>
      <c r="DS313" s="408"/>
      <c r="DT313" s="408"/>
      <c r="DU313" s="408"/>
      <c r="DV313" s="408">
        <v>0</v>
      </c>
      <c r="DW313" s="408">
        <v>0</v>
      </c>
      <c r="DX313" s="408">
        <v>0</v>
      </c>
      <c r="DY313" s="408">
        <v>-71.921280000000479</v>
      </c>
      <c r="DZ313" s="408">
        <v>0</v>
      </c>
      <c r="EA313" s="408">
        <v>0</v>
      </c>
      <c r="EB313" s="408">
        <v>0</v>
      </c>
      <c r="EC313" s="408">
        <v>0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265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320</v>
      </c>
      <c r="B314" s="408" t="s">
        <v>1031</v>
      </c>
      <c r="C314" s="408" t="s">
        <v>2235</v>
      </c>
      <c r="D314" s="408" t="s">
        <v>596</v>
      </c>
      <c r="E314" s="408" t="s">
        <v>969</v>
      </c>
      <c r="F314" s="408" t="s">
        <v>1317</v>
      </c>
      <c r="G314" s="408" t="s">
        <v>1317</v>
      </c>
      <c r="H314" s="408" t="s">
        <v>1317</v>
      </c>
      <c r="I314" s="408" t="s">
        <v>1317</v>
      </c>
      <c r="J314" s="408" t="s">
        <v>2228</v>
      </c>
      <c r="K314" s="828">
        <v>44562</v>
      </c>
      <c r="L314" s="408">
        <v>140</v>
      </c>
      <c r="M314" s="408">
        <v>134.4</v>
      </c>
      <c r="N314" s="408">
        <v>0</v>
      </c>
      <c r="O314" s="408">
        <v>0</v>
      </c>
      <c r="P314" s="408">
        <v>0</v>
      </c>
      <c r="Q314" s="408">
        <v>0</v>
      </c>
      <c r="R314" s="408">
        <v>74.44</v>
      </c>
      <c r="S314" s="408"/>
      <c r="T314" s="408"/>
      <c r="U314" s="408">
        <v>10421.6</v>
      </c>
      <c r="V314" s="408"/>
      <c r="W314" s="408">
        <v>10421.6</v>
      </c>
      <c r="X314" s="408">
        <v>6358.8</v>
      </c>
      <c r="Y314" s="408">
        <v>0</v>
      </c>
      <c r="Z314" s="408">
        <v>0</v>
      </c>
      <c r="AA314" s="408">
        <v>0</v>
      </c>
      <c r="AB314" s="408">
        <v>0</v>
      </c>
      <c r="AC314" s="408">
        <v>0</v>
      </c>
      <c r="AD314" s="408">
        <v>3810.3929542632522</v>
      </c>
      <c r="AE314" s="408">
        <v>6611.0153107849483</v>
      </c>
      <c r="AF314" s="408"/>
      <c r="AG314" s="408"/>
      <c r="AH314" s="408"/>
      <c r="AI314" s="408">
        <v>0</v>
      </c>
      <c r="AJ314" s="408">
        <v>0</v>
      </c>
      <c r="AK314" s="408">
        <v>0</v>
      </c>
      <c r="AL314" s="408">
        <v>0</v>
      </c>
      <c r="AM314" s="408"/>
      <c r="AN314" s="408">
        <v>0</v>
      </c>
      <c r="AO314" s="408">
        <v>0</v>
      </c>
      <c r="AP314" s="408">
        <v>0</v>
      </c>
      <c r="AQ314" s="408">
        <v>0</v>
      </c>
      <c r="AR314" s="408">
        <v>0</v>
      </c>
      <c r="AS314" s="408"/>
      <c r="AT314" s="408"/>
      <c r="AU314" s="408">
        <v>0</v>
      </c>
      <c r="AV314" s="408">
        <v>0</v>
      </c>
      <c r="AW314" s="408">
        <v>0</v>
      </c>
      <c r="AX314" s="408"/>
      <c r="AY314" s="408"/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/>
      <c r="BG314" s="408">
        <v>0</v>
      </c>
      <c r="BH314" s="408">
        <v>0</v>
      </c>
      <c r="BI314" s="408">
        <v>0</v>
      </c>
      <c r="BJ314" s="408">
        <v>0</v>
      </c>
      <c r="BK314" s="408">
        <v>16.489999999999998</v>
      </c>
      <c r="BL314" s="408">
        <v>2</v>
      </c>
      <c r="BM314" s="408"/>
      <c r="BN314" s="408"/>
      <c r="BO314" s="408"/>
      <c r="BP314" s="408"/>
      <c r="BQ314" s="408"/>
      <c r="BR314" s="408">
        <v>254.35199999999975</v>
      </c>
      <c r="BS314" s="408"/>
      <c r="BT314" s="408"/>
      <c r="BU314" s="408"/>
      <c r="BV314" s="408">
        <v>0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6104.4480000000003</v>
      </c>
      <c r="CJ314" s="408">
        <v>-3900.3180000000011</v>
      </c>
      <c r="CK314" s="408"/>
      <c r="CL314" s="408"/>
      <c r="CM314" s="408"/>
      <c r="CN314" s="408"/>
      <c r="CO314" s="408">
        <v>-4062.7999999999993</v>
      </c>
      <c r="CP314" s="408">
        <v>0</v>
      </c>
      <c r="CQ314" s="408">
        <v>31</v>
      </c>
      <c r="CR314" s="408">
        <v>-9.7930454430343161</v>
      </c>
      <c r="CS314" s="408">
        <v>0</v>
      </c>
      <c r="CT314" s="408">
        <v>0</v>
      </c>
      <c r="CU314" s="408">
        <v>0</v>
      </c>
      <c r="CV314" s="408">
        <v>0</v>
      </c>
      <c r="CW314" s="408"/>
      <c r="CX314" s="408"/>
      <c r="CY314" s="408"/>
      <c r="CZ314" s="408">
        <v>-9.7930454430343161</v>
      </c>
      <c r="DA314" s="408">
        <v>0</v>
      </c>
      <c r="DB314" s="408">
        <v>0</v>
      </c>
      <c r="DC314" s="408"/>
      <c r="DD314" s="408"/>
      <c r="DE314" s="408">
        <v>0</v>
      </c>
      <c r="DF314" s="408">
        <v>0</v>
      </c>
      <c r="DG314" s="408">
        <v>0</v>
      </c>
      <c r="DH314" s="408">
        <v>0</v>
      </c>
      <c r="DI314" s="408">
        <v>0</v>
      </c>
      <c r="DJ314" s="408"/>
      <c r="DK314" s="408">
        <v>0</v>
      </c>
      <c r="DL314" s="408">
        <v>0</v>
      </c>
      <c r="DM314" s="408"/>
      <c r="DN314" s="408">
        <v>0</v>
      </c>
      <c r="DO314" s="408">
        <v>0</v>
      </c>
      <c r="DP314" s="408">
        <v>0</v>
      </c>
      <c r="DQ314" s="408">
        <v>0</v>
      </c>
      <c r="DR314" s="408">
        <v>0</v>
      </c>
      <c r="DS314" s="408"/>
      <c r="DT314" s="408"/>
      <c r="DU314" s="408">
        <v>6611.0153107849483</v>
      </c>
      <c r="DV314" s="408"/>
      <c r="DW314" s="408">
        <v>0</v>
      </c>
      <c r="DX314" s="408">
        <v>0</v>
      </c>
      <c r="DY314" s="408">
        <v>-4062.8</v>
      </c>
      <c r="DZ314" s="408"/>
      <c r="EA314" s="408">
        <v>0</v>
      </c>
      <c r="EB314" s="408"/>
      <c r="EC314" s="408">
        <v>-4053.5117880508305</v>
      </c>
      <c r="ED314" s="408"/>
      <c r="EE314" s="408">
        <v>0</v>
      </c>
      <c r="EF314" s="408">
        <v>0</v>
      </c>
      <c r="EG314" s="408"/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/>
      <c r="EN314" s="408"/>
      <c r="EO314" s="408">
        <v>0</v>
      </c>
      <c r="EP314" s="408">
        <v>0</v>
      </c>
      <c r="EQ314" s="408"/>
      <c r="ER314" s="408">
        <v>0</v>
      </c>
      <c r="ES314" s="408"/>
      <c r="ET314" s="408">
        <v>0</v>
      </c>
      <c r="EU314" s="408"/>
      <c r="EV314" s="408">
        <v>265</v>
      </c>
      <c r="EW314" s="408"/>
      <c r="EX314" s="408"/>
      <c r="EY314" s="408"/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321</v>
      </c>
      <c r="B315" s="408" t="s">
        <v>2230</v>
      </c>
      <c r="C315" s="408" t="s">
        <v>2235</v>
      </c>
      <c r="D315" s="408" t="s">
        <v>596</v>
      </c>
      <c r="E315" s="408" t="s">
        <v>969</v>
      </c>
      <c r="F315" s="408" t="s">
        <v>1317</v>
      </c>
      <c r="G315" s="408" t="s">
        <v>1317</v>
      </c>
      <c r="H315" s="408" t="s">
        <v>1317</v>
      </c>
      <c r="I315" s="408" t="s">
        <v>1317</v>
      </c>
      <c r="J315" s="408" t="s">
        <v>2228</v>
      </c>
      <c r="K315" s="828">
        <v>44562</v>
      </c>
      <c r="L315" s="408">
        <v>399</v>
      </c>
      <c r="M315" s="408">
        <v>383.03999999999996</v>
      </c>
      <c r="N315" s="408">
        <v>0</v>
      </c>
      <c r="O315" s="408">
        <v>0</v>
      </c>
      <c r="P315" s="408">
        <v>0</v>
      </c>
      <c r="Q315" s="408">
        <v>0</v>
      </c>
      <c r="R315" s="408">
        <v>74.44</v>
      </c>
      <c r="S315" s="408"/>
      <c r="T315" s="408"/>
      <c r="U315" s="408">
        <v>29701.559999999998</v>
      </c>
      <c r="V315" s="408"/>
      <c r="W315" s="408">
        <v>29701.559999999998</v>
      </c>
      <c r="X315" s="408">
        <v>18122.580000000002</v>
      </c>
      <c r="Y315" s="408">
        <v>0</v>
      </c>
      <c r="Z315" s="408">
        <v>0</v>
      </c>
      <c r="AA315" s="408">
        <v>0</v>
      </c>
      <c r="AB315" s="408">
        <v>0</v>
      </c>
      <c r="AC315" s="408">
        <v>0</v>
      </c>
      <c r="AD315" s="408">
        <v>10859.619919650269</v>
      </c>
      <c r="AE315" s="408">
        <v>18841.393635737102</v>
      </c>
      <c r="AF315" s="408"/>
      <c r="AG315" s="408"/>
      <c r="AH315" s="408"/>
      <c r="AI315" s="408">
        <v>0</v>
      </c>
      <c r="AJ315" s="408">
        <v>0</v>
      </c>
      <c r="AK315" s="408">
        <v>0</v>
      </c>
      <c r="AL315" s="408">
        <v>0</v>
      </c>
      <c r="AM315" s="408"/>
      <c r="AN315" s="408">
        <v>0</v>
      </c>
      <c r="AO315" s="408">
        <v>0</v>
      </c>
      <c r="AP315" s="408">
        <v>0</v>
      </c>
      <c r="AQ315" s="408">
        <v>0</v>
      </c>
      <c r="AR315" s="408">
        <v>0</v>
      </c>
      <c r="AS315" s="408"/>
      <c r="AT315" s="408"/>
      <c r="AU315" s="408">
        <v>0</v>
      </c>
      <c r="AV315" s="408">
        <v>0</v>
      </c>
      <c r="AW315" s="408">
        <v>0</v>
      </c>
      <c r="AX315" s="408"/>
      <c r="AY315" s="408"/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/>
      <c r="BG315" s="408">
        <v>0</v>
      </c>
      <c r="BH315" s="408">
        <v>0</v>
      </c>
      <c r="BI315" s="408">
        <v>0</v>
      </c>
      <c r="BJ315" s="408">
        <v>0</v>
      </c>
      <c r="BK315" s="408">
        <v>11.9</v>
      </c>
      <c r="BL315" s="408">
        <v>4</v>
      </c>
      <c r="BM315" s="408"/>
      <c r="BN315" s="408"/>
      <c r="BO315" s="408"/>
      <c r="BP315" s="408"/>
      <c r="BQ315" s="408"/>
      <c r="BR315" s="408">
        <v>724.90320000000168</v>
      </c>
      <c r="BS315" s="408"/>
      <c r="BT315" s="408"/>
      <c r="BU315" s="408"/>
      <c r="BV315" s="408">
        <v>0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17397.676800000001</v>
      </c>
      <c r="CJ315" s="408">
        <v>-11115.850799999989</v>
      </c>
      <c r="CK315" s="408"/>
      <c r="CL315" s="408"/>
      <c r="CM315" s="408"/>
      <c r="CN315" s="408"/>
      <c r="CO315" s="408">
        <v>-11578.979999999998</v>
      </c>
      <c r="CP315" s="408">
        <v>0</v>
      </c>
      <c r="CQ315" s="408">
        <v>31</v>
      </c>
      <c r="CR315" s="408">
        <v>-27.910179512648028</v>
      </c>
      <c r="CS315" s="408">
        <v>0</v>
      </c>
      <c r="CT315" s="408">
        <v>0</v>
      </c>
      <c r="CU315" s="408">
        <v>0</v>
      </c>
      <c r="CV315" s="408">
        <v>0</v>
      </c>
      <c r="CW315" s="408"/>
      <c r="CX315" s="408"/>
      <c r="CY315" s="408"/>
      <c r="CZ315" s="408">
        <v>-27.910179512648028</v>
      </c>
      <c r="DA315" s="408">
        <v>0</v>
      </c>
      <c r="DB315" s="408">
        <v>0</v>
      </c>
      <c r="DC315" s="408"/>
      <c r="DD315" s="408"/>
      <c r="DE315" s="408">
        <v>0</v>
      </c>
      <c r="DF315" s="408">
        <v>0</v>
      </c>
      <c r="DG315" s="408">
        <v>0</v>
      </c>
      <c r="DH315" s="408">
        <v>0</v>
      </c>
      <c r="DI315" s="408">
        <v>0</v>
      </c>
      <c r="DJ315" s="408"/>
      <c r="DK315" s="408">
        <v>0</v>
      </c>
      <c r="DL315" s="408">
        <v>0</v>
      </c>
      <c r="DM315" s="408"/>
      <c r="DN315" s="408">
        <v>0</v>
      </c>
      <c r="DO315" s="408">
        <v>0</v>
      </c>
      <c r="DP315" s="408">
        <v>0</v>
      </c>
      <c r="DQ315" s="408">
        <v>0</v>
      </c>
      <c r="DR315" s="408">
        <v>0</v>
      </c>
      <c r="DS315" s="408"/>
      <c r="DT315" s="408"/>
      <c r="DU315" s="408">
        <v>18841.393635737102</v>
      </c>
      <c r="DV315" s="408"/>
      <c r="DW315" s="408">
        <v>0</v>
      </c>
      <c r="DX315" s="408">
        <v>0</v>
      </c>
      <c r="DY315" s="408">
        <v>-11578.979999999996</v>
      </c>
      <c r="DZ315" s="408"/>
      <c r="EA315" s="408">
        <v>0</v>
      </c>
      <c r="EB315" s="408"/>
      <c r="EC315" s="408">
        <v>-11552.508595944866</v>
      </c>
      <c r="ED315" s="408"/>
      <c r="EE315" s="408">
        <v>0</v>
      </c>
      <c r="EF315" s="408">
        <v>0</v>
      </c>
      <c r="EG315" s="408"/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/>
      <c r="EN315" s="408"/>
      <c r="EO315" s="408">
        <v>0</v>
      </c>
      <c r="EP315" s="408">
        <v>0</v>
      </c>
      <c r="EQ315" s="408"/>
      <c r="ER315" s="408">
        <v>0</v>
      </c>
      <c r="ES315" s="408"/>
      <c r="ET315" s="408">
        <v>0</v>
      </c>
      <c r="EU315" s="408"/>
      <c r="EV315" s="408">
        <v>265</v>
      </c>
      <c r="EW315" s="408"/>
      <c r="EX315" s="408"/>
      <c r="EY315" s="408"/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322</v>
      </c>
      <c r="B316" s="408" t="s">
        <v>2230</v>
      </c>
      <c r="C316" s="408" t="s">
        <v>2235</v>
      </c>
      <c r="D316" s="408" t="s">
        <v>596</v>
      </c>
      <c r="E316" s="408" t="s">
        <v>969</v>
      </c>
      <c r="F316" s="408" t="s">
        <v>1317</v>
      </c>
      <c r="G316" s="408" t="s">
        <v>1317</v>
      </c>
      <c r="H316" s="408" t="s">
        <v>1317</v>
      </c>
      <c r="I316" s="408" t="s">
        <v>1317</v>
      </c>
      <c r="J316" s="408" t="s">
        <v>2228</v>
      </c>
      <c r="K316" s="828">
        <v>44562</v>
      </c>
      <c r="L316" s="408">
        <v>0</v>
      </c>
      <c r="M316" s="408">
        <v>0</v>
      </c>
      <c r="N316" s="408">
        <v>0</v>
      </c>
      <c r="O316" s="408">
        <v>0</v>
      </c>
      <c r="P316" s="408">
        <v>0</v>
      </c>
      <c r="Q316" s="408">
        <v>0</v>
      </c>
      <c r="R316" s="408"/>
      <c r="S316" s="408"/>
      <c r="T316" s="408"/>
      <c r="U316" s="408"/>
      <c r="V316" s="408"/>
      <c r="W316" s="408"/>
      <c r="X316" s="408"/>
      <c r="Y316" s="408"/>
      <c r="Z316" s="408"/>
      <c r="AA316" s="408">
        <v>0</v>
      </c>
      <c r="AB316" s="408"/>
      <c r="AC316" s="408"/>
      <c r="AD316" s="408"/>
      <c r="AE316" s="408"/>
      <c r="AF316" s="408"/>
      <c r="AG316" s="408"/>
      <c r="AH316" s="408"/>
      <c r="AI316" s="408"/>
      <c r="AJ316" s="408"/>
      <c r="AK316" s="408"/>
      <c r="AL316" s="408"/>
      <c r="AM316" s="408"/>
      <c r="AN316" s="408"/>
      <c r="AO316" s="408"/>
      <c r="AP316" s="408"/>
      <c r="AQ316" s="408"/>
      <c r="AR316" s="408"/>
      <c r="AS316" s="408"/>
      <c r="AT316" s="408"/>
      <c r="AU316" s="408"/>
      <c r="AV316" s="408"/>
      <c r="AW316" s="408"/>
      <c r="AX316" s="408"/>
      <c r="AY316" s="408"/>
      <c r="AZ316" s="408">
        <v>0</v>
      </c>
      <c r="BA316" s="408"/>
      <c r="BB316" s="408"/>
      <c r="BC316" s="408"/>
      <c r="BD316" s="408"/>
      <c r="BE316" s="408"/>
      <c r="BF316" s="408"/>
      <c r="BG316" s="408"/>
      <c r="BH316" s="408"/>
      <c r="BI316" s="408">
        <v>0</v>
      </c>
      <c r="BJ316" s="408">
        <v>0</v>
      </c>
      <c r="BK316" s="408">
        <v>0</v>
      </c>
      <c r="BL316" s="408">
        <v>4</v>
      </c>
      <c r="BM316" s="408"/>
      <c r="BN316" s="408"/>
      <c r="BO316" s="408"/>
      <c r="BP316" s="408"/>
      <c r="BQ316" s="408"/>
      <c r="BR316" s="408"/>
      <c r="BS316" s="408"/>
      <c r="BT316" s="408"/>
      <c r="BU316" s="408"/>
      <c r="BV316" s="408"/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/>
      <c r="CJ316" s="408">
        <v>-0.03</v>
      </c>
      <c r="CK316" s="408"/>
      <c r="CL316" s="408"/>
      <c r="CM316" s="408"/>
      <c r="CN316" s="408"/>
      <c r="CO316" s="408">
        <v>0</v>
      </c>
      <c r="CP316" s="408">
        <v>0</v>
      </c>
      <c r="CQ316" s="408">
        <v>31</v>
      </c>
      <c r="CR316" s="408"/>
      <c r="CS316" s="408"/>
      <c r="CT316" s="408"/>
      <c r="CU316" s="408"/>
      <c r="CV316" s="408"/>
      <c r="CW316" s="408"/>
      <c r="CX316" s="408"/>
      <c r="CY316" s="408"/>
      <c r="CZ316" s="408"/>
      <c r="DA316" s="408"/>
      <c r="DB316" s="408"/>
      <c r="DC316" s="408"/>
      <c r="DD316" s="408"/>
      <c r="DE316" s="408"/>
      <c r="DF316" s="408"/>
      <c r="DG316" s="408"/>
      <c r="DH316" s="408"/>
      <c r="DI316" s="408"/>
      <c r="DJ316" s="408"/>
      <c r="DK316" s="408">
        <v>0</v>
      </c>
      <c r="DL316" s="408"/>
      <c r="DM316" s="408"/>
      <c r="DN316" s="408"/>
      <c r="DO316" s="408"/>
      <c r="DP316" s="408"/>
      <c r="DQ316" s="408"/>
      <c r="DR316" s="408"/>
      <c r="DS316" s="408"/>
      <c r="DT316" s="408"/>
      <c r="DU316" s="408"/>
      <c r="DV316" s="408"/>
      <c r="DW316" s="408"/>
      <c r="DX316" s="408"/>
      <c r="DY316" s="408"/>
      <c r="DZ316" s="408"/>
      <c r="EA316" s="408"/>
      <c r="EB316" s="408"/>
      <c r="EC316" s="408"/>
      <c r="ED316" s="408"/>
      <c r="EE316" s="408"/>
      <c r="EF316" s="408"/>
      <c r="EG316" s="408"/>
      <c r="EH316" s="408"/>
      <c r="EI316" s="408"/>
      <c r="EJ316" s="408"/>
      <c r="EK316" s="408"/>
      <c r="EL316" s="408"/>
      <c r="EM316" s="408"/>
      <c r="EN316" s="408"/>
      <c r="EO316" s="408"/>
      <c r="EP316" s="408"/>
      <c r="EQ316" s="408"/>
      <c r="ER316" s="408"/>
      <c r="ES316" s="408"/>
      <c r="ET316" s="408"/>
      <c r="EU316" s="408"/>
      <c r="EV316" s="408">
        <v>265</v>
      </c>
      <c r="EW316" s="408"/>
      <c r="EX316" s="408"/>
      <c r="EY316" s="408"/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323</v>
      </c>
      <c r="B317" s="408" t="s">
        <v>1031</v>
      </c>
      <c r="C317" s="408" t="s">
        <v>2227</v>
      </c>
      <c r="D317" s="408" t="s">
        <v>1952</v>
      </c>
      <c r="E317" s="408" t="s">
        <v>2238</v>
      </c>
      <c r="F317" s="408" t="s">
        <v>1317</v>
      </c>
      <c r="G317" s="408" t="s">
        <v>1317</v>
      </c>
      <c r="H317" s="408" t="s">
        <v>1317</v>
      </c>
      <c r="I317" s="408" t="s">
        <v>1317</v>
      </c>
      <c r="J317" s="408" t="s">
        <v>2228</v>
      </c>
      <c r="K317" s="828">
        <v>44562</v>
      </c>
      <c r="L317" s="408">
        <v>0</v>
      </c>
      <c r="M317" s="408">
        <v>0</v>
      </c>
      <c r="N317" s="408">
        <v>208.83699999999999</v>
      </c>
      <c r="O317" s="408">
        <v>208.83699999999999</v>
      </c>
      <c r="P317" s="408">
        <v>208.83699999999999</v>
      </c>
      <c r="Q317" s="408">
        <v>208.83699999999999</v>
      </c>
      <c r="R317" s="408"/>
      <c r="S317" s="408">
        <v>739.04</v>
      </c>
      <c r="T317" s="408">
        <v>252.22</v>
      </c>
      <c r="U317" s="408"/>
      <c r="V317" s="408">
        <v>207011.76462</v>
      </c>
      <c r="W317" s="408">
        <v>207011.76462</v>
      </c>
      <c r="X317" s="408">
        <v>141585.22089</v>
      </c>
      <c r="Y317" s="408">
        <v>0</v>
      </c>
      <c r="Z317" s="408">
        <v>12917.227669762258</v>
      </c>
      <c r="AA317" s="408">
        <v>0</v>
      </c>
      <c r="AB317" s="408">
        <v>0</v>
      </c>
      <c r="AC317" s="408">
        <v>0</v>
      </c>
      <c r="AD317" s="408">
        <v>25790.864301627025</v>
      </c>
      <c r="AE317" s="408">
        <v>105877.80493466883</v>
      </c>
      <c r="AF317" s="408">
        <v>52673.446091585683</v>
      </c>
      <c r="AG317" s="408">
        <v>0</v>
      </c>
      <c r="AH317" s="408">
        <v>0</v>
      </c>
      <c r="AI317" s="408">
        <v>0</v>
      </c>
      <c r="AJ317" s="408">
        <v>0</v>
      </c>
      <c r="AK317" s="408">
        <v>0</v>
      </c>
      <c r="AL317" s="408">
        <v>1996.6966516988555</v>
      </c>
      <c r="AM317" s="408"/>
      <c r="AN317" s="408">
        <v>489.36743702738931</v>
      </c>
      <c r="AO317" s="408">
        <v>0</v>
      </c>
      <c r="AP317" s="408">
        <v>0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7266.3263615500182</v>
      </c>
      <c r="BH317" s="408">
        <v>0</v>
      </c>
      <c r="BI317" s="408">
        <v>0</v>
      </c>
      <c r="BJ317" s="408">
        <v>0</v>
      </c>
      <c r="BK317" s="408">
        <v>53421.39</v>
      </c>
      <c r="BL317" s="408">
        <v>370</v>
      </c>
      <c r="BM317" s="408"/>
      <c r="BN317" s="408"/>
      <c r="BO317" s="408"/>
      <c r="BP317" s="408"/>
      <c r="BQ317" s="408"/>
      <c r="BR317" s="408"/>
      <c r="BS317" s="408"/>
      <c r="BT317" s="408"/>
      <c r="BU317" s="408"/>
      <c r="BV317" s="408">
        <v>59939.772453135702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141587.2548</v>
      </c>
      <c r="CJ317" s="408">
        <v>-65424.539820000035</v>
      </c>
      <c r="CK317" s="408"/>
      <c r="CL317" s="408"/>
      <c r="CM317" s="408"/>
      <c r="CN317" s="408"/>
      <c r="CO317" s="408">
        <v>-65426.54372999999</v>
      </c>
      <c r="CP317" s="408">
        <v>0</v>
      </c>
      <c r="CQ317" s="408">
        <v>31</v>
      </c>
      <c r="CR317" s="408">
        <v>-507.93271027244919</v>
      </c>
      <c r="CS317" s="408">
        <v>0</v>
      </c>
      <c r="CT317" s="408">
        <v>0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-66.28479244853952</v>
      </c>
      <c r="DA317" s="408">
        <v>0</v>
      </c>
      <c r="DB317" s="408">
        <v>0</v>
      </c>
      <c r="DC317" s="408">
        <v>-7.3844785219989717E-6</v>
      </c>
      <c r="DD317" s="408">
        <v>0</v>
      </c>
      <c r="DE317" s="408">
        <v>0</v>
      </c>
      <c r="DF317" s="408">
        <v>0</v>
      </c>
      <c r="DG317" s="408">
        <v>-1.0186868166783825E-6</v>
      </c>
      <c r="DH317" s="408">
        <v>0</v>
      </c>
      <c r="DI317" s="408">
        <v>-375.59537906634068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-50.161241101543055</v>
      </c>
      <c r="DP317" s="408">
        <v>-15.891289252838135</v>
      </c>
      <c r="DQ317" s="408">
        <v>0</v>
      </c>
      <c r="DR317" s="408">
        <v>0</v>
      </c>
      <c r="DS317" s="408"/>
      <c r="DT317" s="408"/>
      <c r="DU317" s="408"/>
      <c r="DV317" s="408">
        <v>105877.80493466883</v>
      </c>
      <c r="DW317" s="408">
        <v>0</v>
      </c>
      <c r="DX317" s="408">
        <v>0</v>
      </c>
      <c r="DY317" s="408">
        <v>-65426.543730000005</v>
      </c>
      <c r="DZ317" s="408">
        <v>0</v>
      </c>
      <c r="EA317" s="408">
        <v>0</v>
      </c>
      <c r="EB317" s="408">
        <v>0</v>
      </c>
      <c r="EC317" s="408">
        <v>-64918.459604152442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265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324</v>
      </c>
      <c r="B318" s="408" t="s">
        <v>2230</v>
      </c>
      <c r="C318" s="408" t="s">
        <v>2227</v>
      </c>
      <c r="D318" s="408" t="s">
        <v>1952</v>
      </c>
      <c r="E318" s="408" t="s">
        <v>2238</v>
      </c>
      <c r="F318" s="408" t="s">
        <v>1317</v>
      </c>
      <c r="G318" s="408" t="s">
        <v>1317</v>
      </c>
      <c r="H318" s="408" t="s">
        <v>1317</v>
      </c>
      <c r="I318" s="408" t="s">
        <v>1317</v>
      </c>
      <c r="J318" s="408" t="s">
        <v>2228</v>
      </c>
      <c r="K318" s="828">
        <v>44562</v>
      </c>
      <c r="L318" s="408">
        <v>0</v>
      </c>
      <c r="M318" s="408">
        <v>0</v>
      </c>
      <c r="N318" s="408">
        <v>0.38700000000000001</v>
      </c>
      <c r="O318" s="408">
        <v>0.38700000000000001</v>
      </c>
      <c r="P318" s="408">
        <v>0.38700000000000001</v>
      </c>
      <c r="Q318" s="408">
        <v>0.38700000000000001</v>
      </c>
      <c r="R318" s="408"/>
      <c r="S318" s="408">
        <v>739.04</v>
      </c>
      <c r="T318" s="408">
        <v>252.22</v>
      </c>
      <c r="U318" s="408"/>
      <c r="V318" s="408">
        <v>383.61761999999999</v>
      </c>
      <c r="W318" s="408">
        <v>383.61761999999999</v>
      </c>
      <c r="X318" s="408">
        <v>262.37439000000001</v>
      </c>
      <c r="Y318" s="408">
        <v>0</v>
      </c>
      <c r="Z318" s="408">
        <v>23.937171613258162</v>
      </c>
      <c r="AA318" s="408">
        <v>0</v>
      </c>
      <c r="AB318" s="408">
        <v>0</v>
      </c>
      <c r="AC318" s="408">
        <v>0</v>
      </c>
      <c r="AD318" s="408">
        <v>47.793563806842947</v>
      </c>
      <c r="AE318" s="408">
        <v>196.20426701071574</v>
      </c>
      <c r="AF318" s="408">
        <v>97.61021101358314</v>
      </c>
      <c r="AG318" s="408">
        <v>0</v>
      </c>
      <c r="AH318" s="408">
        <v>0</v>
      </c>
      <c r="AI318" s="408">
        <v>0</v>
      </c>
      <c r="AJ318" s="408">
        <v>0</v>
      </c>
      <c r="AK318" s="408">
        <v>0</v>
      </c>
      <c r="AL318" s="408">
        <v>3.700118294207718</v>
      </c>
      <c r="AM318" s="408"/>
      <c r="AN318" s="408">
        <v>0.90685653466387517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13.465373961126895</v>
      </c>
      <c r="BH318" s="408">
        <v>0</v>
      </c>
      <c r="BI318" s="408">
        <v>0</v>
      </c>
      <c r="BJ318" s="408">
        <v>0</v>
      </c>
      <c r="BK318" s="408">
        <v>224.32</v>
      </c>
      <c r="BL318" s="408">
        <v>2</v>
      </c>
      <c r="BM318" s="408"/>
      <c r="BN318" s="408"/>
      <c r="BO318" s="408"/>
      <c r="BP318" s="408"/>
      <c r="BQ318" s="408"/>
      <c r="BR318" s="408"/>
      <c r="BS318" s="408"/>
      <c r="BT318" s="408"/>
      <c r="BU318" s="408"/>
      <c r="BV318" s="408">
        <v>111.07558497471004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264.40830000000005</v>
      </c>
      <c r="CJ318" s="408">
        <v>-119.23931999999991</v>
      </c>
      <c r="CK318" s="408"/>
      <c r="CL318" s="408"/>
      <c r="CM318" s="408"/>
      <c r="CN318" s="408"/>
      <c r="CO318" s="408">
        <v>-121.24322999999998</v>
      </c>
      <c r="CP318" s="408">
        <v>0</v>
      </c>
      <c r="CQ318" s="408">
        <v>31</v>
      </c>
      <c r="CR318" s="408">
        <v>-0.94126021191380005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-0.12283366777719351</v>
      </c>
      <c r="DA318" s="408">
        <v>0</v>
      </c>
      <c r="DB318" s="408">
        <v>0</v>
      </c>
      <c r="DC318" s="408">
        <v>-1.3684328337149054E-8</v>
      </c>
      <c r="DD318" s="408">
        <v>0</v>
      </c>
      <c r="DE318" s="408">
        <v>0</v>
      </c>
      <c r="DF318" s="408">
        <v>0</v>
      </c>
      <c r="DG318" s="408">
        <v>-1.8877486240853614E-9</v>
      </c>
      <c r="DH318" s="408">
        <v>0</v>
      </c>
      <c r="DI318" s="408">
        <v>-0.69602327029537037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-9.2954793960348336E-2</v>
      </c>
      <c r="DP318" s="408">
        <v>-2.9448464308759359E-2</v>
      </c>
      <c r="DQ318" s="408">
        <v>0</v>
      </c>
      <c r="DR318" s="408">
        <v>0</v>
      </c>
      <c r="DS318" s="408"/>
      <c r="DT318" s="408"/>
      <c r="DU318" s="408"/>
      <c r="DV318" s="408">
        <v>196.20426701071574</v>
      </c>
      <c r="DW318" s="408">
        <v>0</v>
      </c>
      <c r="DX318" s="408">
        <v>0</v>
      </c>
      <c r="DY318" s="408">
        <v>-121.24323000000001</v>
      </c>
      <c r="DZ318" s="408">
        <v>0</v>
      </c>
      <c r="EA318" s="408">
        <v>0</v>
      </c>
      <c r="EB318" s="408">
        <v>0</v>
      </c>
      <c r="EC318" s="408">
        <v>-120.30168919687122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265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325</v>
      </c>
      <c r="B319" s="408" t="s">
        <v>1031</v>
      </c>
      <c r="C319" s="408" t="s">
        <v>2227</v>
      </c>
      <c r="D319" s="408" t="s">
        <v>2240</v>
      </c>
      <c r="E319" s="408" t="s">
        <v>2241</v>
      </c>
      <c r="F319" s="408" t="s">
        <v>2242</v>
      </c>
      <c r="G319" s="408" t="s">
        <v>1317</v>
      </c>
      <c r="H319" s="408" t="s">
        <v>1317</v>
      </c>
      <c r="I319" s="408" t="s">
        <v>1317</v>
      </c>
      <c r="J319" s="408" t="s">
        <v>2228</v>
      </c>
      <c r="K319" s="828">
        <v>44562</v>
      </c>
      <c r="L319" s="408">
        <v>0</v>
      </c>
      <c r="M319" s="408">
        <v>0</v>
      </c>
      <c r="N319" s="408">
        <v>391.65499999999997</v>
      </c>
      <c r="O319" s="408">
        <v>391.65499999999997</v>
      </c>
      <c r="P319" s="408">
        <v>391.65499999999997</v>
      </c>
      <c r="Q319" s="408">
        <v>391.65499999999997</v>
      </c>
      <c r="R319" s="408"/>
      <c r="S319" s="408">
        <v>406.47</v>
      </c>
      <c r="T319" s="408">
        <v>138.72</v>
      </c>
      <c r="U319" s="408"/>
      <c r="V319" s="408">
        <v>213526.38944999999</v>
      </c>
      <c r="W319" s="408">
        <v>213526.38944999999</v>
      </c>
      <c r="X319" s="408">
        <v>146040.31639999998</v>
      </c>
      <c r="Y319" s="408">
        <v>0</v>
      </c>
      <c r="Z319" s="408">
        <v>13323.803931537041</v>
      </c>
      <c r="AA319" s="408">
        <v>0</v>
      </c>
      <c r="AB319" s="408">
        <v>0</v>
      </c>
      <c r="AC319" s="408">
        <v>0</v>
      </c>
      <c r="AD319" s="408">
        <v>26602.644775253302</v>
      </c>
      <c r="AE319" s="408">
        <v>109210.3622941732</v>
      </c>
      <c r="AF319" s="408">
        <v>54331.369397903429</v>
      </c>
      <c r="AG319" s="408">
        <v>0</v>
      </c>
      <c r="AH319" s="408">
        <v>0</v>
      </c>
      <c r="AI319" s="408">
        <v>0</v>
      </c>
      <c r="AJ319" s="408">
        <v>0</v>
      </c>
      <c r="AK319" s="408">
        <v>0</v>
      </c>
      <c r="AL319" s="408">
        <v>2059.5436867825792</v>
      </c>
      <c r="AM319" s="408"/>
      <c r="AN319" s="408">
        <v>504.77052415007614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>
        <v>0</v>
      </c>
      <c r="BG319" s="408">
        <v>7495.0376519633919</v>
      </c>
      <c r="BH319" s="408">
        <v>0</v>
      </c>
      <c r="BI319" s="408">
        <v>0</v>
      </c>
      <c r="BJ319" s="408">
        <v>0</v>
      </c>
      <c r="BK319" s="408">
        <v>50413.29</v>
      </c>
      <c r="BL319" s="408">
        <v>66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61826.407049866822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146042.18080000003</v>
      </c>
      <c r="CJ319" s="408">
        <v>-67484.238649999985</v>
      </c>
      <c r="CK319" s="408"/>
      <c r="CL319" s="408"/>
      <c r="CM319" s="408"/>
      <c r="CN319" s="408"/>
      <c r="CO319" s="408">
        <v>-67486.073050000006</v>
      </c>
      <c r="CP319" s="408">
        <v>0</v>
      </c>
      <c r="CQ319" s="408">
        <v>31</v>
      </c>
      <c r="CR319" s="408">
        <v>-523.92014874223969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-68.371139752776799</v>
      </c>
      <c r="DA319" s="408">
        <v>0</v>
      </c>
      <c r="DB319" s="408">
        <v>0</v>
      </c>
      <c r="DC319" s="408">
        <v>-7.6165088103152812E-6</v>
      </c>
      <c r="DD319" s="408">
        <v>0</v>
      </c>
      <c r="DE319" s="408">
        <v>0</v>
      </c>
      <c r="DF319" s="408">
        <v>0</v>
      </c>
      <c r="DG319" s="408">
        <v>-1.0507319530006498E-6</v>
      </c>
      <c r="DH319" s="408">
        <v>0</v>
      </c>
      <c r="DI319" s="408">
        <v>-387.41743323033916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-51.740091487590917</v>
      </c>
      <c r="DP319" s="408">
        <v>-16.391475604305697</v>
      </c>
      <c r="DQ319" s="408">
        <v>0</v>
      </c>
      <c r="DR319" s="408">
        <v>0</v>
      </c>
      <c r="DS319" s="408"/>
      <c r="DT319" s="408"/>
      <c r="DU319" s="408"/>
      <c r="DV319" s="408">
        <v>109210.3622941732</v>
      </c>
      <c r="DW319" s="408">
        <v>0</v>
      </c>
      <c r="DX319" s="408">
        <v>0</v>
      </c>
      <c r="DY319" s="408">
        <v>-67486.073050000006</v>
      </c>
      <c r="DZ319" s="408">
        <v>0</v>
      </c>
      <c r="EA319" s="408">
        <v>0</v>
      </c>
      <c r="EB319" s="408">
        <v>0</v>
      </c>
      <c r="EC319" s="408">
        <v>-66961.800892300555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265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326</v>
      </c>
      <c r="B320" s="408" t="s">
        <v>1031</v>
      </c>
      <c r="C320" s="408" t="s">
        <v>2227</v>
      </c>
      <c r="D320" s="408" t="s">
        <v>1952</v>
      </c>
      <c r="E320" s="408" t="s">
        <v>996</v>
      </c>
      <c r="F320" s="408" t="s">
        <v>2243</v>
      </c>
      <c r="G320" s="408" t="s">
        <v>1317</v>
      </c>
      <c r="H320" s="408" t="s">
        <v>1317</v>
      </c>
      <c r="I320" s="408" t="s">
        <v>1317</v>
      </c>
      <c r="J320" s="408" t="s">
        <v>2228</v>
      </c>
      <c r="K320" s="828">
        <v>44562</v>
      </c>
      <c r="L320" s="408">
        <v>0</v>
      </c>
      <c r="M320" s="408">
        <v>0</v>
      </c>
      <c r="N320" s="408">
        <v>89</v>
      </c>
      <c r="O320" s="408">
        <v>83.66</v>
      </c>
      <c r="P320" s="408">
        <v>89</v>
      </c>
      <c r="Q320" s="408">
        <v>83.66</v>
      </c>
      <c r="R320" s="408"/>
      <c r="S320" s="408">
        <v>739.04</v>
      </c>
      <c r="T320" s="408">
        <v>252.22</v>
      </c>
      <c r="U320" s="408"/>
      <c r="V320" s="408">
        <v>88222.14</v>
      </c>
      <c r="W320" s="408">
        <v>88222.14</v>
      </c>
      <c r="X320" s="408">
        <v>60339.33</v>
      </c>
      <c r="Y320" s="408">
        <v>0</v>
      </c>
      <c r="Z320" s="408">
        <v>5504.9309394831425</v>
      </c>
      <c r="AA320" s="408">
        <v>0</v>
      </c>
      <c r="AB320" s="408">
        <v>0</v>
      </c>
      <c r="AC320" s="408">
        <v>0</v>
      </c>
      <c r="AD320" s="408">
        <v>10991.284699764914</v>
      </c>
      <c r="AE320" s="408">
        <v>45121.911534764084</v>
      </c>
      <c r="AF320" s="408">
        <v>22447.826305449351</v>
      </c>
      <c r="AG320" s="408">
        <v>0</v>
      </c>
      <c r="AH320" s="408">
        <v>0</v>
      </c>
      <c r="AI320" s="408">
        <v>0</v>
      </c>
      <c r="AJ320" s="408">
        <v>0</v>
      </c>
      <c r="AK320" s="408">
        <v>0</v>
      </c>
      <c r="AL320" s="408">
        <v>850.9315973759351</v>
      </c>
      <c r="AM320" s="408"/>
      <c r="AN320" s="408">
        <v>208.55356998729945</v>
      </c>
      <c r="AO320" s="408">
        <v>0</v>
      </c>
      <c r="AP320" s="408">
        <v>0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3096.68806857957</v>
      </c>
      <c r="BH320" s="408">
        <v>0</v>
      </c>
      <c r="BI320" s="408">
        <v>0</v>
      </c>
      <c r="BJ320" s="408">
        <v>0</v>
      </c>
      <c r="BK320" s="408">
        <v>24317.81</v>
      </c>
      <c r="BL320" s="408">
        <v>28</v>
      </c>
      <c r="BM320" s="408"/>
      <c r="BN320" s="408"/>
      <c r="BO320" s="408"/>
      <c r="BP320" s="408"/>
      <c r="BQ320" s="408">
        <v>3620.359800000002</v>
      </c>
      <c r="BR320" s="408"/>
      <c r="BS320" s="408"/>
      <c r="BT320" s="408"/>
      <c r="BU320" s="408"/>
      <c r="BV320" s="408">
        <v>25544.51437402892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56718.970199999996</v>
      </c>
      <c r="CJ320" s="408">
        <v>-26209.871400000004</v>
      </c>
      <c r="CK320" s="408"/>
      <c r="CL320" s="408"/>
      <c r="CM320" s="408"/>
      <c r="CN320" s="408"/>
      <c r="CO320" s="408">
        <v>-27882.809999999998</v>
      </c>
      <c r="CP320" s="408">
        <v>0</v>
      </c>
      <c r="CQ320" s="408">
        <v>31</v>
      </c>
      <c r="CR320" s="408">
        <v>-216.46552677085856</v>
      </c>
      <c r="CS320" s="408">
        <v>0</v>
      </c>
      <c r="CT320" s="408">
        <v>0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-28.248569592171407</v>
      </c>
      <c r="DA320" s="408">
        <v>0</v>
      </c>
      <c r="DB320" s="408">
        <v>0</v>
      </c>
      <c r="DC320" s="408">
        <v>-3.1470408430323005E-6</v>
      </c>
      <c r="DD320" s="408">
        <v>0</v>
      </c>
      <c r="DE320" s="408">
        <v>0</v>
      </c>
      <c r="DF320" s="408">
        <v>0</v>
      </c>
      <c r="DG320" s="408">
        <v>-4.3413319872342981E-7</v>
      </c>
      <c r="DH320" s="408">
        <v>0</v>
      </c>
      <c r="DI320" s="408">
        <v>-160.06736707051095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-21.377200678219651</v>
      </c>
      <c r="DP320" s="408">
        <v>-6.7723858487844382</v>
      </c>
      <c r="DQ320" s="408">
        <v>0</v>
      </c>
      <c r="DR320" s="408">
        <v>0</v>
      </c>
      <c r="DS320" s="408"/>
      <c r="DT320" s="408"/>
      <c r="DU320" s="408"/>
      <c r="DV320" s="408">
        <v>45121.911534764084</v>
      </c>
      <c r="DW320" s="408">
        <v>0</v>
      </c>
      <c r="DX320" s="408">
        <v>0</v>
      </c>
      <c r="DY320" s="408">
        <v>-27882.809999999998</v>
      </c>
      <c r="DZ320" s="408">
        <v>0</v>
      </c>
      <c r="EA320" s="408">
        <v>0</v>
      </c>
      <c r="EB320" s="408">
        <v>0</v>
      </c>
      <c r="EC320" s="408">
        <v>-27666.2799445001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265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327</v>
      </c>
      <c r="B321" s="408" t="s">
        <v>1031</v>
      </c>
      <c r="C321" s="408" t="s">
        <v>2227</v>
      </c>
      <c r="D321" s="408" t="s">
        <v>1952</v>
      </c>
      <c r="E321" s="408" t="s">
        <v>2244</v>
      </c>
      <c r="F321" s="408" t="s">
        <v>1317</v>
      </c>
      <c r="G321" s="408" t="s">
        <v>1317</v>
      </c>
      <c r="H321" s="408" t="s">
        <v>1317</v>
      </c>
      <c r="I321" s="408" t="s">
        <v>1317</v>
      </c>
      <c r="J321" s="408" t="s">
        <v>2228</v>
      </c>
      <c r="K321" s="828">
        <v>44562</v>
      </c>
      <c r="L321" s="408">
        <v>0</v>
      </c>
      <c r="M321" s="408">
        <v>0</v>
      </c>
      <c r="N321" s="408">
        <v>10.823</v>
      </c>
      <c r="O321" s="408">
        <v>10.823</v>
      </c>
      <c r="P321" s="408">
        <v>10.823</v>
      </c>
      <c r="Q321" s="408">
        <v>10.823</v>
      </c>
      <c r="R321" s="408"/>
      <c r="S321" s="408">
        <v>739.04</v>
      </c>
      <c r="T321" s="408">
        <v>252.22</v>
      </c>
      <c r="U321" s="408"/>
      <c r="V321" s="408">
        <v>10728.40698</v>
      </c>
      <c r="W321" s="408">
        <v>10728.40698</v>
      </c>
      <c r="X321" s="408">
        <v>7337.6693099999993</v>
      </c>
      <c r="Y321" s="408">
        <v>0</v>
      </c>
      <c r="Z321" s="408">
        <v>669.43671413512425</v>
      </c>
      <c r="AA321" s="408">
        <v>0</v>
      </c>
      <c r="AB321" s="408">
        <v>0</v>
      </c>
      <c r="AC321" s="408">
        <v>0</v>
      </c>
      <c r="AD321" s="408">
        <v>1336.6143180399513</v>
      </c>
      <c r="AE321" s="408">
        <v>5487.1286352893449</v>
      </c>
      <c r="AF321" s="408">
        <v>2729.8070124031274</v>
      </c>
      <c r="AG321" s="408">
        <v>0</v>
      </c>
      <c r="AH321" s="408">
        <v>0</v>
      </c>
      <c r="AI321" s="408">
        <v>0</v>
      </c>
      <c r="AJ321" s="408">
        <v>0</v>
      </c>
      <c r="AK321" s="408">
        <v>0</v>
      </c>
      <c r="AL321" s="408">
        <v>103.47901885842411</v>
      </c>
      <c r="AM321" s="408"/>
      <c r="AN321" s="408">
        <v>25.361520089579123</v>
      </c>
      <c r="AO321" s="408">
        <v>0</v>
      </c>
      <c r="AP321" s="408">
        <v>0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376.5781456880527</v>
      </c>
      <c r="BH321" s="408">
        <v>0</v>
      </c>
      <c r="BI321" s="408">
        <v>0</v>
      </c>
      <c r="BJ321" s="408">
        <v>0</v>
      </c>
      <c r="BK321" s="408">
        <v>2958.08</v>
      </c>
      <c r="BL321" s="408">
        <v>11</v>
      </c>
      <c r="BM321" s="408"/>
      <c r="BN321" s="408"/>
      <c r="BO321" s="408"/>
      <c r="BP321" s="408"/>
      <c r="BQ321" s="408"/>
      <c r="BR321" s="408"/>
      <c r="BS321" s="408"/>
      <c r="BT321" s="408"/>
      <c r="BU321" s="408"/>
      <c r="BV321" s="408">
        <v>3106.3851580911801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7335.6353999999992</v>
      </c>
      <c r="CJ321" s="408">
        <v>-3392.8015800000012</v>
      </c>
      <c r="CK321" s="408"/>
      <c r="CL321" s="408"/>
      <c r="CM321" s="408"/>
      <c r="CN321" s="408"/>
      <c r="CO321" s="408">
        <v>-3390.7376699999995</v>
      </c>
      <c r="CP321" s="408">
        <v>0</v>
      </c>
      <c r="CQ321" s="408">
        <v>31</v>
      </c>
      <c r="CR321" s="408">
        <v>-26.323667373492754</v>
      </c>
      <c r="CS321" s="408">
        <v>0</v>
      </c>
      <c r="CT321" s="408">
        <v>0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-3.4352165022028203</v>
      </c>
      <c r="DA321" s="408">
        <v>0</v>
      </c>
      <c r="DB321" s="408">
        <v>0</v>
      </c>
      <c r="DC321" s="408">
        <v>-3.8270127333817072E-7</v>
      </c>
      <c r="DD321" s="408">
        <v>0</v>
      </c>
      <c r="DE321" s="408">
        <v>0</v>
      </c>
      <c r="DF321" s="408">
        <v>0</v>
      </c>
      <c r="DG321" s="408">
        <v>-5.2793609484069748E-8</v>
      </c>
      <c r="DH321" s="408">
        <v>0</v>
      </c>
      <c r="DI321" s="408">
        <v>-19.465270941619565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-2.5996117184311345</v>
      </c>
      <c r="DP321" s="408">
        <v>-0.8235677757459996</v>
      </c>
      <c r="DQ321" s="408">
        <v>0</v>
      </c>
      <c r="DR321" s="408">
        <v>0</v>
      </c>
      <c r="DS321" s="408"/>
      <c r="DT321" s="408"/>
      <c r="DU321" s="408"/>
      <c r="DV321" s="408">
        <v>5487.1286352893449</v>
      </c>
      <c r="DW321" s="408">
        <v>0</v>
      </c>
      <c r="DX321" s="408">
        <v>0</v>
      </c>
      <c r="DY321" s="408">
        <v>-3390.7376700000004</v>
      </c>
      <c r="DZ321" s="408">
        <v>0</v>
      </c>
      <c r="EA321" s="408">
        <v>0</v>
      </c>
      <c r="EB321" s="408">
        <v>0</v>
      </c>
      <c r="EC321" s="408">
        <v>-3364.4061554980294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265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328</v>
      </c>
      <c r="B322" s="408" t="s">
        <v>1031</v>
      </c>
      <c r="C322" s="408" t="s">
        <v>2227</v>
      </c>
      <c r="D322" s="408" t="s">
        <v>2237</v>
      </c>
      <c r="E322" s="408" t="s">
        <v>969</v>
      </c>
      <c r="F322" s="408" t="s">
        <v>2245</v>
      </c>
      <c r="G322" s="408" t="s">
        <v>2246</v>
      </c>
      <c r="H322" s="408" t="s">
        <v>1317</v>
      </c>
      <c r="I322" s="408" t="s">
        <v>1317</v>
      </c>
      <c r="J322" s="408" t="s">
        <v>2228</v>
      </c>
      <c r="K322" s="828">
        <v>44562</v>
      </c>
      <c r="L322" s="408">
        <v>0</v>
      </c>
      <c r="M322" s="408">
        <v>0</v>
      </c>
      <c r="N322" s="408">
        <v>0</v>
      </c>
      <c r="O322" s="408">
        <v>0</v>
      </c>
      <c r="P322" s="408">
        <v>0</v>
      </c>
      <c r="Q322" s="408">
        <v>0</v>
      </c>
      <c r="R322" s="408"/>
      <c r="S322" s="408"/>
      <c r="T322" s="408"/>
      <c r="U322" s="408"/>
      <c r="V322" s="408"/>
      <c r="W322" s="408"/>
      <c r="X322" s="408"/>
      <c r="Y322" s="408"/>
      <c r="Z322" s="408"/>
      <c r="AA322" s="408">
        <v>0</v>
      </c>
      <c r="AB322" s="408"/>
      <c r="AC322" s="408"/>
      <c r="AD322" s="408"/>
      <c r="AE322" s="408"/>
      <c r="AF322" s="408"/>
      <c r="AG322" s="408"/>
      <c r="AH322" s="408"/>
      <c r="AI322" s="408"/>
      <c r="AJ322" s="408"/>
      <c r="AK322" s="408"/>
      <c r="AL322" s="408"/>
      <c r="AM322" s="408"/>
      <c r="AN322" s="408"/>
      <c r="AO322" s="408"/>
      <c r="AP322" s="408"/>
      <c r="AQ322" s="408"/>
      <c r="AR322" s="408"/>
      <c r="AS322" s="408"/>
      <c r="AT322" s="408"/>
      <c r="AU322" s="408"/>
      <c r="AV322" s="408"/>
      <c r="AW322" s="408"/>
      <c r="AX322" s="408"/>
      <c r="AY322" s="408"/>
      <c r="AZ322" s="408">
        <v>0</v>
      </c>
      <c r="BA322" s="408"/>
      <c r="BB322" s="408"/>
      <c r="BC322" s="408"/>
      <c r="BD322" s="408"/>
      <c r="BE322" s="408"/>
      <c r="BF322" s="408"/>
      <c r="BG322" s="408"/>
      <c r="BH322" s="408"/>
      <c r="BI322" s="408">
        <v>0</v>
      </c>
      <c r="BJ322" s="408">
        <v>0</v>
      </c>
      <c r="BK322" s="408">
        <v>390.95</v>
      </c>
      <c r="BL322" s="408">
        <v>35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/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/>
      <c r="CJ322" s="408">
        <v>-0.03</v>
      </c>
      <c r="CK322" s="408"/>
      <c r="CL322" s="408"/>
      <c r="CM322" s="408"/>
      <c r="CN322" s="408"/>
      <c r="CO322" s="408">
        <v>0</v>
      </c>
      <c r="CP322" s="408">
        <v>0</v>
      </c>
      <c r="CQ322" s="408">
        <v>31</v>
      </c>
      <c r="CR322" s="408"/>
      <c r="CS322" s="408"/>
      <c r="CT322" s="408"/>
      <c r="CU322" s="408"/>
      <c r="CV322" s="408"/>
      <c r="CW322" s="408"/>
      <c r="CX322" s="408"/>
      <c r="CY322" s="408"/>
      <c r="CZ322" s="408"/>
      <c r="DA322" s="408"/>
      <c r="DB322" s="408"/>
      <c r="DC322" s="408"/>
      <c r="DD322" s="408"/>
      <c r="DE322" s="408"/>
      <c r="DF322" s="408"/>
      <c r="DG322" s="408"/>
      <c r="DH322" s="408"/>
      <c r="DI322" s="408"/>
      <c r="DJ322" s="408"/>
      <c r="DK322" s="408">
        <v>0</v>
      </c>
      <c r="DL322" s="408"/>
      <c r="DM322" s="408"/>
      <c r="DN322" s="408"/>
      <c r="DO322" s="408"/>
      <c r="DP322" s="408"/>
      <c r="DQ322" s="408"/>
      <c r="DR322" s="408"/>
      <c r="DS322" s="408"/>
      <c r="DT322" s="408"/>
      <c r="DU322" s="408"/>
      <c r="DV322" s="408"/>
      <c r="DW322" s="408"/>
      <c r="DX322" s="408"/>
      <c r="DY322" s="408"/>
      <c r="DZ322" s="408"/>
      <c r="EA322" s="408"/>
      <c r="EB322" s="408"/>
      <c r="EC322" s="408"/>
      <c r="ED322" s="408"/>
      <c r="EE322" s="408"/>
      <c r="EF322" s="408"/>
      <c r="EG322" s="408"/>
      <c r="EH322" s="408"/>
      <c r="EI322" s="408"/>
      <c r="EJ322" s="408"/>
      <c r="EK322" s="408"/>
      <c r="EL322" s="408"/>
      <c r="EM322" s="408"/>
      <c r="EN322" s="408"/>
      <c r="EO322" s="408"/>
      <c r="EP322" s="408"/>
      <c r="EQ322" s="408"/>
      <c r="ER322" s="408"/>
      <c r="ES322" s="408"/>
      <c r="ET322" s="408"/>
      <c r="EU322" s="408"/>
      <c r="EV322" s="408">
        <v>265</v>
      </c>
      <c r="EW322" s="408"/>
      <c r="EX322" s="408"/>
      <c r="EY322" s="408"/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329</v>
      </c>
      <c r="B323" s="408" t="s">
        <v>2230</v>
      </c>
      <c r="C323" s="408" t="s">
        <v>2227</v>
      </c>
      <c r="D323" s="408" t="s">
        <v>2237</v>
      </c>
      <c r="E323" s="408" t="s">
        <v>969</v>
      </c>
      <c r="F323" s="408" t="s">
        <v>2245</v>
      </c>
      <c r="G323" s="408" t="s">
        <v>2246</v>
      </c>
      <c r="H323" s="408" t="s">
        <v>1317</v>
      </c>
      <c r="I323" s="408" t="s">
        <v>1317</v>
      </c>
      <c r="J323" s="408" t="s">
        <v>2228</v>
      </c>
      <c r="K323" s="828">
        <v>44562</v>
      </c>
      <c r="L323" s="408">
        <v>0</v>
      </c>
      <c r="M323" s="408">
        <v>0</v>
      </c>
      <c r="N323" s="408">
        <v>0</v>
      </c>
      <c r="O323" s="408">
        <v>0</v>
      </c>
      <c r="P323" s="408">
        <v>0</v>
      </c>
      <c r="Q323" s="408">
        <v>0</v>
      </c>
      <c r="R323" s="408"/>
      <c r="S323" s="408"/>
      <c r="T323" s="408"/>
      <c r="U323" s="408"/>
      <c r="V323" s="408"/>
      <c r="W323" s="408"/>
      <c r="X323" s="408"/>
      <c r="Y323" s="408"/>
      <c r="Z323" s="408"/>
      <c r="AA323" s="408">
        <v>0</v>
      </c>
      <c r="AB323" s="408"/>
      <c r="AC323" s="408"/>
      <c r="AD323" s="408"/>
      <c r="AE323" s="408"/>
      <c r="AF323" s="408"/>
      <c r="AG323" s="408"/>
      <c r="AH323" s="408"/>
      <c r="AI323" s="408"/>
      <c r="AJ323" s="408"/>
      <c r="AK323" s="408"/>
      <c r="AL323" s="408"/>
      <c r="AM323" s="408"/>
      <c r="AN323" s="408"/>
      <c r="AO323" s="408"/>
      <c r="AP323" s="408"/>
      <c r="AQ323" s="408"/>
      <c r="AR323" s="408"/>
      <c r="AS323" s="408"/>
      <c r="AT323" s="408"/>
      <c r="AU323" s="408"/>
      <c r="AV323" s="408"/>
      <c r="AW323" s="408"/>
      <c r="AX323" s="408"/>
      <c r="AY323" s="408"/>
      <c r="AZ323" s="408">
        <v>0</v>
      </c>
      <c r="BA323" s="408"/>
      <c r="BB323" s="408"/>
      <c r="BC323" s="408"/>
      <c r="BD323" s="408"/>
      <c r="BE323" s="408"/>
      <c r="BF323" s="408"/>
      <c r="BG323" s="408"/>
      <c r="BH323" s="408"/>
      <c r="BI323" s="408">
        <v>0</v>
      </c>
      <c r="BJ323" s="408">
        <v>0</v>
      </c>
      <c r="BK323" s="408">
        <v>33.51</v>
      </c>
      <c r="BL323" s="408">
        <v>3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/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/>
      <c r="CJ323" s="408">
        <v>-0.03</v>
      </c>
      <c r="CK323" s="408"/>
      <c r="CL323" s="408"/>
      <c r="CM323" s="408"/>
      <c r="CN323" s="408"/>
      <c r="CO323" s="408">
        <v>0</v>
      </c>
      <c r="CP323" s="408">
        <v>0</v>
      </c>
      <c r="CQ323" s="408">
        <v>31</v>
      </c>
      <c r="CR323" s="408"/>
      <c r="CS323" s="408"/>
      <c r="CT323" s="408"/>
      <c r="CU323" s="408"/>
      <c r="CV323" s="408"/>
      <c r="CW323" s="408"/>
      <c r="CX323" s="408"/>
      <c r="CY323" s="408"/>
      <c r="CZ323" s="408"/>
      <c r="DA323" s="408"/>
      <c r="DB323" s="408"/>
      <c r="DC323" s="408"/>
      <c r="DD323" s="408"/>
      <c r="DE323" s="408"/>
      <c r="DF323" s="408"/>
      <c r="DG323" s="408"/>
      <c r="DH323" s="408"/>
      <c r="DI323" s="408"/>
      <c r="DJ323" s="408"/>
      <c r="DK323" s="408">
        <v>0</v>
      </c>
      <c r="DL323" s="408"/>
      <c r="DM323" s="408"/>
      <c r="DN323" s="408"/>
      <c r="DO323" s="408"/>
      <c r="DP323" s="408"/>
      <c r="DQ323" s="408"/>
      <c r="DR323" s="408"/>
      <c r="DS323" s="408"/>
      <c r="DT323" s="408"/>
      <c r="DU323" s="408"/>
      <c r="DV323" s="408"/>
      <c r="DW323" s="408"/>
      <c r="DX323" s="408"/>
      <c r="DY323" s="408"/>
      <c r="DZ323" s="408"/>
      <c r="EA323" s="408"/>
      <c r="EB323" s="408"/>
      <c r="EC323" s="408"/>
      <c r="ED323" s="408"/>
      <c r="EE323" s="408"/>
      <c r="EF323" s="408"/>
      <c r="EG323" s="408"/>
      <c r="EH323" s="408"/>
      <c r="EI323" s="408"/>
      <c r="EJ323" s="408"/>
      <c r="EK323" s="408"/>
      <c r="EL323" s="408"/>
      <c r="EM323" s="408"/>
      <c r="EN323" s="408"/>
      <c r="EO323" s="408"/>
      <c r="EP323" s="408"/>
      <c r="EQ323" s="408"/>
      <c r="ER323" s="408"/>
      <c r="ES323" s="408"/>
      <c r="ET323" s="408"/>
      <c r="EU323" s="408"/>
      <c r="EV323" s="408">
        <v>265</v>
      </c>
      <c r="EW323" s="408"/>
      <c r="EX323" s="408"/>
      <c r="EY323" s="408"/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330</v>
      </c>
      <c r="B324" s="408" t="s">
        <v>1031</v>
      </c>
      <c r="C324" s="408" t="s">
        <v>2227</v>
      </c>
      <c r="D324" s="408" t="s">
        <v>2237</v>
      </c>
      <c r="E324" s="408" t="s">
        <v>969</v>
      </c>
      <c r="F324" s="408" t="s">
        <v>2245</v>
      </c>
      <c r="G324" s="408" t="s">
        <v>2246</v>
      </c>
      <c r="H324" s="408" t="s">
        <v>1317</v>
      </c>
      <c r="I324" s="408" t="s">
        <v>1317</v>
      </c>
      <c r="J324" s="408" t="s">
        <v>2228</v>
      </c>
      <c r="K324" s="828">
        <v>44562</v>
      </c>
      <c r="L324" s="408">
        <v>0</v>
      </c>
      <c r="M324" s="408">
        <v>0</v>
      </c>
      <c r="N324" s="408">
        <v>243.178</v>
      </c>
      <c r="O324" s="408">
        <v>243.178</v>
      </c>
      <c r="P324" s="408">
        <v>243.178</v>
      </c>
      <c r="Q324" s="408">
        <v>243.178</v>
      </c>
      <c r="R324" s="408"/>
      <c r="S324" s="408">
        <v>739.04</v>
      </c>
      <c r="T324" s="408">
        <v>252.22</v>
      </c>
      <c r="U324" s="408"/>
      <c r="V324" s="408">
        <v>241052.62427999999</v>
      </c>
      <c r="W324" s="408">
        <v>241052.62427999999</v>
      </c>
      <c r="X324" s="408">
        <v>164867.38866</v>
      </c>
      <c r="Y324" s="408">
        <v>0</v>
      </c>
      <c r="Z324" s="408">
        <v>15041.326921366648</v>
      </c>
      <c r="AA324" s="408">
        <v>0</v>
      </c>
      <c r="AB324" s="408">
        <v>0</v>
      </c>
      <c r="AC324" s="408">
        <v>0</v>
      </c>
      <c r="AD324" s="408">
        <v>30031.894727184634</v>
      </c>
      <c r="AE324" s="408">
        <v>123288.27194607707</v>
      </c>
      <c r="AF324" s="408">
        <v>61335.028149511934</v>
      </c>
      <c r="AG324" s="408">
        <v>0</v>
      </c>
      <c r="AH324" s="408">
        <v>0</v>
      </c>
      <c r="AI324" s="408">
        <v>0</v>
      </c>
      <c r="AJ324" s="408">
        <v>0</v>
      </c>
      <c r="AK324" s="408">
        <v>0</v>
      </c>
      <c r="AL324" s="408">
        <v>2325.0319549065744</v>
      </c>
      <c r="AM324" s="408"/>
      <c r="AN324" s="408">
        <v>569.83865216147751</v>
      </c>
      <c r="AO324" s="408">
        <v>0</v>
      </c>
      <c r="AP324" s="408">
        <v>0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8461.1956307982327</v>
      </c>
      <c r="BH324" s="408">
        <v>0</v>
      </c>
      <c r="BI324" s="408">
        <v>0</v>
      </c>
      <c r="BJ324" s="408">
        <v>0</v>
      </c>
      <c r="BK324" s="408">
        <v>0</v>
      </c>
      <c r="BL324" s="408">
        <v>0</v>
      </c>
      <c r="BM324" s="408"/>
      <c r="BN324" s="408"/>
      <c r="BO324" s="408"/>
      <c r="BP324" s="408"/>
      <c r="BQ324" s="408"/>
      <c r="BR324" s="408">
        <v>19782.530299999991</v>
      </c>
      <c r="BS324" s="408"/>
      <c r="BT324" s="408"/>
      <c r="BU324" s="408"/>
      <c r="BV324" s="408">
        <v>69796.22378031016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145086.05160000001</v>
      </c>
      <c r="CJ324" s="408">
        <v>-67040.57958000002</v>
      </c>
      <c r="CK324" s="408"/>
      <c r="CL324" s="408"/>
      <c r="CM324" s="408"/>
      <c r="CN324" s="408"/>
      <c r="CO324" s="408">
        <v>-76185.235619999992</v>
      </c>
      <c r="CP324" s="408">
        <v>0</v>
      </c>
      <c r="CQ324" s="408">
        <v>31</v>
      </c>
      <c r="CR324" s="408">
        <v>-591.45678504589887</v>
      </c>
      <c r="CS324" s="408">
        <v>0</v>
      </c>
      <c r="CT324" s="408">
        <v>0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-77.184614115561999</v>
      </c>
      <c r="DA324" s="408">
        <v>0</v>
      </c>
      <c r="DB324" s="408">
        <v>0</v>
      </c>
      <c r="DC324" s="408">
        <v>-8.598777640145272E-6</v>
      </c>
      <c r="DD324" s="408">
        <v>0</v>
      </c>
      <c r="DE324" s="408">
        <v>0</v>
      </c>
      <c r="DF324" s="408">
        <v>0</v>
      </c>
      <c r="DG324" s="408">
        <v>-1.1861993698403239E-6</v>
      </c>
      <c r="DH324" s="408">
        <v>0</v>
      </c>
      <c r="DI324" s="408">
        <v>-437.35800212890717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-58.409718050877018</v>
      </c>
      <c r="DP324" s="408">
        <v>-18.504440965569643</v>
      </c>
      <c r="DQ324" s="408">
        <v>0</v>
      </c>
      <c r="DR324" s="408">
        <v>0</v>
      </c>
      <c r="DS324" s="408"/>
      <c r="DT324" s="408"/>
      <c r="DU324" s="408"/>
      <c r="DV324" s="408">
        <v>123288.27194607707</v>
      </c>
      <c r="DW324" s="408">
        <v>0</v>
      </c>
      <c r="DX324" s="408">
        <v>0</v>
      </c>
      <c r="DY324" s="408">
        <v>-76185.235619999978</v>
      </c>
      <c r="DZ324" s="408">
        <v>0</v>
      </c>
      <c r="EA324" s="408">
        <v>0</v>
      </c>
      <c r="EB324" s="408">
        <v>0</v>
      </c>
      <c r="EC324" s="408">
        <v>-75593.602520715111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265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331</v>
      </c>
      <c r="B325" s="408" t="s">
        <v>2230</v>
      </c>
      <c r="C325" s="408" t="s">
        <v>2227</v>
      </c>
      <c r="D325" s="408" t="s">
        <v>2237</v>
      </c>
      <c r="E325" s="408" t="s">
        <v>969</v>
      </c>
      <c r="F325" s="408" t="s">
        <v>2245</v>
      </c>
      <c r="G325" s="408" t="s">
        <v>2246</v>
      </c>
      <c r="H325" s="408" t="s">
        <v>1317</v>
      </c>
      <c r="I325" s="408" t="s">
        <v>1317</v>
      </c>
      <c r="J325" s="408" t="s">
        <v>2228</v>
      </c>
      <c r="K325" s="828">
        <v>44562</v>
      </c>
      <c r="L325" s="408">
        <v>0</v>
      </c>
      <c r="M325" s="408">
        <v>0</v>
      </c>
      <c r="N325" s="408">
        <v>3.8889999999999998</v>
      </c>
      <c r="O325" s="408">
        <v>3.8889999999999998</v>
      </c>
      <c r="P325" s="408">
        <v>3.8889999999999998</v>
      </c>
      <c r="Q325" s="408">
        <v>3.8889999999999998</v>
      </c>
      <c r="R325" s="408"/>
      <c r="S325" s="408">
        <v>739.04</v>
      </c>
      <c r="T325" s="408">
        <v>252.22</v>
      </c>
      <c r="U325" s="408"/>
      <c r="V325" s="408">
        <v>3855.0101399999994</v>
      </c>
      <c r="W325" s="408">
        <v>3855.0101399999994</v>
      </c>
      <c r="X325" s="408">
        <v>2636.6253299999998</v>
      </c>
      <c r="Y325" s="408">
        <v>0</v>
      </c>
      <c r="Z325" s="408">
        <v>240.54692610842631</v>
      </c>
      <c r="AA325" s="408">
        <v>0</v>
      </c>
      <c r="AB325" s="408">
        <v>0</v>
      </c>
      <c r="AC325" s="408">
        <v>0</v>
      </c>
      <c r="AD325" s="408">
        <v>480.28209210545788</v>
      </c>
      <c r="AE325" s="408">
        <v>1971.6754377381742</v>
      </c>
      <c r="AF325" s="408">
        <v>980.89434271789355</v>
      </c>
      <c r="AG325" s="408">
        <v>0</v>
      </c>
      <c r="AH325" s="408">
        <v>0</v>
      </c>
      <c r="AI325" s="408">
        <v>0</v>
      </c>
      <c r="AJ325" s="408">
        <v>0</v>
      </c>
      <c r="AK325" s="408">
        <v>0</v>
      </c>
      <c r="AL325" s="408">
        <v>37.182842496573159</v>
      </c>
      <c r="AM325" s="408"/>
      <c r="AN325" s="408">
        <v>9.1130880188832304</v>
      </c>
      <c r="AO325" s="408">
        <v>0</v>
      </c>
      <c r="AP325" s="408">
        <v>0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135.31483032253874</v>
      </c>
      <c r="BH325" s="408">
        <v>0</v>
      </c>
      <c r="BI325" s="408">
        <v>0</v>
      </c>
      <c r="BJ325" s="408">
        <v>0</v>
      </c>
      <c r="BK325" s="408">
        <v>0</v>
      </c>
      <c r="BL325" s="408">
        <v>0</v>
      </c>
      <c r="BM325" s="408"/>
      <c r="BN325" s="408"/>
      <c r="BO325" s="408"/>
      <c r="BP325" s="408"/>
      <c r="BQ325" s="408"/>
      <c r="BR325" s="408">
        <v>316.37014999999985</v>
      </c>
      <c r="BS325" s="408"/>
      <c r="BT325" s="408"/>
      <c r="BU325" s="408"/>
      <c r="BV325" s="408">
        <v>1116.2091730404322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2320.8518000000004</v>
      </c>
      <c r="CJ325" s="408">
        <v>-1071.5917900000004</v>
      </c>
      <c r="CK325" s="408"/>
      <c r="CL325" s="408"/>
      <c r="CM325" s="408"/>
      <c r="CN325" s="408"/>
      <c r="CO325" s="408">
        <v>-1218.3848099999998</v>
      </c>
      <c r="CP325" s="408">
        <v>0</v>
      </c>
      <c r="CQ325" s="408">
        <v>31</v>
      </c>
      <c r="CR325" s="408">
        <v>-9.4588138608078225</v>
      </c>
      <c r="CS325" s="408">
        <v>0</v>
      </c>
      <c r="CT325" s="408">
        <v>0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-1.234367271280405</v>
      </c>
      <c r="DA325" s="408">
        <v>0</v>
      </c>
      <c r="DB325" s="408">
        <v>0</v>
      </c>
      <c r="DC325" s="408">
        <v>-1.3751514416071586E-7</v>
      </c>
      <c r="DD325" s="408">
        <v>0</v>
      </c>
      <c r="DE325" s="408">
        <v>0</v>
      </c>
      <c r="DF325" s="408">
        <v>0</v>
      </c>
      <c r="DG325" s="408">
        <v>-1.8970183646160876E-8</v>
      </c>
      <c r="DH325" s="408">
        <v>0</v>
      </c>
      <c r="DI325" s="408">
        <v>-6.9944043880586264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-0.93411161165838053</v>
      </c>
      <c r="DP325" s="408">
        <v>-0.29593043332497437</v>
      </c>
      <c r="DQ325" s="408">
        <v>0</v>
      </c>
      <c r="DR325" s="408">
        <v>0</v>
      </c>
      <c r="DS325" s="408"/>
      <c r="DT325" s="408"/>
      <c r="DU325" s="408"/>
      <c r="DV325" s="408">
        <v>1971.6754377381742</v>
      </c>
      <c r="DW325" s="408">
        <v>0</v>
      </c>
      <c r="DX325" s="408">
        <v>0</v>
      </c>
      <c r="DY325" s="408">
        <v>-1218.3848099999998</v>
      </c>
      <c r="DZ325" s="408">
        <v>0</v>
      </c>
      <c r="EA325" s="408">
        <v>0</v>
      </c>
      <c r="EB325" s="408">
        <v>0</v>
      </c>
      <c r="EC325" s="408">
        <v>-1208.9231764512458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265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332</v>
      </c>
      <c r="B326" s="408" t="s">
        <v>1031</v>
      </c>
      <c r="C326" s="408" t="s">
        <v>2227</v>
      </c>
      <c r="D326" s="408" t="s">
        <v>2237</v>
      </c>
      <c r="E326" s="408" t="s">
        <v>969</v>
      </c>
      <c r="F326" s="408" t="s">
        <v>2245</v>
      </c>
      <c r="G326" s="408" t="s">
        <v>2247</v>
      </c>
      <c r="H326" s="408" t="s">
        <v>1317</v>
      </c>
      <c r="I326" s="408" t="s">
        <v>1317</v>
      </c>
      <c r="J326" s="408" t="s">
        <v>2228</v>
      </c>
      <c r="K326" s="828">
        <v>44562</v>
      </c>
      <c r="L326" s="408">
        <v>0</v>
      </c>
      <c r="M326" s="408">
        <v>0</v>
      </c>
      <c r="N326" s="408">
        <v>273.72500000000002</v>
      </c>
      <c r="O326" s="408">
        <v>109.49</v>
      </c>
      <c r="P326" s="408">
        <v>273.72500000000002</v>
      </c>
      <c r="Q326" s="408">
        <v>109.49</v>
      </c>
      <c r="R326" s="408"/>
      <c r="S326" s="408">
        <v>739.04</v>
      </c>
      <c r="T326" s="408">
        <v>252.22</v>
      </c>
      <c r="U326" s="408"/>
      <c r="V326" s="408">
        <v>271332.64350000001</v>
      </c>
      <c r="W326" s="408">
        <v>271332.64350000001</v>
      </c>
      <c r="X326" s="408">
        <v>185577.33825000003</v>
      </c>
      <c r="Y326" s="408">
        <v>0</v>
      </c>
      <c r="Z326" s="408">
        <v>16930.755296741838</v>
      </c>
      <c r="AA326" s="408">
        <v>0</v>
      </c>
      <c r="AB326" s="408">
        <v>0</v>
      </c>
      <c r="AC326" s="408">
        <v>0</v>
      </c>
      <c r="AD326" s="408">
        <v>33804.375330821924</v>
      </c>
      <c r="AE326" s="408">
        <v>138775.22735790224</v>
      </c>
      <c r="AF326" s="408">
        <v>69039.677027630605</v>
      </c>
      <c r="AG326" s="408">
        <v>0</v>
      </c>
      <c r="AH326" s="408">
        <v>0</v>
      </c>
      <c r="AI326" s="408">
        <v>0</v>
      </c>
      <c r="AJ326" s="408">
        <v>0</v>
      </c>
      <c r="AK326" s="408">
        <v>0</v>
      </c>
      <c r="AL326" s="408">
        <v>2617.0927133902005</v>
      </c>
      <c r="AM326" s="408"/>
      <c r="AN326" s="408">
        <v>641.41939263790505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9524.0555232802581</v>
      </c>
      <c r="BH326" s="408">
        <v>0</v>
      </c>
      <c r="BI326" s="408">
        <v>0</v>
      </c>
      <c r="BJ326" s="408">
        <v>0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/>
      <c r="BS326" s="408">
        <v>120253.41445000001</v>
      </c>
      <c r="BT326" s="408"/>
      <c r="BU326" s="408"/>
      <c r="BV326" s="408">
        <v>78563.732550910863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65323.923799999997</v>
      </c>
      <c r="CJ326" s="408">
        <v>-30185.328099999992</v>
      </c>
      <c r="CK326" s="408"/>
      <c r="CL326" s="408"/>
      <c r="CM326" s="408"/>
      <c r="CN326" s="408"/>
      <c r="CO326" s="408">
        <v>-85755.30524999999</v>
      </c>
      <c r="CP326" s="408">
        <v>0</v>
      </c>
      <c r="CQ326" s="408">
        <v>31</v>
      </c>
      <c r="CR326" s="408">
        <v>-665.75310466691735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-86.880221478837484</v>
      </c>
      <c r="DA326" s="408">
        <v>0</v>
      </c>
      <c r="DB326" s="408">
        <v>0</v>
      </c>
      <c r="DC326" s="408">
        <v>-9.6789153758436441E-6</v>
      </c>
      <c r="DD326" s="408">
        <v>0</v>
      </c>
      <c r="DE326" s="408">
        <v>0</v>
      </c>
      <c r="DF326" s="408">
        <v>0</v>
      </c>
      <c r="DG326" s="408">
        <v>-1.3352055248105898E-6</v>
      </c>
      <c r="DH326" s="408">
        <v>0</v>
      </c>
      <c r="DI326" s="408">
        <v>-492.29707922894158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-65.74690174882744</v>
      </c>
      <c r="DP326" s="408">
        <v>-20.828891196163227</v>
      </c>
      <c r="DQ326" s="408">
        <v>0</v>
      </c>
      <c r="DR326" s="408">
        <v>0</v>
      </c>
      <c r="DS326" s="408"/>
      <c r="DT326" s="408"/>
      <c r="DU326" s="408"/>
      <c r="DV326" s="408">
        <v>138775.22735790224</v>
      </c>
      <c r="DW326" s="408">
        <v>0</v>
      </c>
      <c r="DX326" s="408">
        <v>0</v>
      </c>
      <c r="DY326" s="408">
        <v>-85755.305250000005</v>
      </c>
      <c r="DZ326" s="408">
        <v>0</v>
      </c>
      <c r="EA326" s="408">
        <v>0</v>
      </c>
      <c r="EB326" s="408">
        <v>0</v>
      </c>
      <c r="EC326" s="408">
        <v>-85089.353683239227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265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333</v>
      </c>
      <c r="B327" s="408" t="s">
        <v>2230</v>
      </c>
      <c r="C327" s="408" t="s">
        <v>2227</v>
      </c>
      <c r="D327" s="408" t="s">
        <v>2237</v>
      </c>
      <c r="E327" s="408" t="s">
        <v>969</v>
      </c>
      <c r="F327" s="408" t="s">
        <v>2245</v>
      </c>
      <c r="G327" s="408" t="s">
        <v>2247</v>
      </c>
      <c r="H327" s="408" t="s">
        <v>1317</v>
      </c>
      <c r="I327" s="408" t="s">
        <v>1317</v>
      </c>
      <c r="J327" s="408" t="s">
        <v>2228</v>
      </c>
      <c r="K327" s="828">
        <v>44562</v>
      </c>
      <c r="L327" s="408">
        <v>0</v>
      </c>
      <c r="M327" s="408">
        <v>0</v>
      </c>
      <c r="N327" s="408">
        <v>26.376999999999999</v>
      </c>
      <c r="O327" s="408">
        <v>26.376999999999999</v>
      </c>
      <c r="P327" s="408">
        <v>26.376999999999999</v>
      </c>
      <c r="Q327" s="408">
        <v>26.376999999999999</v>
      </c>
      <c r="R327" s="408"/>
      <c r="S327" s="408">
        <v>739.04</v>
      </c>
      <c r="T327" s="408">
        <v>252.22</v>
      </c>
      <c r="U327" s="408"/>
      <c r="V327" s="408">
        <v>26146.465019999996</v>
      </c>
      <c r="W327" s="408">
        <v>26146.465019999996</v>
      </c>
      <c r="X327" s="408">
        <v>17882.814689999999</v>
      </c>
      <c r="Y327" s="408">
        <v>0</v>
      </c>
      <c r="Z327" s="408">
        <v>1631.5007122555826</v>
      </c>
      <c r="AA327" s="408">
        <v>0</v>
      </c>
      <c r="AB327" s="408">
        <v>0</v>
      </c>
      <c r="AC327" s="408">
        <v>0</v>
      </c>
      <c r="AD327" s="408">
        <v>3257.4956912999901</v>
      </c>
      <c r="AE327" s="408">
        <v>13372.816410701935</v>
      </c>
      <c r="AF327" s="408">
        <v>6652.8799377397472</v>
      </c>
      <c r="AG327" s="408">
        <v>0</v>
      </c>
      <c r="AH327" s="408">
        <v>0</v>
      </c>
      <c r="AI327" s="408">
        <v>0</v>
      </c>
      <c r="AJ327" s="408">
        <v>0</v>
      </c>
      <c r="AK327" s="408">
        <v>0</v>
      </c>
      <c r="AL327" s="408">
        <v>252.19126678634873</v>
      </c>
      <c r="AM327" s="408"/>
      <c r="AN327" s="408">
        <v>61.809185568033676</v>
      </c>
      <c r="AO327" s="408">
        <v>0</v>
      </c>
      <c r="AP327" s="408">
        <v>0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>
        <v>0</v>
      </c>
      <c r="BG327" s="408">
        <v>917.76787848228446</v>
      </c>
      <c r="BH327" s="408">
        <v>0</v>
      </c>
      <c r="BI327" s="408">
        <v>0</v>
      </c>
      <c r="BJ327" s="408">
        <v>0</v>
      </c>
      <c r="BK327" s="408">
        <v>0</v>
      </c>
      <c r="BL327" s="408">
        <v>0</v>
      </c>
      <c r="BM327" s="408"/>
      <c r="BN327" s="408"/>
      <c r="BO327" s="408"/>
      <c r="BP327" s="408"/>
      <c r="BQ327" s="408"/>
      <c r="BR327" s="408">
        <v>2145.7689499999992</v>
      </c>
      <c r="BS327" s="408"/>
      <c r="BT327" s="408"/>
      <c r="BU327" s="408"/>
      <c r="BV327" s="408">
        <v>7570.6478162220319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15738.8356</v>
      </c>
      <c r="CJ327" s="408">
        <v>-7270.1152699999966</v>
      </c>
      <c r="CK327" s="408"/>
      <c r="CL327" s="408"/>
      <c r="CM327" s="408"/>
      <c r="CN327" s="408"/>
      <c r="CO327" s="408">
        <v>-8263.6503299999986</v>
      </c>
      <c r="CP327" s="408">
        <v>0</v>
      </c>
      <c r="CQ327" s="408">
        <v>31</v>
      </c>
      <c r="CR327" s="408">
        <v>-64.154058422866001</v>
      </c>
      <c r="CS327" s="408">
        <v>0</v>
      </c>
      <c r="CT327" s="408">
        <v>0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-8.3720507880075274</v>
      </c>
      <c r="DA327" s="408">
        <v>0</v>
      </c>
      <c r="DB327" s="408">
        <v>0</v>
      </c>
      <c r="DC327" s="408">
        <v>-9.3269136414164677E-7</v>
      </c>
      <c r="DD327" s="408">
        <v>0</v>
      </c>
      <c r="DE327" s="408">
        <v>0</v>
      </c>
      <c r="DF327" s="408">
        <v>0</v>
      </c>
      <c r="DG327" s="408">
        <v>-1.2866451015725033E-7</v>
      </c>
      <c r="DH327" s="408">
        <v>0</v>
      </c>
      <c r="DI327" s="408">
        <v>-47.439291474369384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-6.3355777785325529</v>
      </c>
      <c r="DP327" s="408">
        <v>-2.0071373205998526</v>
      </c>
      <c r="DQ327" s="408">
        <v>0</v>
      </c>
      <c r="DR327" s="408">
        <v>0</v>
      </c>
      <c r="DS327" s="408"/>
      <c r="DT327" s="408"/>
      <c r="DU327" s="408"/>
      <c r="DV327" s="408">
        <v>13372.816410701935</v>
      </c>
      <c r="DW327" s="408">
        <v>0</v>
      </c>
      <c r="DX327" s="408">
        <v>0</v>
      </c>
      <c r="DY327" s="408">
        <v>-8263.6503299999986</v>
      </c>
      <c r="DZ327" s="408">
        <v>0</v>
      </c>
      <c r="EA327" s="408">
        <v>0</v>
      </c>
      <c r="EB327" s="408">
        <v>0</v>
      </c>
      <c r="EC327" s="408">
        <v>-8199.4771471469576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265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334</v>
      </c>
      <c r="B328" s="408" t="s">
        <v>1031</v>
      </c>
      <c r="C328" s="408" t="s">
        <v>2235</v>
      </c>
      <c r="D328" s="408" t="s">
        <v>596</v>
      </c>
      <c r="E328" s="408" t="s">
        <v>969</v>
      </c>
      <c r="F328" s="408" t="s">
        <v>2245</v>
      </c>
      <c r="G328" s="408" t="s">
        <v>1317</v>
      </c>
      <c r="H328" s="408" t="s">
        <v>1317</v>
      </c>
      <c r="I328" s="408" t="s">
        <v>968</v>
      </c>
      <c r="J328" s="408" t="s">
        <v>2228</v>
      </c>
      <c r="K328" s="828">
        <v>44562</v>
      </c>
      <c r="L328" s="408">
        <v>0</v>
      </c>
      <c r="M328" s="408">
        <v>0</v>
      </c>
      <c r="N328" s="408">
        <v>78.616</v>
      </c>
      <c r="O328" s="408">
        <v>75.471360000000004</v>
      </c>
      <c r="P328" s="408">
        <v>78.616</v>
      </c>
      <c r="Q328" s="408">
        <v>75.471360000000004</v>
      </c>
      <c r="R328" s="408"/>
      <c r="S328" s="408">
        <v>2641.06</v>
      </c>
      <c r="T328" s="408">
        <v>252.22</v>
      </c>
      <c r="U328" s="408"/>
      <c r="V328" s="408">
        <v>227458.10047999999</v>
      </c>
      <c r="W328" s="408">
        <v>227458.10047999999</v>
      </c>
      <c r="X328" s="408">
        <v>135010.40143999999</v>
      </c>
      <c r="Y328" s="408">
        <v>0</v>
      </c>
      <c r="Z328" s="408">
        <v>4230.5035521619529</v>
      </c>
      <c r="AA328" s="408">
        <v>0</v>
      </c>
      <c r="AB328" s="408">
        <v>0</v>
      </c>
      <c r="AC328" s="408">
        <v>0</v>
      </c>
      <c r="AD328" s="408">
        <v>50924.849728232657</v>
      </c>
      <c r="AE328" s="408">
        <v>150320.89422449007</v>
      </c>
      <c r="AF328" s="408">
        <v>19828.745087968608</v>
      </c>
      <c r="AG328" s="408">
        <v>0</v>
      </c>
      <c r="AH328" s="408">
        <v>0</v>
      </c>
      <c r="AI328" s="408">
        <v>0</v>
      </c>
      <c r="AJ328" s="408">
        <v>0</v>
      </c>
      <c r="AK328" s="408">
        <v>0</v>
      </c>
      <c r="AL328" s="408">
        <v>751.64987032928661</v>
      </c>
      <c r="AM328" s="408"/>
      <c r="AN328" s="408">
        <v>189.1427169166237</v>
      </c>
      <c r="AO328" s="408">
        <v>0</v>
      </c>
      <c r="AP328" s="408">
        <v>0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>
        <v>0</v>
      </c>
      <c r="BG328" s="408">
        <v>1212.482089473923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>
        <v>5400.4160575999913</v>
      </c>
      <c r="BS328" s="408"/>
      <c r="BT328" s="408"/>
      <c r="BU328" s="408"/>
      <c r="BV328" s="408">
        <v>21041.227177442532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129607.64979999998</v>
      </c>
      <c r="CJ328" s="408">
        <v>-88752.156660800043</v>
      </c>
      <c r="CK328" s="408"/>
      <c r="CL328" s="408"/>
      <c r="CM328" s="408"/>
      <c r="CN328" s="408"/>
      <c r="CO328" s="408">
        <v>-92447.699040000007</v>
      </c>
      <c r="CP328" s="408">
        <v>0</v>
      </c>
      <c r="CQ328" s="408">
        <v>31</v>
      </c>
      <c r="CR328" s="408">
        <v>-278.9171683723398</v>
      </c>
      <c r="CS328" s="408">
        <v>0</v>
      </c>
      <c r="CT328" s="408">
        <v>0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-130.88134834240918</v>
      </c>
      <c r="DA328" s="408">
        <v>0</v>
      </c>
      <c r="DB328" s="408">
        <v>0</v>
      </c>
      <c r="DC328" s="408">
        <v>-2.779863280011341E-6</v>
      </c>
      <c r="DD328" s="408">
        <v>0</v>
      </c>
      <c r="DE328" s="408">
        <v>0</v>
      </c>
      <c r="DF328" s="408">
        <v>0</v>
      </c>
      <c r="DG328" s="408">
        <v>-1.6998365026665851E-7</v>
      </c>
      <c r="DH328" s="408">
        <v>0</v>
      </c>
      <c r="DI328" s="408">
        <v>-123.01072845803628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-18.883033803583203</v>
      </c>
      <c r="DP328" s="408">
        <v>-6.1420548184569839</v>
      </c>
      <c r="DQ328" s="408">
        <v>0</v>
      </c>
      <c r="DR328" s="408">
        <v>0</v>
      </c>
      <c r="DS328" s="408"/>
      <c r="DT328" s="408"/>
      <c r="DU328" s="408"/>
      <c r="DV328" s="408">
        <v>150320.89422449007</v>
      </c>
      <c r="DW328" s="408">
        <v>0</v>
      </c>
      <c r="DX328" s="408">
        <v>0</v>
      </c>
      <c r="DY328" s="408">
        <v>-92447.699039999992</v>
      </c>
      <c r="DZ328" s="408">
        <v>0</v>
      </c>
      <c r="EA328" s="408">
        <v>0</v>
      </c>
      <c r="EB328" s="408">
        <v>0</v>
      </c>
      <c r="EC328" s="408">
        <v>-92168.523000586429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265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335</v>
      </c>
      <c r="B329" s="408" t="s">
        <v>1031</v>
      </c>
      <c r="C329" s="408" t="s">
        <v>2235</v>
      </c>
      <c r="D329" s="408" t="s">
        <v>596</v>
      </c>
      <c r="E329" s="408" t="s">
        <v>969</v>
      </c>
      <c r="F329" s="408" t="s">
        <v>2245</v>
      </c>
      <c r="G329" s="408" t="s">
        <v>1317</v>
      </c>
      <c r="H329" s="408" t="s">
        <v>1317</v>
      </c>
      <c r="I329" s="408" t="s">
        <v>2236</v>
      </c>
      <c r="J329" s="408" t="s">
        <v>2228</v>
      </c>
      <c r="K329" s="828">
        <v>44562</v>
      </c>
      <c r="L329" s="408">
        <v>0</v>
      </c>
      <c r="M329" s="408">
        <v>0</v>
      </c>
      <c r="N329" s="408">
        <v>578.43700000000001</v>
      </c>
      <c r="O329" s="408">
        <v>555.29952000000003</v>
      </c>
      <c r="P329" s="408">
        <v>578.43700000000001</v>
      </c>
      <c r="Q329" s="408">
        <v>555.29952000000003</v>
      </c>
      <c r="R329" s="408"/>
      <c r="S329" s="408">
        <v>81.2</v>
      </c>
      <c r="T329" s="408">
        <v>252.22</v>
      </c>
      <c r="U329" s="408"/>
      <c r="V329" s="408">
        <v>192862.46453999999</v>
      </c>
      <c r="W329" s="408">
        <v>192862.46453999999</v>
      </c>
      <c r="X329" s="408">
        <v>191775.00297999999</v>
      </c>
      <c r="Y329" s="408">
        <v>0</v>
      </c>
      <c r="Z329" s="408">
        <v>31126.994291262643</v>
      </c>
      <c r="AA329" s="408">
        <v>0</v>
      </c>
      <c r="AB329" s="408">
        <v>0</v>
      </c>
      <c r="AC329" s="408">
        <v>0</v>
      </c>
      <c r="AD329" s="408">
        <v>0</v>
      </c>
      <c r="AE329" s="408">
        <v>0</v>
      </c>
      <c r="AF329" s="408">
        <v>145894.98095106974</v>
      </c>
      <c r="AG329" s="408">
        <v>0</v>
      </c>
      <c r="AH329" s="408">
        <v>0</v>
      </c>
      <c r="AI329" s="408">
        <v>0</v>
      </c>
      <c r="AJ329" s="408">
        <v>0</v>
      </c>
      <c r="AK329" s="408">
        <v>0</v>
      </c>
      <c r="AL329" s="408">
        <v>5530.4530381049863</v>
      </c>
      <c r="AM329" s="408"/>
      <c r="AN329" s="408">
        <v>1391.6651285374612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8921.142037104757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/>
      <c r="BR329" s="408">
        <v>7671.0001191999936</v>
      </c>
      <c r="BS329" s="408"/>
      <c r="BT329" s="408"/>
      <c r="BU329" s="408"/>
      <c r="BV329" s="408">
        <v>154816.12298817449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184104.16199999995</v>
      </c>
      <c r="CJ329" s="408">
        <v>-1043.8339584000641</v>
      </c>
      <c r="CK329" s="408"/>
      <c r="CL329" s="408"/>
      <c r="CM329" s="408"/>
      <c r="CN329" s="408"/>
      <c r="CO329" s="408">
        <v>-1087.4615600000056</v>
      </c>
      <c r="CP329" s="408">
        <v>0</v>
      </c>
      <c r="CQ329" s="408">
        <v>31</v>
      </c>
      <c r="CR329" s="408">
        <v>-1089.2107920862036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0</v>
      </c>
      <c r="DA329" s="408">
        <v>0</v>
      </c>
      <c r="DB329" s="408">
        <v>0</v>
      </c>
      <c r="DC329" s="408">
        <v>-2.0453531760722399E-5</v>
      </c>
      <c r="DD329" s="408">
        <v>0</v>
      </c>
      <c r="DE329" s="408">
        <v>0</v>
      </c>
      <c r="DF329" s="408">
        <v>0</v>
      </c>
      <c r="DG329" s="408">
        <v>-1.2506970961112529E-6</v>
      </c>
      <c r="DH329" s="408">
        <v>0</v>
      </c>
      <c r="DI329" s="408">
        <v>-905.08238446476025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-138.93667223266675</v>
      </c>
      <c r="DP329" s="408">
        <v>-45.191713684539764</v>
      </c>
      <c r="DQ329" s="408">
        <v>0</v>
      </c>
      <c r="DR329" s="408">
        <v>0</v>
      </c>
      <c r="DS329" s="408"/>
      <c r="DT329" s="408"/>
      <c r="DU329" s="408"/>
      <c r="DV329" s="408">
        <v>0</v>
      </c>
      <c r="DW329" s="408">
        <v>0</v>
      </c>
      <c r="DX329" s="408">
        <v>0</v>
      </c>
      <c r="DY329" s="408">
        <v>-1087.4615600000034</v>
      </c>
      <c r="DZ329" s="408">
        <v>0</v>
      </c>
      <c r="EA329" s="408">
        <v>0</v>
      </c>
      <c r="EB329" s="408">
        <v>0</v>
      </c>
      <c r="EC329" s="408">
        <v>0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265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336</v>
      </c>
      <c r="B330" s="408" t="s">
        <v>2230</v>
      </c>
      <c r="C330" s="408" t="s">
        <v>2235</v>
      </c>
      <c r="D330" s="408" t="s">
        <v>596</v>
      </c>
      <c r="E330" s="408" t="s">
        <v>969</v>
      </c>
      <c r="F330" s="408" t="s">
        <v>2245</v>
      </c>
      <c r="G330" s="408" t="s">
        <v>1317</v>
      </c>
      <c r="H330" s="408" t="s">
        <v>1317</v>
      </c>
      <c r="I330" s="408" t="s">
        <v>2236</v>
      </c>
      <c r="J330" s="408" t="s">
        <v>2228</v>
      </c>
      <c r="K330" s="828">
        <v>44562</v>
      </c>
      <c r="L330" s="408">
        <v>0</v>
      </c>
      <c r="M330" s="408">
        <v>0</v>
      </c>
      <c r="N330" s="408">
        <v>31.791</v>
      </c>
      <c r="O330" s="408">
        <v>30.519359999999999</v>
      </c>
      <c r="P330" s="408">
        <v>31.791</v>
      </c>
      <c r="Q330" s="408">
        <v>30.519359999999999</v>
      </c>
      <c r="R330" s="408"/>
      <c r="S330" s="408">
        <v>81.2</v>
      </c>
      <c r="T330" s="408">
        <v>252.22</v>
      </c>
      <c r="U330" s="408"/>
      <c r="V330" s="408">
        <v>10599.755220000001</v>
      </c>
      <c r="W330" s="408">
        <v>10599.755220000001</v>
      </c>
      <c r="X330" s="408">
        <v>10539.988140000001</v>
      </c>
      <c r="Y330" s="408">
        <v>0</v>
      </c>
      <c r="Z330" s="408">
        <v>1710.7451209267917</v>
      </c>
      <c r="AA330" s="408">
        <v>0</v>
      </c>
      <c r="AB330" s="408">
        <v>0</v>
      </c>
      <c r="AC330" s="408">
        <v>0</v>
      </c>
      <c r="AD330" s="408">
        <v>0</v>
      </c>
      <c r="AE330" s="408">
        <v>0</v>
      </c>
      <c r="AF330" s="408">
        <v>8018.4140008600043</v>
      </c>
      <c r="AG330" s="408">
        <v>0</v>
      </c>
      <c r="AH330" s="408">
        <v>0</v>
      </c>
      <c r="AI330" s="408">
        <v>0</v>
      </c>
      <c r="AJ330" s="408">
        <v>0</v>
      </c>
      <c r="AK330" s="408">
        <v>0</v>
      </c>
      <c r="AL330" s="408">
        <v>303.95467878852082</v>
      </c>
      <c r="AM330" s="408"/>
      <c r="AN330" s="408">
        <v>76.48616202167986</v>
      </c>
      <c r="AO330" s="408">
        <v>0</v>
      </c>
      <c r="AP330" s="408">
        <v>0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>
        <v>0</v>
      </c>
      <c r="BG330" s="408">
        <v>490.30754689205105</v>
      </c>
      <c r="BH330" s="408">
        <v>0</v>
      </c>
      <c r="BI330" s="408">
        <v>0</v>
      </c>
      <c r="BJ330" s="408">
        <v>0</v>
      </c>
      <c r="BK330" s="408">
        <v>0</v>
      </c>
      <c r="BL330" s="408">
        <v>0</v>
      </c>
      <c r="BM330" s="408"/>
      <c r="BN330" s="408"/>
      <c r="BO330" s="408"/>
      <c r="BP330" s="408"/>
      <c r="BQ330" s="408"/>
      <c r="BR330" s="408">
        <v>421.59952560000045</v>
      </c>
      <c r="BS330" s="408"/>
      <c r="BT330" s="408"/>
      <c r="BU330" s="408"/>
      <c r="BV330" s="408">
        <v>8508.7215477520549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10118.6008</v>
      </c>
      <c r="CJ330" s="408">
        <v>-57.1942111999997</v>
      </c>
      <c r="CK330" s="408"/>
      <c r="CL330" s="408"/>
      <c r="CM330" s="408"/>
      <c r="CN330" s="408"/>
      <c r="CO330" s="408">
        <v>-59.767080000000306</v>
      </c>
      <c r="CP330" s="408">
        <v>0</v>
      </c>
      <c r="CQ330" s="408">
        <v>31</v>
      </c>
      <c r="CR330" s="408">
        <v>-59.863218105363558</v>
      </c>
      <c r="CS330" s="408">
        <v>0</v>
      </c>
      <c r="CT330" s="408">
        <v>0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0</v>
      </c>
      <c r="DA330" s="408">
        <v>0</v>
      </c>
      <c r="DB330" s="408">
        <v>0</v>
      </c>
      <c r="DC330" s="408">
        <v>-1.1241309039178304E-6</v>
      </c>
      <c r="DD330" s="408">
        <v>0</v>
      </c>
      <c r="DE330" s="408">
        <v>0</v>
      </c>
      <c r="DF330" s="408">
        <v>0</v>
      </c>
      <c r="DG330" s="408">
        <v>-6.87384726916207E-8</v>
      </c>
      <c r="DH330" s="408">
        <v>0</v>
      </c>
      <c r="DI330" s="408">
        <v>-49.743488200995444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-7.6359841209132924</v>
      </c>
      <c r="DP330" s="408">
        <v>-2.4837445905867241</v>
      </c>
      <c r="DQ330" s="408">
        <v>0</v>
      </c>
      <c r="DR330" s="408">
        <v>0</v>
      </c>
      <c r="DS330" s="408"/>
      <c r="DT330" s="408"/>
      <c r="DU330" s="408"/>
      <c r="DV330" s="408">
        <v>0</v>
      </c>
      <c r="DW330" s="408">
        <v>0</v>
      </c>
      <c r="DX330" s="408">
        <v>0</v>
      </c>
      <c r="DY330" s="408">
        <v>-59.767080000000078</v>
      </c>
      <c r="DZ330" s="408">
        <v>0</v>
      </c>
      <c r="EA330" s="408">
        <v>0</v>
      </c>
      <c r="EB330" s="408">
        <v>0</v>
      </c>
      <c r="EC330" s="408">
        <v>0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0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265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337</v>
      </c>
      <c r="B331" s="408" t="s">
        <v>1031</v>
      </c>
      <c r="C331" s="408" t="s">
        <v>2235</v>
      </c>
      <c r="D331" s="408" t="s">
        <v>596</v>
      </c>
      <c r="E331" s="408" t="s">
        <v>969</v>
      </c>
      <c r="F331" s="408" t="s">
        <v>2245</v>
      </c>
      <c r="G331" s="408" t="s">
        <v>1317</v>
      </c>
      <c r="H331" s="408" t="s">
        <v>1317</v>
      </c>
      <c r="I331" s="408" t="s">
        <v>1317</v>
      </c>
      <c r="J331" s="408" t="s">
        <v>2228</v>
      </c>
      <c r="K331" s="828">
        <v>44562</v>
      </c>
      <c r="L331" s="408">
        <v>4701</v>
      </c>
      <c r="M331" s="408">
        <v>4512.96</v>
      </c>
      <c r="N331" s="408">
        <v>0</v>
      </c>
      <c r="O331" s="408">
        <v>0</v>
      </c>
      <c r="P331" s="408">
        <v>0</v>
      </c>
      <c r="Q331" s="408">
        <v>0</v>
      </c>
      <c r="R331" s="408">
        <v>74.44</v>
      </c>
      <c r="S331" s="408"/>
      <c r="T331" s="408"/>
      <c r="U331" s="408">
        <v>349942.44</v>
      </c>
      <c r="V331" s="408"/>
      <c r="W331" s="408">
        <v>349942.44</v>
      </c>
      <c r="X331" s="408">
        <v>213519.42</v>
      </c>
      <c r="Y331" s="408">
        <v>0</v>
      </c>
      <c r="Z331" s="408">
        <v>0</v>
      </c>
      <c r="AA331" s="408">
        <v>0</v>
      </c>
      <c r="AB331" s="408">
        <v>0</v>
      </c>
      <c r="AC331" s="408">
        <v>0</v>
      </c>
      <c r="AD331" s="408">
        <v>127947.55198565392</v>
      </c>
      <c r="AE331" s="408">
        <v>221988.44982857173</v>
      </c>
      <c r="AF331" s="408"/>
      <c r="AG331" s="408"/>
      <c r="AH331" s="408"/>
      <c r="AI331" s="408">
        <v>0</v>
      </c>
      <c r="AJ331" s="408">
        <v>0</v>
      </c>
      <c r="AK331" s="408">
        <v>0</v>
      </c>
      <c r="AL331" s="408">
        <v>0</v>
      </c>
      <c r="AM331" s="408"/>
      <c r="AN331" s="408">
        <v>0</v>
      </c>
      <c r="AO331" s="408">
        <v>0</v>
      </c>
      <c r="AP331" s="408">
        <v>0</v>
      </c>
      <c r="AQ331" s="408">
        <v>0</v>
      </c>
      <c r="AR331" s="408">
        <v>0</v>
      </c>
      <c r="AS331" s="408"/>
      <c r="AT331" s="408"/>
      <c r="AU331" s="408">
        <v>0</v>
      </c>
      <c r="AV331" s="408">
        <v>0</v>
      </c>
      <c r="AW331" s="408">
        <v>0</v>
      </c>
      <c r="AX331" s="408"/>
      <c r="AY331" s="408"/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/>
      <c r="BG331" s="408">
        <v>0</v>
      </c>
      <c r="BH331" s="408">
        <v>0</v>
      </c>
      <c r="BI331" s="408">
        <v>0</v>
      </c>
      <c r="BJ331" s="408">
        <v>0</v>
      </c>
      <c r="BK331" s="408">
        <v>167.43</v>
      </c>
      <c r="BL331" s="408">
        <v>24</v>
      </c>
      <c r="BM331" s="408"/>
      <c r="BN331" s="408"/>
      <c r="BO331" s="408"/>
      <c r="BP331" s="408"/>
      <c r="BQ331" s="408"/>
      <c r="BR331" s="408">
        <v>8540.7767999999978</v>
      </c>
      <c r="BS331" s="408"/>
      <c r="BT331" s="408"/>
      <c r="BU331" s="408"/>
      <c r="BV331" s="408">
        <v>0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204978.64320000002</v>
      </c>
      <c r="CJ331" s="408">
        <v>-130966.1292</v>
      </c>
      <c r="CK331" s="408"/>
      <c r="CL331" s="408"/>
      <c r="CM331" s="408"/>
      <c r="CN331" s="408"/>
      <c r="CO331" s="408">
        <v>-136423.01999999999</v>
      </c>
      <c r="CP331" s="408">
        <v>0</v>
      </c>
      <c r="CQ331" s="408">
        <v>31</v>
      </c>
      <c r="CR331" s="408">
        <v>-328.83647591217596</v>
      </c>
      <c r="CS331" s="408">
        <v>0</v>
      </c>
      <c r="CT331" s="408">
        <v>0</v>
      </c>
      <c r="CU331" s="408">
        <v>0</v>
      </c>
      <c r="CV331" s="408">
        <v>0</v>
      </c>
      <c r="CW331" s="408"/>
      <c r="CX331" s="408"/>
      <c r="CY331" s="408"/>
      <c r="CZ331" s="408">
        <v>-328.83647591217596</v>
      </c>
      <c r="DA331" s="408">
        <v>0</v>
      </c>
      <c r="DB331" s="408">
        <v>0</v>
      </c>
      <c r="DC331" s="408"/>
      <c r="DD331" s="408"/>
      <c r="DE331" s="408">
        <v>0</v>
      </c>
      <c r="DF331" s="408">
        <v>0</v>
      </c>
      <c r="DG331" s="408">
        <v>0</v>
      </c>
      <c r="DH331" s="408">
        <v>0</v>
      </c>
      <c r="DI331" s="408">
        <v>0</v>
      </c>
      <c r="DJ331" s="408"/>
      <c r="DK331" s="408">
        <v>0</v>
      </c>
      <c r="DL331" s="408">
        <v>0</v>
      </c>
      <c r="DM331" s="408"/>
      <c r="DN331" s="408">
        <v>0</v>
      </c>
      <c r="DO331" s="408">
        <v>0</v>
      </c>
      <c r="DP331" s="408">
        <v>0</v>
      </c>
      <c r="DQ331" s="408">
        <v>0</v>
      </c>
      <c r="DR331" s="408">
        <v>0</v>
      </c>
      <c r="DS331" s="408"/>
      <c r="DT331" s="408"/>
      <c r="DU331" s="408">
        <v>221988.44982857173</v>
      </c>
      <c r="DV331" s="408"/>
      <c r="DW331" s="408">
        <v>0</v>
      </c>
      <c r="DX331" s="408">
        <v>0</v>
      </c>
      <c r="DY331" s="408">
        <v>-136423.01999999999</v>
      </c>
      <c r="DZ331" s="408"/>
      <c r="EA331" s="408">
        <v>0</v>
      </c>
      <c r="EB331" s="408"/>
      <c r="EC331" s="408">
        <v>-136111.13511162112</v>
      </c>
      <c r="ED331" s="408"/>
      <c r="EE331" s="408">
        <v>0</v>
      </c>
      <c r="EF331" s="408">
        <v>0</v>
      </c>
      <c r="EG331" s="408"/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/>
      <c r="EN331" s="408"/>
      <c r="EO331" s="408">
        <v>0</v>
      </c>
      <c r="EP331" s="408">
        <v>0</v>
      </c>
      <c r="EQ331" s="408"/>
      <c r="ER331" s="408">
        <v>0</v>
      </c>
      <c r="ES331" s="408"/>
      <c r="ET331" s="408">
        <v>0</v>
      </c>
      <c r="EU331" s="408"/>
      <c r="EV331" s="408">
        <v>265</v>
      </c>
      <c r="EW331" s="408"/>
      <c r="EX331" s="408"/>
      <c r="EY331" s="408"/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338</v>
      </c>
      <c r="B332" s="408" t="s">
        <v>2230</v>
      </c>
      <c r="C332" s="408" t="s">
        <v>2235</v>
      </c>
      <c r="D332" s="408" t="s">
        <v>596</v>
      </c>
      <c r="E332" s="408" t="s">
        <v>969</v>
      </c>
      <c r="F332" s="408" t="s">
        <v>2245</v>
      </c>
      <c r="G332" s="408" t="s">
        <v>1317</v>
      </c>
      <c r="H332" s="408" t="s">
        <v>1317</v>
      </c>
      <c r="I332" s="408" t="s">
        <v>1317</v>
      </c>
      <c r="J332" s="408" t="s">
        <v>2228</v>
      </c>
      <c r="K332" s="828">
        <v>44562</v>
      </c>
      <c r="L332" s="408">
        <v>130</v>
      </c>
      <c r="M332" s="408">
        <v>124.8</v>
      </c>
      <c r="N332" s="408">
        <v>0</v>
      </c>
      <c r="O332" s="408">
        <v>0</v>
      </c>
      <c r="P332" s="408">
        <v>0</v>
      </c>
      <c r="Q332" s="408">
        <v>0</v>
      </c>
      <c r="R332" s="408">
        <v>74.44</v>
      </c>
      <c r="S332" s="408"/>
      <c r="T332" s="408"/>
      <c r="U332" s="408">
        <v>9677.1999999999989</v>
      </c>
      <c r="V332" s="408"/>
      <c r="W332" s="408">
        <v>9677.1999999999989</v>
      </c>
      <c r="X332" s="408">
        <v>5904.6</v>
      </c>
      <c r="Y332" s="408">
        <v>0</v>
      </c>
      <c r="Z332" s="408">
        <v>0</v>
      </c>
      <c r="AA332" s="408">
        <v>0</v>
      </c>
      <c r="AB332" s="408">
        <v>0</v>
      </c>
      <c r="AC332" s="408">
        <v>0</v>
      </c>
      <c r="AD332" s="408">
        <v>3538.222028958734</v>
      </c>
      <c r="AE332" s="408">
        <v>6138.7999314431663</v>
      </c>
      <c r="AF332" s="408"/>
      <c r="AG332" s="408"/>
      <c r="AH332" s="408"/>
      <c r="AI332" s="408">
        <v>0</v>
      </c>
      <c r="AJ332" s="408">
        <v>0</v>
      </c>
      <c r="AK332" s="408">
        <v>0</v>
      </c>
      <c r="AL332" s="408">
        <v>0</v>
      </c>
      <c r="AM332" s="408"/>
      <c r="AN332" s="408">
        <v>0</v>
      </c>
      <c r="AO332" s="408">
        <v>0</v>
      </c>
      <c r="AP332" s="408">
        <v>0</v>
      </c>
      <c r="AQ332" s="408">
        <v>0</v>
      </c>
      <c r="AR332" s="408">
        <v>0</v>
      </c>
      <c r="AS332" s="408"/>
      <c r="AT332" s="408"/>
      <c r="AU332" s="408">
        <v>0</v>
      </c>
      <c r="AV332" s="408">
        <v>0</v>
      </c>
      <c r="AW332" s="408">
        <v>0</v>
      </c>
      <c r="AX332" s="408"/>
      <c r="AY332" s="408"/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/>
      <c r="BG332" s="408">
        <v>0</v>
      </c>
      <c r="BH332" s="408">
        <v>0</v>
      </c>
      <c r="BI332" s="408">
        <v>0</v>
      </c>
      <c r="BJ332" s="408">
        <v>0</v>
      </c>
      <c r="BK332" s="408">
        <v>268.61</v>
      </c>
      <c r="BL332" s="408">
        <v>1</v>
      </c>
      <c r="BM332" s="408"/>
      <c r="BN332" s="408"/>
      <c r="BO332" s="408"/>
      <c r="BP332" s="408"/>
      <c r="BQ332" s="408"/>
      <c r="BR332" s="408">
        <v>236.18400000000014</v>
      </c>
      <c r="BS332" s="408"/>
      <c r="BT332" s="408"/>
      <c r="BU332" s="408"/>
      <c r="BV332" s="408">
        <v>0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5668.4160000000002</v>
      </c>
      <c r="CJ332" s="408">
        <v>-3621.7259999999997</v>
      </c>
      <c r="CK332" s="408"/>
      <c r="CL332" s="408"/>
      <c r="CM332" s="408"/>
      <c r="CN332" s="408"/>
      <c r="CO332" s="408">
        <v>-3772.5999999999995</v>
      </c>
      <c r="CP332" s="408">
        <v>0</v>
      </c>
      <c r="CQ332" s="408">
        <v>31</v>
      </c>
      <c r="CR332" s="408">
        <v>-9.0935421971030337</v>
      </c>
      <c r="CS332" s="408">
        <v>0</v>
      </c>
      <c r="CT332" s="408">
        <v>0</v>
      </c>
      <c r="CU332" s="408">
        <v>0</v>
      </c>
      <c r="CV332" s="408">
        <v>0</v>
      </c>
      <c r="CW332" s="408"/>
      <c r="CX332" s="408"/>
      <c r="CY332" s="408"/>
      <c r="CZ332" s="408">
        <v>-9.0935421971030337</v>
      </c>
      <c r="DA332" s="408">
        <v>0</v>
      </c>
      <c r="DB332" s="408">
        <v>0</v>
      </c>
      <c r="DC332" s="408"/>
      <c r="DD332" s="408"/>
      <c r="DE332" s="408">
        <v>0</v>
      </c>
      <c r="DF332" s="408">
        <v>0</v>
      </c>
      <c r="DG332" s="408">
        <v>0</v>
      </c>
      <c r="DH332" s="408">
        <v>0</v>
      </c>
      <c r="DI332" s="408">
        <v>0</v>
      </c>
      <c r="DJ332" s="408"/>
      <c r="DK332" s="408">
        <v>0</v>
      </c>
      <c r="DL332" s="408">
        <v>0</v>
      </c>
      <c r="DM332" s="408"/>
      <c r="DN332" s="408">
        <v>0</v>
      </c>
      <c r="DO332" s="408">
        <v>0</v>
      </c>
      <c r="DP332" s="408">
        <v>0</v>
      </c>
      <c r="DQ332" s="408">
        <v>0</v>
      </c>
      <c r="DR332" s="408">
        <v>0</v>
      </c>
      <c r="DS332" s="408"/>
      <c r="DT332" s="408"/>
      <c r="DU332" s="408">
        <v>6138.7999314431663</v>
      </c>
      <c r="DV332" s="408"/>
      <c r="DW332" s="408">
        <v>0</v>
      </c>
      <c r="DX332" s="408">
        <v>0</v>
      </c>
      <c r="DY332" s="408">
        <v>-3772.5999999999985</v>
      </c>
      <c r="DZ332" s="408"/>
      <c r="EA332" s="408">
        <v>0</v>
      </c>
      <c r="EB332" s="408"/>
      <c r="EC332" s="408">
        <v>-3763.9752317614852</v>
      </c>
      <c r="ED332" s="408"/>
      <c r="EE332" s="408">
        <v>0</v>
      </c>
      <c r="EF332" s="408">
        <v>0</v>
      </c>
      <c r="EG332" s="408"/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/>
      <c r="EN332" s="408"/>
      <c r="EO332" s="408">
        <v>0</v>
      </c>
      <c r="EP332" s="408">
        <v>0</v>
      </c>
      <c r="EQ332" s="408"/>
      <c r="ER332" s="408">
        <v>0</v>
      </c>
      <c r="ES332" s="408"/>
      <c r="ET332" s="408">
        <v>0</v>
      </c>
      <c r="EU332" s="408"/>
      <c r="EV332" s="408">
        <v>265</v>
      </c>
      <c r="EW332" s="408"/>
      <c r="EX332" s="408"/>
      <c r="EY332" s="408"/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339</v>
      </c>
      <c r="B333" s="408" t="s">
        <v>1031</v>
      </c>
      <c r="C333" s="408" t="s">
        <v>2235</v>
      </c>
      <c r="D333" s="408" t="s">
        <v>596</v>
      </c>
      <c r="E333" s="408" t="s">
        <v>969</v>
      </c>
      <c r="F333" s="408" t="s">
        <v>2245</v>
      </c>
      <c r="G333" s="408" t="s">
        <v>2247</v>
      </c>
      <c r="H333" s="408" t="s">
        <v>1317</v>
      </c>
      <c r="I333" s="408" t="s">
        <v>2236</v>
      </c>
      <c r="J333" s="408" t="s">
        <v>2228</v>
      </c>
      <c r="K333" s="828">
        <v>44562</v>
      </c>
      <c r="L333" s="408">
        <v>0</v>
      </c>
      <c r="M333" s="408">
        <v>0</v>
      </c>
      <c r="N333" s="408">
        <v>465.23399999999998</v>
      </c>
      <c r="O333" s="408">
        <v>139.5702</v>
      </c>
      <c r="P333" s="408">
        <v>465.23399999999998</v>
      </c>
      <c r="Q333" s="408">
        <v>139.5702</v>
      </c>
      <c r="R333" s="408"/>
      <c r="S333" s="408">
        <v>81.2</v>
      </c>
      <c r="T333" s="408">
        <v>252.22</v>
      </c>
      <c r="U333" s="408"/>
      <c r="V333" s="408">
        <v>155118.32027999999</v>
      </c>
      <c r="W333" s="408">
        <v>155118.32027999999</v>
      </c>
      <c r="X333" s="408">
        <v>154243.68036</v>
      </c>
      <c r="Y333" s="408">
        <v>0</v>
      </c>
      <c r="Z333" s="408">
        <v>25035.286577624327</v>
      </c>
      <c r="AA333" s="408">
        <v>0</v>
      </c>
      <c r="AB333" s="408">
        <v>0</v>
      </c>
      <c r="AC333" s="408">
        <v>0</v>
      </c>
      <c r="AD333" s="408">
        <v>0</v>
      </c>
      <c r="AE333" s="408">
        <v>0</v>
      </c>
      <c r="AF333" s="408">
        <v>117342.60700437555</v>
      </c>
      <c r="AG333" s="408">
        <v>0</v>
      </c>
      <c r="AH333" s="408">
        <v>0</v>
      </c>
      <c r="AI333" s="408">
        <v>0</v>
      </c>
      <c r="AJ333" s="408">
        <v>0</v>
      </c>
      <c r="AK333" s="408">
        <v>0</v>
      </c>
      <c r="AL333" s="408">
        <v>4448.1158513887167</v>
      </c>
      <c r="AM333" s="408"/>
      <c r="AN333" s="408">
        <v>1119.3093360383191</v>
      </c>
      <c r="AO333" s="408">
        <v>0</v>
      </c>
      <c r="AP333" s="408">
        <v>0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>
        <v>0</v>
      </c>
      <c r="BG333" s="408">
        <v>7175.2301365410476</v>
      </c>
      <c r="BH333" s="408">
        <v>0</v>
      </c>
      <c r="BI333" s="408">
        <v>0</v>
      </c>
      <c r="BJ333" s="408">
        <v>0</v>
      </c>
      <c r="BK333" s="408">
        <v>0</v>
      </c>
      <c r="BL333" s="408">
        <v>0</v>
      </c>
      <c r="BM333" s="408"/>
      <c r="BN333" s="408"/>
      <c r="BO333" s="408"/>
      <c r="BP333" s="408"/>
      <c r="BQ333" s="408"/>
      <c r="BR333" s="408"/>
      <c r="BS333" s="408">
        <v>107970.57625199998</v>
      </c>
      <c r="BT333" s="408"/>
      <c r="BU333" s="408"/>
      <c r="BV333" s="408">
        <v>124517.8371409166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46273.037799999998</v>
      </c>
      <c r="CJ333" s="408">
        <v>-262.48828400000639</v>
      </c>
      <c r="CK333" s="408"/>
      <c r="CL333" s="408"/>
      <c r="CM333" s="408"/>
      <c r="CN333" s="408"/>
      <c r="CO333" s="408">
        <v>-874.63992000000451</v>
      </c>
      <c r="CP333" s="408">
        <v>0</v>
      </c>
      <c r="CQ333" s="408">
        <v>31</v>
      </c>
      <c r="CR333" s="408">
        <v>-876.04681866033934</v>
      </c>
      <c r="CS333" s="408">
        <v>0</v>
      </c>
      <c r="CT333" s="408">
        <v>0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0</v>
      </c>
      <c r="DA333" s="408">
        <v>0</v>
      </c>
      <c r="DB333" s="408">
        <v>0</v>
      </c>
      <c r="DC333" s="408">
        <v>-1.6450692783109844E-5</v>
      </c>
      <c r="DD333" s="408">
        <v>0</v>
      </c>
      <c r="DE333" s="408">
        <v>0</v>
      </c>
      <c r="DF333" s="408">
        <v>0</v>
      </c>
      <c r="DG333" s="408">
        <v>-1.0059284250019118E-6</v>
      </c>
      <c r="DH333" s="408">
        <v>0</v>
      </c>
      <c r="DI333" s="408">
        <v>-727.95325688722733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-111.7460739363014</v>
      </c>
      <c r="DP333" s="408">
        <v>-36.347470380202594</v>
      </c>
      <c r="DQ333" s="408">
        <v>0</v>
      </c>
      <c r="DR333" s="408">
        <v>0</v>
      </c>
      <c r="DS333" s="408"/>
      <c r="DT333" s="408"/>
      <c r="DU333" s="408"/>
      <c r="DV333" s="408">
        <v>0</v>
      </c>
      <c r="DW333" s="408">
        <v>0</v>
      </c>
      <c r="DX333" s="408">
        <v>0</v>
      </c>
      <c r="DY333" s="408">
        <v>-874.63992000000871</v>
      </c>
      <c r="DZ333" s="408">
        <v>0</v>
      </c>
      <c r="EA333" s="408">
        <v>0</v>
      </c>
      <c r="EB333" s="408">
        <v>0</v>
      </c>
      <c r="EC333" s="408">
        <v>0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265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340</v>
      </c>
      <c r="B334" s="408" t="s">
        <v>1031</v>
      </c>
      <c r="C334" s="408" t="s">
        <v>2227</v>
      </c>
      <c r="D334" s="408" t="s">
        <v>1949</v>
      </c>
      <c r="E334" s="408" t="s">
        <v>964</v>
      </c>
      <c r="F334" s="408" t="s">
        <v>964</v>
      </c>
      <c r="G334" s="408" t="s">
        <v>1317</v>
      </c>
      <c r="H334" s="408" t="s">
        <v>1317</v>
      </c>
      <c r="I334" s="408" t="s">
        <v>1317</v>
      </c>
      <c r="J334" s="408" t="s">
        <v>2228</v>
      </c>
      <c r="K334" s="828">
        <v>44593</v>
      </c>
      <c r="L334" s="408">
        <v>0</v>
      </c>
      <c r="M334" s="408">
        <v>0</v>
      </c>
      <c r="N334" s="408">
        <v>1460.9549999999999</v>
      </c>
      <c r="O334" s="408">
        <v>1460.9549999999999</v>
      </c>
      <c r="P334" s="408">
        <v>1460.9549999999999</v>
      </c>
      <c r="Q334" s="408">
        <v>1460.9549999999999</v>
      </c>
      <c r="R334" s="408"/>
      <c r="S334" s="408">
        <v>739.04</v>
      </c>
      <c r="T334" s="408">
        <v>252.22</v>
      </c>
      <c r="U334" s="408"/>
      <c r="V334" s="408">
        <v>1448186.2532999997</v>
      </c>
      <c r="W334" s="408">
        <v>1448186.2532999997</v>
      </c>
      <c r="X334" s="408">
        <v>990483.66134999995</v>
      </c>
      <c r="Y334" s="408">
        <v>0</v>
      </c>
      <c r="Z334" s="408">
        <v>90364.678434748261</v>
      </c>
      <c r="AA334" s="408">
        <v>0</v>
      </c>
      <c r="AB334" s="408">
        <v>0</v>
      </c>
      <c r="AC334" s="408">
        <v>0</v>
      </c>
      <c r="AD334" s="408">
        <v>180424.40829825899</v>
      </c>
      <c r="AE334" s="408">
        <v>740686.31759855337</v>
      </c>
      <c r="AF334" s="408">
        <v>368486.11325930065</v>
      </c>
      <c r="AG334" s="408">
        <v>0</v>
      </c>
      <c r="AH334" s="408">
        <v>0</v>
      </c>
      <c r="AI334" s="408">
        <v>0</v>
      </c>
      <c r="AJ334" s="408">
        <v>0</v>
      </c>
      <c r="AK334" s="408">
        <v>0</v>
      </c>
      <c r="AL334" s="408">
        <v>13968.233391509653</v>
      </c>
      <c r="AM334" s="408"/>
      <c r="AN334" s="408">
        <v>3423.453717312304</v>
      </c>
      <c r="AO334" s="408">
        <v>0</v>
      </c>
      <c r="AP334" s="408">
        <v>0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>
        <v>0</v>
      </c>
      <c r="BG334" s="408">
        <v>50832.830530692874</v>
      </c>
      <c r="BH334" s="408">
        <v>0</v>
      </c>
      <c r="BI334" s="408">
        <v>0</v>
      </c>
      <c r="BJ334" s="408">
        <v>0</v>
      </c>
      <c r="BK334" s="408">
        <v>390802.87</v>
      </c>
      <c r="BL334" s="408">
        <v>8201</v>
      </c>
      <c r="BM334" s="408"/>
      <c r="BN334" s="408"/>
      <c r="BO334" s="408"/>
      <c r="BP334" s="408"/>
      <c r="BQ334" s="408"/>
      <c r="BR334" s="408"/>
      <c r="BS334" s="408"/>
      <c r="BT334" s="408"/>
      <c r="BU334" s="408"/>
      <c r="BV334" s="408">
        <v>419318.94378999353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990487.05119999999</v>
      </c>
      <c r="CJ334" s="408">
        <v>-457699.23209999979</v>
      </c>
      <c r="CK334" s="408"/>
      <c r="CL334" s="408"/>
      <c r="CM334" s="408"/>
      <c r="CN334" s="408"/>
      <c r="CO334" s="408">
        <v>-457702.59194999991</v>
      </c>
      <c r="CP334" s="408">
        <v>0</v>
      </c>
      <c r="CQ334" s="408">
        <v>29</v>
      </c>
      <c r="CR334" s="408">
        <v>-3553.3302658823086</v>
      </c>
      <c r="CS334" s="408">
        <v>0</v>
      </c>
      <c r="CT334" s="408">
        <v>0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-463.70661784865661</v>
      </c>
      <c r="DA334" s="408">
        <v>0</v>
      </c>
      <c r="DB334" s="408">
        <v>0</v>
      </c>
      <c r="DC334" s="408">
        <v>-5.1659415476024151E-5</v>
      </c>
      <c r="DD334" s="408">
        <v>0</v>
      </c>
      <c r="DE334" s="408">
        <v>0</v>
      </c>
      <c r="DF334" s="408">
        <v>0</v>
      </c>
      <c r="DG334" s="408">
        <v>-7.1264003054238856E-6</v>
      </c>
      <c r="DH334" s="408">
        <v>0</v>
      </c>
      <c r="DI334" s="408">
        <v>-2627.5418006573018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-350.91155299829552</v>
      </c>
      <c r="DP334" s="408">
        <v>-111.17023559225709</v>
      </c>
      <c r="DQ334" s="408">
        <v>0</v>
      </c>
      <c r="DR334" s="408">
        <v>0</v>
      </c>
      <c r="DS334" s="408"/>
      <c r="DT334" s="408"/>
      <c r="DU334" s="408"/>
      <c r="DV334" s="408">
        <v>740686.31759855337</v>
      </c>
      <c r="DW334" s="408">
        <v>0</v>
      </c>
      <c r="DX334" s="408">
        <v>0</v>
      </c>
      <c r="DY334" s="408">
        <v>-457702.59194999991</v>
      </c>
      <c r="DZ334" s="408">
        <v>0</v>
      </c>
      <c r="EA334" s="408">
        <v>0</v>
      </c>
      <c r="EB334" s="408">
        <v>0</v>
      </c>
      <c r="EC334" s="408">
        <v>-454148.20243052958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265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341</v>
      </c>
      <c r="B335" s="408" t="s">
        <v>2230</v>
      </c>
      <c r="C335" s="408" t="s">
        <v>2227</v>
      </c>
      <c r="D335" s="408" t="s">
        <v>1949</v>
      </c>
      <c r="E335" s="408" t="s">
        <v>964</v>
      </c>
      <c r="F335" s="408" t="s">
        <v>964</v>
      </c>
      <c r="G335" s="408" t="s">
        <v>1317</v>
      </c>
      <c r="H335" s="408" t="s">
        <v>1317</v>
      </c>
      <c r="I335" s="408" t="s">
        <v>1317</v>
      </c>
      <c r="J335" s="408" t="s">
        <v>2228</v>
      </c>
      <c r="K335" s="828">
        <v>44593</v>
      </c>
      <c r="L335" s="408">
        <v>0</v>
      </c>
      <c r="M335" s="408">
        <v>0</v>
      </c>
      <c r="N335" s="408">
        <v>45.277999999999999</v>
      </c>
      <c r="O335" s="408">
        <v>45.277999999999999</v>
      </c>
      <c r="P335" s="408">
        <v>45.277999999999999</v>
      </c>
      <c r="Q335" s="408">
        <v>45.277999999999999</v>
      </c>
      <c r="R335" s="408"/>
      <c r="S335" s="408">
        <v>739.04</v>
      </c>
      <c r="T335" s="408">
        <v>252.22</v>
      </c>
      <c r="U335" s="408"/>
      <c r="V335" s="408">
        <v>44882.270279999997</v>
      </c>
      <c r="W335" s="408">
        <v>44882.270279999997</v>
      </c>
      <c r="X335" s="408">
        <v>30697.125659999998</v>
      </c>
      <c r="Y335" s="408">
        <v>0</v>
      </c>
      <c r="Z335" s="408">
        <v>2800.5872255945815</v>
      </c>
      <c r="AA335" s="408">
        <v>0</v>
      </c>
      <c r="AB335" s="408">
        <v>0</v>
      </c>
      <c r="AC335" s="408">
        <v>0</v>
      </c>
      <c r="AD335" s="408">
        <v>5591.7234678197283</v>
      </c>
      <c r="AE335" s="408">
        <v>22955.392252483685</v>
      </c>
      <c r="AF335" s="408">
        <v>11420.142465821749</v>
      </c>
      <c r="AG335" s="408">
        <v>0</v>
      </c>
      <c r="AH335" s="408">
        <v>0</v>
      </c>
      <c r="AI335" s="408">
        <v>0</v>
      </c>
      <c r="AJ335" s="408">
        <v>0</v>
      </c>
      <c r="AK335" s="408">
        <v>0</v>
      </c>
      <c r="AL335" s="408">
        <v>432.90427939311894</v>
      </c>
      <c r="AM335" s="408"/>
      <c r="AN335" s="408">
        <v>106.0998712571342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1575.413959203885</v>
      </c>
      <c r="BH335" s="408">
        <v>0</v>
      </c>
      <c r="BI335" s="408">
        <v>0</v>
      </c>
      <c r="BJ335" s="408">
        <v>0</v>
      </c>
      <c r="BK335" s="408">
        <v>35332.339999999997</v>
      </c>
      <c r="BL335" s="408">
        <v>506</v>
      </c>
      <c r="BM335" s="408"/>
      <c r="BN335" s="408"/>
      <c r="BO335" s="408"/>
      <c r="BP335" s="408"/>
      <c r="BQ335" s="408"/>
      <c r="BR335" s="408"/>
      <c r="BS335" s="408"/>
      <c r="BT335" s="408"/>
      <c r="BU335" s="408"/>
      <c r="BV335" s="408">
        <v>12995.556425025634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30698.481599999999</v>
      </c>
      <c r="CJ335" s="408">
        <v>-14183.818680000004</v>
      </c>
      <c r="CK335" s="408"/>
      <c r="CL335" s="408"/>
      <c r="CM335" s="408"/>
      <c r="CN335" s="408"/>
      <c r="CO335" s="408">
        <v>-14185.144619999997</v>
      </c>
      <c r="CP335" s="408">
        <v>0</v>
      </c>
      <c r="CQ335" s="408">
        <v>29</v>
      </c>
      <c r="CR335" s="408">
        <v>-110.12501259697819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-14.371221730273646</v>
      </c>
      <c r="DA335" s="408">
        <v>0</v>
      </c>
      <c r="DB335" s="408">
        <v>0</v>
      </c>
      <c r="DC335" s="408">
        <v>-1.6010308172553778E-6</v>
      </c>
      <c r="DD335" s="408">
        <v>0</v>
      </c>
      <c r="DE335" s="408">
        <v>0</v>
      </c>
      <c r="DF335" s="408">
        <v>0</v>
      </c>
      <c r="DG335" s="408">
        <v>-2.2086169337853789E-7</v>
      </c>
      <c r="DH335" s="408">
        <v>0</v>
      </c>
      <c r="DI335" s="408">
        <v>-81.43292411481616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-10.875470700094695</v>
      </c>
      <c r="DP335" s="408">
        <v>-3.4453942299018081</v>
      </c>
      <c r="DQ335" s="408">
        <v>0</v>
      </c>
      <c r="DR335" s="408">
        <v>0</v>
      </c>
      <c r="DS335" s="408"/>
      <c r="DT335" s="408"/>
      <c r="DU335" s="408"/>
      <c r="DV335" s="408">
        <v>22955.392252483685</v>
      </c>
      <c r="DW335" s="408">
        <v>0</v>
      </c>
      <c r="DX335" s="408">
        <v>0</v>
      </c>
      <c r="DY335" s="408">
        <v>-14185.144619999995</v>
      </c>
      <c r="DZ335" s="408">
        <v>0</v>
      </c>
      <c r="EA335" s="408">
        <v>0</v>
      </c>
      <c r="EB335" s="408">
        <v>0</v>
      </c>
      <c r="EC335" s="408">
        <v>-14074.986778955903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265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342</v>
      </c>
      <c r="B336" s="408" t="s">
        <v>1031</v>
      </c>
      <c r="C336" s="408" t="s">
        <v>2227</v>
      </c>
      <c r="D336" s="408" t="s">
        <v>1949</v>
      </c>
      <c r="E336" s="408" t="s">
        <v>964</v>
      </c>
      <c r="F336" s="408" t="s">
        <v>2231</v>
      </c>
      <c r="G336" s="408" t="s">
        <v>1317</v>
      </c>
      <c r="H336" s="408" t="s">
        <v>1317</v>
      </c>
      <c r="I336" s="408" t="s">
        <v>1317</v>
      </c>
      <c r="J336" s="408" t="s">
        <v>2228</v>
      </c>
      <c r="K336" s="828">
        <v>44593</v>
      </c>
      <c r="L336" s="408">
        <v>0</v>
      </c>
      <c r="M336" s="408">
        <v>0</v>
      </c>
      <c r="N336" s="408">
        <v>9.33</v>
      </c>
      <c r="O336" s="408">
        <v>9.33</v>
      </c>
      <c r="P336" s="408">
        <v>9.33</v>
      </c>
      <c r="Q336" s="408">
        <v>9.33</v>
      </c>
      <c r="R336" s="408"/>
      <c r="S336" s="408">
        <v>667.62</v>
      </c>
      <c r="T336" s="408">
        <v>252.22</v>
      </c>
      <c r="U336" s="408"/>
      <c r="V336" s="408">
        <v>8582.1072000000004</v>
      </c>
      <c r="W336" s="408">
        <v>8582.1072000000004</v>
      </c>
      <c r="X336" s="408">
        <v>5678.1446999999998</v>
      </c>
      <c r="Y336" s="408">
        <v>0</v>
      </c>
      <c r="Z336" s="408">
        <v>0</v>
      </c>
      <c r="AA336" s="408">
        <v>0</v>
      </c>
      <c r="AB336" s="408">
        <v>0</v>
      </c>
      <c r="AC336" s="408">
        <v>0</v>
      </c>
      <c r="AD336" s="408">
        <v>1152.2324297618725</v>
      </c>
      <c r="AE336" s="408">
        <v>4730.1958945994256</v>
      </c>
      <c r="AF336" s="408">
        <v>2353.2384205600274</v>
      </c>
      <c r="AG336" s="408">
        <v>0</v>
      </c>
      <c r="AH336" s="408">
        <v>0</v>
      </c>
      <c r="AI336" s="408">
        <v>0</v>
      </c>
      <c r="AJ336" s="408">
        <v>0</v>
      </c>
      <c r="AK336" s="408">
        <v>0</v>
      </c>
      <c r="AL336" s="408">
        <v>0</v>
      </c>
      <c r="AM336" s="408"/>
      <c r="AN336" s="408">
        <v>21.862975370578695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324.63033348143136</v>
      </c>
      <c r="BH336" s="408">
        <v>0</v>
      </c>
      <c r="BI336" s="408">
        <v>0</v>
      </c>
      <c r="BJ336" s="408">
        <v>0</v>
      </c>
      <c r="BK336" s="408">
        <v>625.46</v>
      </c>
      <c r="BL336" s="408">
        <v>8</v>
      </c>
      <c r="BM336" s="408"/>
      <c r="BN336" s="408"/>
      <c r="BO336" s="408"/>
      <c r="BP336" s="408"/>
      <c r="BQ336" s="408"/>
      <c r="BR336" s="408"/>
      <c r="BS336" s="408"/>
      <c r="BT336" s="408">
        <v>3690.7613999999999</v>
      </c>
      <c r="BU336" s="408"/>
      <c r="BV336" s="408">
        <v>2677.8687540414589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1987.3833</v>
      </c>
      <c r="CJ336" s="408">
        <v>-1016.4402000000005</v>
      </c>
      <c r="CK336" s="408"/>
      <c r="CL336" s="408"/>
      <c r="CM336" s="408"/>
      <c r="CN336" s="408"/>
      <c r="CO336" s="408">
        <v>-2903.9625000000001</v>
      </c>
      <c r="CP336" s="408">
        <v>0</v>
      </c>
      <c r="CQ336" s="408">
        <v>29</v>
      </c>
      <c r="CR336" s="408">
        <v>-3.6712982884992016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-2.9613388123027562</v>
      </c>
      <c r="DA336" s="408">
        <v>0</v>
      </c>
      <c r="DB336" s="408">
        <v>0</v>
      </c>
      <c r="DC336" s="408">
        <v>-3.2990874387905933E-7</v>
      </c>
      <c r="DD336" s="408">
        <v>0</v>
      </c>
      <c r="DE336" s="408">
        <v>0</v>
      </c>
      <c r="DF336" s="408">
        <v>0</v>
      </c>
      <c r="DG336" s="408">
        <v>-4.5510887503041886E-8</v>
      </c>
      <c r="DH336" s="408">
        <v>0</v>
      </c>
      <c r="DI336" s="408">
        <v>0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0</v>
      </c>
      <c r="DP336" s="408">
        <v>-0.70995910077706625</v>
      </c>
      <c r="DQ336" s="408">
        <v>0</v>
      </c>
      <c r="DR336" s="408">
        <v>0</v>
      </c>
      <c r="DS336" s="408"/>
      <c r="DT336" s="408"/>
      <c r="DU336" s="408"/>
      <c r="DV336" s="408">
        <v>4730.1958945994256</v>
      </c>
      <c r="DW336" s="408">
        <v>0</v>
      </c>
      <c r="DX336" s="408">
        <v>0</v>
      </c>
      <c r="DY336" s="408">
        <v>-2903.9625000000005</v>
      </c>
      <c r="DZ336" s="408">
        <v>0</v>
      </c>
      <c r="EA336" s="408">
        <v>0</v>
      </c>
      <c r="EB336" s="408">
        <v>0</v>
      </c>
      <c r="EC336" s="408">
        <v>-2900.2965380020887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265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343</v>
      </c>
      <c r="B337" s="408" t="s">
        <v>2230</v>
      </c>
      <c r="C337" s="408" t="s">
        <v>2227</v>
      </c>
      <c r="D337" s="408" t="s">
        <v>1949</v>
      </c>
      <c r="E337" s="408" t="s">
        <v>964</v>
      </c>
      <c r="F337" s="408" t="s">
        <v>2231</v>
      </c>
      <c r="G337" s="408" t="s">
        <v>1317</v>
      </c>
      <c r="H337" s="408" t="s">
        <v>1317</v>
      </c>
      <c r="I337" s="408" t="s">
        <v>1317</v>
      </c>
      <c r="J337" s="408" t="s">
        <v>2228</v>
      </c>
      <c r="K337" s="828">
        <v>44593</v>
      </c>
      <c r="L337" s="408">
        <v>0</v>
      </c>
      <c r="M337" s="408">
        <v>0</v>
      </c>
      <c r="N337" s="408">
        <v>0.09</v>
      </c>
      <c r="O337" s="408">
        <v>-8.5500000000000007E-2</v>
      </c>
      <c r="P337" s="408">
        <v>0.09</v>
      </c>
      <c r="Q337" s="408">
        <v>-8.5500000000000007E-2</v>
      </c>
      <c r="R337" s="408"/>
      <c r="S337" s="408">
        <v>667.62</v>
      </c>
      <c r="T337" s="408">
        <v>252.22</v>
      </c>
      <c r="U337" s="408"/>
      <c r="V337" s="408">
        <v>82.785600000000002</v>
      </c>
      <c r="W337" s="408">
        <v>82.785600000000002</v>
      </c>
      <c r="X337" s="408">
        <v>54.773099999999999</v>
      </c>
      <c r="Y337" s="408">
        <v>0</v>
      </c>
      <c r="Z337" s="408">
        <v>0</v>
      </c>
      <c r="AA337" s="408">
        <v>0</v>
      </c>
      <c r="AB337" s="408">
        <v>0</v>
      </c>
      <c r="AC337" s="408">
        <v>0</v>
      </c>
      <c r="AD337" s="408">
        <v>11.114782280661149</v>
      </c>
      <c r="AE337" s="408">
        <v>45.628899304817608</v>
      </c>
      <c r="AF337" s="408">
        <v>22.700049072926308</v>
      </c>
      <c r="AG337" s="408">
        <v>0</v>
      </c>
      <c r="AH337" s="408">
        <v>0</v>
      </c>
      <c r="AI337" s="408">
        <v>0</v>
      </c>
      <c r="AJ337" s="408">
        <v>0</v>
      </c>
      <c r="AK337" s="408">
        <v>0</v>
      </c>
      <c r="AL337" s="408">
        <v>0</v>
      </c>
      <c r="AM337" s="408"/>
      <c r="AN337" s="408">
        <v>0.21089686852648257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0</v>
      </c>
      <c r="BF337" s="408">
        <v>0</v>
      </c>
      <c r="BG337" s="408">
        <v>3.1314823165411383</v>
      </c>
      <c r="BH337" s="408">
        <v>0</v>
      </c>
      <c r="BI337" s="408">
        <v>0</v>
      </c>
      <c r="BJ337" s="408">
        <v>0</v>
      </c>
      <c r="BK337" s="408">
        <v>6.36</v>
      </c>
      <c r="BL337" s="408">
        <v>0</v>
      </c>
      <c r="BM337" s="408"/>
      <c r="BN337" s="408"/>
      <c r="BO337" s="408"/>
      <c r="BP337" s="408"/>
      <c r="BQ337" s="408"/>
      <c r="BR337" s="408"/>
      <c r="BS337" s="408"/>
      <c r="BT337" s="408">
        <v>72.985454999999988</v>
      </c>
      <c r="BU337" s="408"/>
      <c r="BV337" s="408">
        <v>25.831531389467447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-19.1709</v>
      </c>
      <c r="CJ337" s="408">
        <v>8.3258249999999983</v>
      </c>
      <c r="CK337" s="408"/>
      <c r="CL337" s="408"/>
      <c r="CM337" s="408"/>
      <c r="CN337" s="408"/>
      <c r="CO337" s="408">
        <v>-28.012499999999999</v>
      </c>
      <c r="CP337" s="408">
        <v>0</v>
      </c>
      <c r="CQ337" s="408">
        <v>29</v>
      </c>
      <c r="CR337" s="408">
        <v>-3.541445294372636E-2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-2.8565969250509582E-2</v>
      </c>
      <c r="DA337" s="408">
        <v>0</v>
      </c>
      <c r="DB337" s="408">
        <v>0</v>
      </c>
      <c r="DC337" s="408">
        <v>-3.1824001212044095E-9</v>
      </c>
      <c r="DD337" s="408">
        <v>0</v>
      </c>
      <c r="DE337" s="408">
        <v>0</v>
      </c>
      <c r="DF337" s="408">
        <v>0</v>
      </c>
      <c r="DG337" s="408">
        <v>-4.39011493824637E-10</v>
      </c>
      <c r="DH337" s="408">
        <v>0</v>
      </c>
      <c r="DI337" s="408">
        <v>0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0</v>
      </c>
      <c r="DP337" s="408">
        <v>-6.8484800718044692E-3</v>
      </c>
      <c r="DQ337" s="408">
        <v>0</v>
      </c>
      <c r="DR337" s="408">
        <v>0</v>
      </c>
      <c r="DS337" s="408"/>
      <c r="DT337" s="408"/>
      <c r="DU337" s="408"/>
      <c r="DV337" s="408">
        <v>45.628899304817608</v>
      </c>
      <c r="DW337" s="408">
        <v>0</v>
      </c>
      <c r="DX337" s="408">
        <v>0</v>
      </c>
      <c r="DY337" s="408">
        <v>-28.012500000000003</v>
      </c>
      <c r="DZ337" s="408">
        <v>0</v>
      </c>
      <c r="EA337" s="408">
        <v>0</v>
      </c>
      <c r="EB337" s="408">
        <v>0</v>
      </c>
      <c r="EC337" s="408">
        <v>-27.977137022528186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265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344</v>
      </c>
      <c r="B338" s="408" t="s">
        <v>1031</v>
      </c>
      <c r="C338" s="408" t="s">
        <v>2227</v>
      </c>
      <c r="D338" s="408" t="s">
        <v>1949</v>
      </c>
      <c r="E338" s="408" t="s">
        <v>964</v>
      </c>
      <c r="F338" s="408" t="s">
        <v>2232</v>
      </c>
      <c r="G338" s="408" t="s">
        <v>1317</v>
      </c>
      <c r="H338" s="408" t="s">
        <v>1317</v>
      </c>
      <c r="I338" s="408" t="s">
        <v>1317</v>
      </c>
      <c r="J338" s="408" t="s">
        <v>2228</v>
      </c>
      <c r="K338" s="828">
        <v>44593</v>
      </c>
      <c r="L338" s="408">
        <v>0</v>
      </c>
      <c r="M338" s="408">
        <v>0</v>
      </c>
      <c r="N338" s="408">
        <v>18.997</v>
      </c>
      <c r="O338" s="408">
        <v>18.997</v>
      </c>
      <c r="P338" s="408">
        <v>18.997</v>
      </c>
      <c r="Q338" s="408">
        <v>18.997</v>
      </c>
      <c r="R338" s="408"/>
      <c r="S338" s="408">
        <v>667.62</v>
      </c>
      <c r="T338" s="408">
        <v>252.22</v>
      </c>
      <c r="U338" s="408"/>
      <c r="V338" s="408">
        <v>17474.20048</v>
      </c>
      <c r="W338" s="408">
        <v>17474.20048</v>
      </c>
      <c r="X338" s="408">
        <v>11561.38423</v>
      </c>
      <c r="Y338" s="408">
        <v>0</v>
      </c>
      <c r="Z338" s="408">
        <v>0</v>
      </c>
      <c r="AA338" s="408">
        <v>0</v>
      </c>
      <c r="AB338" s="408">
        <v>0</v>
      </c>
      <c r="AC338" s="408">
        <v>0</v>
      </c>
      <c r="AD338" s="408">
        <v>2346.083544285776</v>
      </c>
      <c r="AE338" s="408">
        <v>9631.2466677068896</v>
      </c>
      <c r="AF338" s="408">
        <v>4791.4759137597903</v>
      </c>
      <c r="AG338" s="408">
        <v>0</v>
      </c>
      <c r="AH338" s="408">
        <v>0</v>
      </c>
      <c r="AI338" s="408">
        <v>0</v>
      </c>
      <c r="AJ338" s="408">
        <v>0</v>
      </c>
      <c r="AK338" s="408">
        <v>0</v>
      </c>
      <c r="AL338" s="408">
        <v>0</v>
      </c>
      <c r="AM338" s="408"/>
      <c r="AN338" s="408">
        <v>44.515642348862109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660.98632852591118</v>
      </c>
      <c r="BH338" s="408">
        <v>0</v>
      </c>
      <c r="BI338" s="408">
        <v>0</v>
      </c>
      <c r="BJ338" s="408">
        <v>0</v>
      </c>
      <c r="BK338" s="408">
        <v>2291.16</v>
      </c>
      <c r="BL338" s="408">
        <v>70</v>
      </c>
      <c r="BM338" s="408"/>
      <c r="BN338" s="408"/>
      <c r="BO338" s="408"/>
      <c r="BP338" s="408"/>
      <c r="BQ338" s="408"/>
      <c r="BR338" s="408"/>
      <c r="BS338" s="408"/>
      <c r="BT338" s="408">
        <v>4624.62968</v>
      </c>
      <c r="BU338" s="408"/>
      <c r="BV338" s="408">
        <v>5452.462242285701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6937.85</v>
      </c>
      <c r="CJ338" s="408">
        <v>-3546.6242999999995</v>
      </c>
      <c r="CK338" s="408"/>
      <c r="CL338" s="408"/>
      <c r="CM338" s="408"/>
      <c r="CN338" s="408"/>
      <c r="CO338" s="408">
        <v>-5912.8162499999999</v>
      </c>
      <c r="CP338" s="408">
        <v>0</v>
      </c>
      <c r="CQ338" s="408">
        <v>29</v>
      </c>
      <c r="CR338" s="408">
        <v>-7.4752040285775365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-6.02964130946566</v>
      </c>
      <c r="DA338" s="408">
        <v>0</v>
      </c>
      <c r="DB338" s="408">
        <v>0</v>
      </c>
      <c r="DC338" s="408">
        <v>-6.7173459683544934E-7</v>
      </c>
      <c r="DD338" s="408">
        <v>0</v>
      </c>
      <c r="DE338" s="408">
        <v>0</v>
      </c>
      <c r="DF338" s="408">
        <v>0</v>
      </c>
      <c r="DG338" s="408">
        <v>-9.2665572992700618E-8</v>
      </c>
      <c r="DH338" s="408">
        <v>0</v>
      </c>
      <c r="DI338" s="408">
        <v>0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0</v>
      </c>
      <c r="DP338" s="408">
        <v>-1.4455619547118914</v>
      </c>
      <c r="DQ338" s="408">
        <v>0</v>
      </c>
      <c r="DR338" s="408">
        <v>0</v>
      </c>
      <c r="DS338" s="408"/>
      <c r="DT338" s="408"/>
      <c r="DU338" s="408"/>
      <c r="DV338" s="408">
        <v>9631.2466677068896</v>
      </c>
      <c r="DW338" s="408">
        <v>0</v>
      </c>
      <c r="DX338" s="408">
        <v>0</v>
      </c>
      <c r="DY338" s="408">
        <v>-5912.8162499999999</v>
      </c>
      <c r="DZ338" s="408">
        <v>0</v>
      </c>
      <c r="EA338" s="408">
        <v>0</v>
      </c>
      <c r="EB338" s="408">
        <v>0</v>
      </c>
      <c r="EC338" s="408">
        <v>-5905.3519112996437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265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345</v>
      </c>
      <c r="B339" s="408" t="s">
        <v>2230</v>
      </c>
      <c r="C339" s="408" t="s">
        <v>2227</v>
      </c>
      <c r="D339" s="408" t="s">
        <v>1949</v>
      </c>
      <c r="E339" s="408" t="s">
        <v>964</v>
      </c>
      <c r="F339" s="408" t="s">
        <v>2232</v>
      </c>
      <c r="G339" s="408" t="s">
        <v>1317</v>
      </c>
      <c r="H339" s="408" t="s">
        <v>1317</v>
      </c>
      <c r="I339" s="408" t="s">
        <v>1317</v>
      </c>
      <c r="J339" s="408" t="s">
        <v>2228</v>
      </c>
      <c r="K339" s="828">
        <v>44593</v>
      </c>
      <c r="L339" s="408">
        <v>0</v>
      </c>
      <c r="M339" s="408">
        <v>0</v>
      </c>
      <c r="N339" s="408">
        <v>0.14000000000000001</v>
      </c>
      <c r="O339" s="408">
        <v>-2.8000000000000001E-2</v>
      </c>
      <c r="P339" s="408">
        <v>0.14000000000000001</v>
      </c>
      <c r="Q339" s="408">
        <v>-2.8000000000000001E-2</v>
      </c>
      <c r="R339" s="408"/>
      <c r="S339" s="408">
        <v>667.62</v>
      </c>
      <c r="T339" s="408">
        <v>252.22</v>
      </c>
      <c r="U339" s="408"/>
      <c r="V339" s="408">
        <v>128.77760000000001</v>
      </c>
      <c r="W339" s="408">
        <v>128.77760000000001</v>
      </c>
      <c r="X339" s="408">
        <v>85.202600000000004</v>
      </c>
      <c r="Y339" s="408">
        <v>0</v>
      </c>
      <c r="Z339" s="408">
        <v>0</v>
      </c>
      <c r="AA339" s="408">
        <v>0</v>
      </c>
      <c r="AB339" s="408">
        <v>0</v>
      </c>
      <c r="AC339" s="408">
        <v>0</v>
      </c>
      <c r="AD339" s="408">
        <v>17.289661325472899</v>
      </c>
      <c r="AE339" s="408">
        <v>70.97828780749407</v>
      </c>
      <c r="AF339" s="408">
        <v>35.311187446774262</v>
      </c>
      <c r="AG339" s="408">
        <v>0</v>
      </c>
      <c r="AH339" s="408">
        <v>0</v>
      </c>
      <c r="AI339" s="408">
        <v>0</v>
      </c>
      <c r="AJ339" s="408">
        <v>0</v>
      </c>
      <c r="AK339" s="408">
        <v>0</v>
      </c>
      <c r="AL339" s="408">
        <v>0</v>
      </c>
      <c r="AM339" s="408"/>
      <c r="AN339" s="408">
        <v>0.32806179548563963</v>
      </c>
      <c r="AO339" s="408">
        <v>0</v>
      </c>
      <c r="AP339" s="408">
        <v>0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4.8711947146195493</v>
      </c>
      <c r="BH339" s="408">
        <v>0</v>
      </c>
      <c r="BI339" s="408">
        <v>0</v>
      </c>
      <c r="BJ339" s="408">
        <v>0</v>
      </c>
      <c r="BK339" s="408">
        <v>21.14</v>
      </c>
      <c r="BL339" s="408">
        <v>0</v>
      </c>
      <c r="BM339" s="408"/>
      <c r="BN339" s="408"/>
      <c r="BO339" s="408"/>
      <c r="BP339" s="408"/>
      <c r="BQ339" s="408"/>
      <c r="BR339" s="408"/>
      <c r="BS339" s="408"/>
      <c r="BT339" s="408">
        <v>95.426800000000014</v>
      </c>
      <c r="BU339" s="408"/>
      <c r="BV339" s="408">
        <v>40.182382161393811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-10.954499999999999</v>
      </c>
      <c r="CJ339" s="408">
        <v>4.4687000000000037</v>
      </c>
      <c r="CK339" s="408"/>
      <c r="CL339" s="408"/>
      <c r="CM339" s="408"/>
      <c r="CN339" s="408"/>
      <c r="CO339" s="408">
        <v>-43.575000000000003</v>
      </c>
      <c r="CP339" s="408">
        <v>0</v>
      </c>
      <c r="CQ339" s="408">
        <v>29</v>
      </c>
      <c r="CR339" s="408">
        <v>-5.5089149023565653E-2</v>
      </c>
      <c r="CS339" s="408">
        <v>0</v>
      </c>
      <c r="CT339" s="408">
        <v>0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-4.4435952167457771E-2</v>
      </c>
      <c r="DA339" s="408">
        <v>0</v>
      </c>
      <c r="DB339" s="408">
        <v>0</v>
      </c>
      <c r="DC339" s="408">
        <v>-4.9504009780321212E-9</v>
      </c>
      <c r="DD339" s="408">
        <v>0</v>
      </c>
      <c r="DE339" s="408">
        <v>0</v>
      </c>
      <c r="DF339" s="408">
        <v>0</v>
      </c>
      <c r="DG339" s="408">
        <v>-6.8290706423113079E-10</v>
      </c>
      <c r="DH339" s="408">
        <v>0</v>
      </c>
      <c r="DI339" s="408">
        <v>0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0</v>
      </c>
      <c r="DP339" s="408">
        <v>-1.0653191222807001E-2</v>
      </c>
      <c r="DQ339" s="408">
        <v>0</v>
      </c>
      <c r="DR339" s="408">
        <v>0</v>
      </c>
      <c r="DS339" s="408"/>
      <c r="DT339" s="408"/>
      <c r="DU339" s="408"/>
      <c r="DV339" s="408">
        <v>70.97828780749407</v>
      </c>
      <c r="DW339" s="408">
        <v>0</v>
      </c>
      <c r="DX339" s="408">
        <v>0</v>
      </c>
      <c r="DY339" s="408">
        <v>-43.575000000000003</v>
      </c>
      <c r="DZ339" s="408">
        <v>0</v>
      </c>
      <c r="EA339" s="408">
        <v>0</v>
      </c>
      <c r="EB339" s="408">
        <v>0</v>
      </c>
      <c r="EC339" s="408">
        <v>-43.519990923932745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265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346</v>
      </c>
      <c r="B340" s="408" t="s">
        <v>1031</v>
      </c>
      <c r="C340" s="408" t="s">
        <v>2227</v>
      </c>
      <c r="D340" s="408" t="s">
        <v>1949</v>
      </c>
      <c r="E340" s="408" t="s">
        <v>964</v>
      </c>
      <c r="F340" s="408" t="s">
        <v>2233</v>
      </c>
      <c r="G340" s="408" t="s">
        <v>1317</v>
      </c>
      <c r="H340" s="408" t="s">
        <v>1317</v>
      </c>
      <c r="I340" s="408" t="s">
        <v>1317</v>
      </c>
      <c r="J340" s="408" t="s">
        <v>2228</v>
      </c>
      <c r="K340" s="828">
        <v>44593</v>
      </c>
      <c r="L340" s="408">
        <v>0</v>
      </c>
      <c r="M340" s="408">
        <v>0</v>
      </c>
      <c r="N340" s="408">
        <v>18.715</v>
      </c>
      <c r="O340" s="408">
        <v>18.715</v>
      </c>
      <c r="P340" s="408">
        <v>18.715</v>
      </c>
      <c r="Q340" s="408">
        <v>18.715</v>
      </c>
      <c r="R340" s="408"/>
      <c r="S340" s="408">
        <v>667.62</v>
      </c>
      <c r="T340" s="408">
        <v>252.22</v>
      </c>
      <c r="U340" s="408"/>
      <c r="V340" s="408">
        <v>17214.8056</v>
      </c>
      <c r="W340" s="408">
        <v>17214.8056</v>
      </c>
      <c r="X340" s="408">
        <v>11389.761849999999</v>
      </c>
      <c r="Y340" s="408">
        <v>0</v>
      </c>
      <c r="Z340" s="408">
        <v>0</v>
      </c>
      <c r="AA340" s="408">
        <v>0</v>
      </c>
      <c r="AB340" s="408">
        <v>0</v>
      </c>
      <c r="AC340" s="408">
        <v>0</v>
      </c>
      <c r="AD340" s="408">
        <v>2311.2572264730379</v>
      </c>
      <c r="AE340" s="408">
        <v>9488.276116551795</v>
      </c>
      <c r="AF340" s="408">
        <v>4720.3490933312878</v>
      </c>
      <c r="AG340" s="408">
        <v>0</v>
      </c>
      <c r="AH340" s="408">
        <v>0</v>
      </c>
      <c r="AI340" s="408">
        <v>0</v>
      </c>
      <c r="AJ340" s="408">
        <v>0</v>
      </c>
      <c r="AK340" s="408">
        <v>0</v>
      </c>
      <c r="AL340" s="408">
        <v>0</v>
      </c>
      <c r="AM340" s="408"/>
      <c r="AN340" s="408">
        <v>43.854832160812464</v>
      </c>
      <c r="AO340" s="408">
        <v>0</v>
      </c>
      <c r="AP340" s="408">
        <v>0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>
        <v>0</v>
      </c>
      <c r="BG340" s="408">
        <v>651.17435060074888</v>
      </c>
      <c r="BH340" s="408">
        <v>0</v>
      </c>
      <c r="BI340" s="408">
        <v>0</v>
      </c>
      <c r="BJ340" s="408">
        <v>0</v>
      </c>
      <c r="BK340" s="408">
        <v>3416.71</v>
      </c>
      <c r="BL340" s="408">
        <v>138</v>
      </c>
      <c r="BM340" s="408"/>
      <c r="BN340" s="408"/>
      <c r="BO340" s="408"/>
      <c r="BP340" s="408"/>
      <c r="BQ340" s="408"/>
      <c r="BR340" s="408"/>
      <c r="BS340" s="408"/>
      <c r="BT340" s="408">
        <v>1138.8077499999999</v>
      </c>
      <c r="BU340" s="408"/>
      <c r="BV340" s="408">
        <v>5371.5234439320366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10253.692800000001</v>
      </c>
      <c r="CJ340" s="408">
        <v>-5239.7371000000003</v>
      </c>
      <c r="CK340" s="408"/>
      <c r="CL340" s="408"/>
      <c r="CM340" s="408"/>
      <c r="CN340" s="408"/>
      <c r="CO340" s="408">
        <v>-5825.0437499999998</v>
      </c>
      <c r="CP340" s="408">
        <v>0</v>
      </c>
      <c r="CQ340" s="408">
        <v>29</v>
      </c>
      <c r="CR340" s="408">
        <v>-7.364238742687121</v>
      </c>
      <c r="CS340" s="408">
        <v>0</v>
      </c>
      <c r="CT340" s="408">
        <v>0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-5.9401346058143645</v>
      </c>
      <c r="DA340" s="408">
        <v>0</v>
      </c>
      <c r="DB340" s="408">
        <v>0</v>
      </c>
      <c r="DC340" s="408">
        <v>-6.6176289692521095E-7</v>
      </c>
      <c r="DD340" s="408">
        <v>0</v>
      </c>
      <c r="DE340" s="408">
        <v>0</v>
      </c>
      <c r="DF340" s="408">
        <v>0</v>
      </c>
      <c r="DG340" s="408">
        <v>-9.1289962256269064E-8</v>
      </c>
      <c r="DH340" s="408">
        <v>0</v>
      </c>
      <c r="DI340" s="408">
        <v>0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0</v>
      </c>
      <c r="DP340" s="408">
        <v>-1.4241033838202384</v>
      </c>
      <c r="DQ340" s="408">
        <v>0</v>
      </c>
      <c r="DR340" s="408">
        <v>0</v>
      </c>
      <c r="DS340" s="408"/>
      <c r="DT340" s="408"/>
      <c r="DU340" s="408"/>
      <c r="DV340" s="408">
        <v>9488.276116551795</v>
      </c>
      <c r="DW340" s="408">
        <v>0</v>
      </c>
      <c r="DX340" s="408">
        <v>0</v>
      </c>
      <c r="DY340" s="408">
        <v>-5825.0437499999998</v>
      </c>
      <c r="DZ340" s="408">
        <v>0</v>
      </c>
      <c r="EA340" s="408">
        <v>0</v>
      </c>
      <c r="EB340" s="408">
        <v>0</v>
      </c>
      <c r="EC340" s="408">
        <v>-5817.6902152957227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265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347</v>
      </c>
      <c r="B341" s="408" t="s">
        <v>2230</v>
      </c>
      <c r="C341" s="408" t="s">
        <v>2227</v>
      </c>
      <c r="D341" s="408" t="s">
        <v>1949</v>
      </c>
      <c r="E341" s="408" t="s">
        <v>964</v>
      </c>
      <c r="F341" s="408" t="s">
        <v>2233</v>
      </c>
      <c r="G341" s="408" t="s">
        <v>1317</v>
      </c>
      <c r="H341" s="408" t="s">
        <v>1317</v>
      </c>
      <c r="I341" s="408" t="s">
        <v>1317</v>
      </c>
      <c r="J341" s="408" t="s">
        <v>2228</v>
      </c>
      <c r="K341" s="828">
        <v>44593</v>
      </c>
      <c r="L341" s="408">
        <v>0</v>
      </c>
      <c r="M341" s="408">
        <v>0</v>
      </c>
      <c r="N341" s="408">
        <v>0.24</v>
      </c>
      <c r="O341" s="408">
        <v>0.16800000000000001</v>
      </c>
      <c r="P341" s="408">
        <v>0.24</v>
      </c>
      <c r="Q341" s="408">
        <v>0.16800000000000001</v>
      </c>
      <c r="R341" s="408"/>
      <c r="S341" s="408">
        <v>667.62</v>
      </c>
      <c r="T341" s="408">
        <v>252.22</v>
      </c>
      <c r="U341" s="408"/>
      <c r="V341" s="408">
        <v>220.76159999999999</v>
      </c>
      <c r="W341" s="408">
        <v>220.76159999999999</v>
      </c>
      <c r="X341" s="408">
        <v>146.0616</v>
      </c>
      <c r="Y341" s="408">
        <v>0</v>
      </c>
      <c r="Z341" s="408">
        <v>0</v>
      </c>
      <c r="AA341" s="408">
        <v>0</v>
      </c>
      <c r="AB341" s="408">
        <v>0</v>
      </c>
      <c r="AC341" s="408">
        <v>0</v>
      </c>
      <c r="AD341" s="408">
        <v>29.639419415096398</v>
      </c>
      <c r="AE341" s="408">
        <v>121.67706481284695</v>
      </c>
      <c r="AF341" s="408">
        <v>60.533464194470156</v>
      </c>
      <c r="AG341" s="408">
        <v>0</v>
      </c>
      <c r="AH341" s="408">
        <v>0</v>
      </c>
      <c r="AI341" s="408">
        <v>0</v>
      </c>
      <c r="AJ341" s="408">
        <v>0</v>
      </c>
      <c r="AK341" s="408">
        <v>0</v>
      </c>
      <c r="AL341" s="408">
        <v>0</v>
      </c>
      <c r="AM341" s="408"/>
      <c r="AN341" s="408">
        <v>0.56239164940395348</v>
      </c>
      <c r="AO341" s="408">
        <v>0</v>
      </c>
      <c r="AP341" s="408">
        <v>0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8.3506195107763688</v>
      </c>
      <c r="BH341" s="408">
        <v>0</v>
      </c>
      <c r="BI341" s="408">
        <v>0</v>
      </c>
      <c r="BJ341" s="408">
        <v>0</v>
      </c>
      <c r="BK341" s="408">
        <v>56.64</v>
      </c>
      <c r="BL341" s="408">
        <v>0</v>
      </c>
      <c r="BM341" s="408"/>
      <c r="BN341" s="408"/>
      <c r="BO341" s="408"/>
      <c r="BP341" s="408"/>
      <c r="BQ341" s="408"/>
      <c r="BR341" s="408"/>
      <c r="BS341" s="408"/>
      <c r="BT341" s="408">
        <v>54.041279999999979</v>
      </c>
      <c r="BU341" s="408"/>
      <c r="BV341" s="408">
        <v>68.884083705246525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93.115800000000007</v>
      </c>
      <c r="CJ341" s="408">
        <v>-45.994680000000017</v>
      </c>
      <c r="CK341" s="408"/>
      <c r="CL341" s="408"/>
      <c r="CM341" s="408"/>
      <c r="CN341" s="408"/>
      <c r="CO341" s="408">
        <v>-74.7</v>
      </c>
      <c r="CP341" s="408">
        <v>0</v>
      </c>
      <c r="CQ341" s="408">
        <v>29</v>
      </c>
      <c r="CR341" s="408">
        <v>-9.4438541183265556E-2</v>
      </c>
      <c r="CS341" s="408">
        <v>0</v>
      </c>
      <c r="CT341" s="408">
        <v>0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-7.6175918001361254E-2</v>
      </c>
      <c r="DA341" s="408">
        <v>0</v>
      </c>
      <c r="DB341" s="408">
        <v>0</v>
      </c>
      <c r="DC341" s="408">
        <v>-8.4864026916875446E-9</v>
      </c>
      <c r="DD341" s="408">
        <v>0</v>
      </c>
      <c r="DE341" s="408">
        <v>0</v>
      </c>
      <c r="DF341" s="408">
        <v>0</v>
      </c>
      <c r="DG341" s="408">
        <v>-1.1706973168656987E-9</v>
      </c>
      <c r="DH341" s="408">
        <v>0</v>
      </c>
      <c r="DI341" s="408">
        <v>0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0</v>
      </c>
      <c r="DP341" s="408">
        <v>-1.8262613524811955E-2</v>
      </c>
      <c r="DQ341" s="408">
        <v>0</v>
      </c>
      <c r="DR341" s="408">
        <v>0</v>
      </c>
      <c r="DS341" s="408"/>
      <c r="DT341" s="408"/>
      <c r="DU341" s="408"/>
      <c r="DV341" s="408">
        <v>121.67706481284695</v>
      </c>
      <c r="DW341" s="408">
        <v>0</v>
      </c>
      <c r="DX341" s="408">
        <v>0</v>
      </c>
      <c r="DY341" s="408">
        <v>-74.7</v>
      </c>
      <c r="DZ341" s="408">
        <v>0</v>
      </c>
      <c r="EA341" s="408">
        <v>0</v>
      </c>
      <c r="EB341" s="408">
        <v>0</v>
      </c>
      <c r="EC341" s="408">
        <v>-74.605698726741821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265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348</v>
      </c>
      <c r="B342" s="408" t="s">
        <v>1031</v>
      </c>
      <c r="C342" s="408" t="s">
        <v>2227</v>
      </c>
      <c r="D342" s="408" t="s">
        <v>1949</v>
      </c>
      <c r="E342" s="408" t="s">
        <v>964</v>
      </c>
      <c r="F342" s="408" t="s">
        <v>2234</v>
      </c>
      <c r="G342" s="408" t="s">
        <v>1317</v>
      </c>
      <c r="H342" s="408" t="s">
        <v>1317</v>
      </c>
      <c r="I342" s="408" t="s">
        <v>1317</v>
      </c>
      <c r="J342" s="408" t="s">
        <v>2228</v>
      </c>
      <c r="K342" s="828">
        <v>44593</v>
      </c>
      <c r="L342" s="408">
        <v>0</v>
      </c>
      <c r="M342" s="408">
        <v>0</v>
      </c>
      <c r="N342" s="408">
        <v>8.9809999999999999</v>
      </c>
      <c r="O342" s="408">
        <v>8.9809999999999999</v>
      </c>
      <c r="P342" s="408">
        <v>8.9809999999999999</v>
      </c>
      <c r="Q342" s="408">
        <v>8.9809999999999999</v>
      </c>
      <c r="R342" s="408"/>
      <c r="S342" s="408">
        <v>667.62</v>
      </c>
      <c r="T342" s="408">
        <v>252.22</v>
      </c>
      <c r="U342" s="408"/>
      <c r="V342" s="408">
        <v>8261.0830400000013</v>
      </c>
      <c r="W342" s="408">
        <v>8261.0830400000013</v>
      </c>
      <c r="X342" s="408">
        <v>5465.7467900000001</v>
      </c>
      <c r="Y342" s="408">
        <v>0</v>
      </c>
      <c r="Z342" s="408">
        <v>0</v>
      </c>
      <c r="AA342" s="408">
        <v>0</v>
      </c>
      <c r="AB342" s="408">
        <v>0</v>
      </c>
      <c r="AC342" s="408">
        <v>0</v>
      </c>
      <c r="AD342" s="408">
        <v>1109.1317740290865</v>
      </c>
      <c r="AE342" s="408">
        <v>4553.257162850744</v>
      </c>
      <c r="AF342" s="408">
        <v>2265.212674710569</v>
      </c>
      <c r="AG342" s="408">
        <v>0</v>
      </c>
      <c r="AH342" s="408">
        <v>0</v>
      </c>
      <c r="AI342" s="408">
        <v>0</v>
      </c>
      <c r="AJ342" s="408">
        <v>0</v>
      </c>
      <c r="AK342" s="408">
        <v>0</v>
      </c>
      <c r="AL342" s="408">
        <v>0</v>
      </c>
      <c r="AM342" s="408"/>
      <c r="AN342" s="408">
        <v>21.045164180403777</v>
      </c>
      <c r="AO342" s="408">
        <v>0</v>
      </c>
      <c r="AP342" s="408">
        <v>0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0</v>
      </c>
      <c r="BF342" s="408">
        <v>0</v>
      </c>
      <c r="BG342" s="408">
        <v>312.48714094284401</v>
      </c>
      <c r="BH342" s="408">
        <v>0</v>
      </c>
      <c r="BI342" s="408">
        <v>0</v>
      </c>
      <c r="BJ342" s="408">
        <v>0</v>
      </c>
      <c r="BK342" s="408">
        <v>1821.48</v>
      </c>
      <c r="BL342" s="408">
        <v>95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2577.6998156534128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5465.1382000000003</v>
      </c>
      <c r="CJ342" s="408">
        <v>-2795.9748400000017</v>
      </c>
      <c r="CK342" s="408"/>
      <c r="CL342" s="408"/>
      <c r="CM342" s="408"/>
      <c r="CN342" s="408"/>
      <c r="CO342" s="408">
        <v>-2795.3362499999998</v>
      </c>
      <c r="CP342" s="408">
        <v>0</v>
      </c>
      <c r="CQ342" s="408">
        <v>29</v>
      </c>
      <c r="CR342" s="408">
        <v>-3.5339689098623239</v>
      </c>
      <c r="CS342" s="408">
        <v>0</v>
      </c>
      <c r="CT342" s="408">
        <v>0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-2.8505663315424954</v>
      </c>
      <c r="DA342" s="408">
        <v>0</v>
      </c>
      <c r="DB342" s="408">
        <v>0</v>
      </c>
      <c r="DC342" s="408">
        <v>-3.1756871976540424E-7</v>
      </c>
      <c r="DD342" s="408">
        <v>0</v>
      </c>
      <c r="DE342" s="408">
        <v>0</v>
      </c>
      <c r="DF342" s="408">
        <v>0</v>
      </c>
      <c r="DG342" s="408">
        <v>-4.3808427108160686E-8</v>
      </c>
      <c r="DH342" s="408">
        <v>0</v>
      </c>
      <c r="DI342" s="408">
        <v>0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0</v>
      </c>
      <c r="DP342" s="408">
        <v>-0.68340221694306535</v>
      </c>
      <c r="DQ342" s="408">
        <v>0</v>
      </c>
      <c r="DR342" s="408">
        <v>0</v>
      </c>
      <c r="DS342" s="408"/>
      <c r="DT342" s="408"/>
      <c r="DU342" s="408"/>
      <c r="DV342" s="408">
        <v>4553.257162850744</v>
      </c>
      <c r="DW342" s="408">
        <v>0</v>
      </c>
      <c r="DX342" s="408">
        <v>0</v>
      </c>
      <c r="DY342" s="408">
        <v>-2795.3362500000003</v>
      </c>
      <c r="DZ342" s="408">
        <v>0</v>
      </c>
      <c r="EA342" s="408">
        <v>0</v>
      </c>
      <c r="EB342" s="408">
        <v>0</v>
      </c>
      <c r="EC342" s="408">
        <v>-2791.8074177702852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265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349</v>
      </c>
      <c r="B343" s="408" t="s">
        <v>2230</v>
      </c>
      <c r="C343" s="408" t="s">
        <v>2227</v>
      </c>
      <c r="D343" s="408" t="s">
        <v>1949</v>
      </c>
      <c r="E343" s="408" t="s">
        <v>964</v>
      </c>
      <c r="F343" s="408" t="s">
        <v>2234</v>
      </c>
      <c r="G343" s="408" t="s">
        <v>1317</v>
      </c>
      <c r="H343" s="408" t="s">
        <v>1317</v>
      </c>
      <c r="I343" s="408" t="s">
        <v>1317</v>
      </c>
      <c r="J343" s="408" t="s">
        <v>2228</v>
      </c>
      <c r="K343" s="828">
        <v>44593</v>
      </c>
      <c r="L343" s="408">
        <v>0</v>
      </c>
      <c r="M343" s="408">
        <v>0</v>
      </c>
      <c r="N343" s="408">
        <v>7.6999999999999999E-2</v>
      </c>
      <c r="O343" s="408">
        <v>7.6999999999999999E-2</v>
      </c>
      <c r="P343" s="408">
        <v>7.6999999999999999E-2</v>
      </c>
      <c r="Q343" s="408">
        <v>7.6999999999999999E-2</v>
      </c>
      <c r="R343" s="408"/>
      <c r="S343" s="408">
        <v>667.62</v>
      </c>
      <c r="T343" s="408">
        <v>252.22</v>
      </c>
      <c r="U343" s="408"/>
      <c r="V343" s="408">
        <v>70.827680000000001</v>
      </c>
      <c r="W343" s="408">
        <v>70.827680000000001</v>
      </c>
      <c r="X343" s="408">
        <v>46.861429999999999</v>
      </c>
      <c r="Y343" s="408">
        <v>0</v>
      </c>
      <c r="Z343" s="408">
        <v>0</v>
      </c>
      <c r="AA343" s="408">
        <v>0</v>
      </c>
      <c r="AB343" s="408">
        <v>0</v>
      </c>
      <c r="AC343" s="408">
        <v>0</v>
      </c>
      <c r="AD343" s="408">
        <v>9.5093137290100938</v>
      </c>
      <c r="AE343" s="408">
        <v>39.038058294121733</v>
      </c>
      <c r="AF343" s="408">
        <v>19.421153095725842</v>
      </c>
      <c r="AG343" s="408">
        <v>0</v>
      </c>
      <c r="AH343" s="408">
        <v>0</v>
      </c>
      <c r="AI343" s="408">
        <v>0</v>
      </c>
      <c r="AJ343" s="408">
        <v>0</v>
      </c>
      <c r="AK343" s="408">
        <v>0</v>
      </c>
      <c r="AL343" s="408">
        <v>0</v>
      </c>
      <c r="AM343" s="408"/>
      <c r="AN343" s="408">
        <v>0.18043398751710177</v>
      </c>
      <c r="AO343" s="408">
        <v>0</v>
      </c>
      <c r="AP343" s="408">
        <v>0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0</v>
      </c>
      <c r="BF343" s="408">
        <v>0</v>
      </c>
      <c r="BG343" s="408">
        <v>2.6791570930407516</v>
      </c>
      <c r="BH343" s="408">
        <v>0</v>
      </c>
      <c r="BI343" s="408">
        <v>0</v>
      </c>
      <c r="BJ343" s="408">
        <v>0</v>
      </c>
      <c r="BK343" s="408">
        <v>81.650000000000006</v>
      </c>
      <c r="BL343" s="408">
        <v>3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>
        <v>22.100310188766592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48.687200000000004</v>
      </c>
      <c r="CJ343" s="408">
        <v>-22.170479999999998</v>
      </c>
      <c r="CK343" s="408"/>
      <c r="CL343" s="408"/>
      <c r="CM343" s="408"/>
      <c r="CN343" s="408"/>
      <c r="CO343" s="408">
        <v>-23.966249999999999</v>
      </c>
      <c r="CP343" s="408">
        <v>0</v>
      </c>
      <c r="CQ343" s="408">
        <v>29</v>
      </c>
      <c r="CR343" s="408">
        <v>-3.029903196296857E-2</v>
      </c>
      <c r="CS343" s="408">
        <v>0</v>
      </c>
      <c r="CT343" s="408">
        <v>0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-2.4439773692101596E-2</v>
      </c>
      <c r="DA343" s="408">
        <v>0</v>
      </c>
      <c r="DB343" s="408">
        <v>0</v>
      </c>
      <c r="DC343" s="408">
        <v>-2.7227216037317703E-9</v>
      </c>
      <c r="DD343" s="408">
        <v>0</v>
      </c>
      <c r="DE343" s="408">
        <v>0</v>
      </c>
      <c r="DF343" s="408">
        <v>0</v>
      </c>
      <c r="DG343" s="408">
        <v>-3.7559866328251701E-10</v>
      </c>
      <c r="DH343" s="408">
        <v>0</v>
      </c>
      <c r="DI343" s="408">
        <v>0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0</v>
      </c>
      <c r="DP343" s="408">
        <v>-5.859255172543848E-3</v>
      </c>
      <c r="DQ343" s="408">
        <v>0</v>
      </c>
      <c r="DR343" s="408">
        <v>0</v>
      </c>
      <c r="DS343" s="408"/>
      <c r="DT343" s="408"/>
      <c r="DU343" s="408"/>
      <c r="DV343" s="408">
        <v>39.038058294121733</v>
      </c>
      <c r="DW343" s="408">
        <v>0</v>
      </c>
      <c r="DX343" s="408">
        <v>0</v>
      </c>
      <c r="DY343" s="408">
        <v>-23.966249999999999</v>
      </c>
      <c r="DZ343" s="408">
        <v>0</v>
      </c>
      <c r="EA343" s="408">
        <v>0</v>
      </c>
      <c r="EB343" s="408">
        <v>0</v>
      </c>
      <c r="EC343" s="408">
        <v>-23.935995008163005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265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350</v>
      </c>
      <c r="B344" s="408" t="s">
        <v>1031</v>
      </c>
      <c r="C344" s="408" t="s">
        <v>2227</v>
      </c>
      <c r="D344" s="408" t="s">
        <v>1952</v>
      </c>
      <c r="E344" s="408" t="s">
        <v>965</v>
      </c>
      <c r="F344" s="408" t="s">
        <v>1317</v>
      </c>
      <c r="G344" s="408" t="s">
        <v>1317</v>
      </c>
      <c r="H344" s="408" t="s">
        <v>1317</v>
      </c>
      <c r="I344" s="408" t="s">
        <v>1317</v>
      </c>
      <c r="J344" s="408" t="s">
        <v>2228</v>
      </c>
      <c r="K344" s="828">
        <v>44593</v>
      </c>
      <c r="L344" s="408">
        <v>0</v>
      </c>
      <c r="M344" s="408">
        <v>0</v>
      </c>
      <c r="N344" s="408">
        <v>55.802999999999997</v>
      </c>
      <c r="O344" s="408">
        <v>55.802999999999997</v>
      </c>
      <c r="P344" s="408">
        <v>55.802999999999997</v>
      </c>
      <c r="Q344" s="408">
        <v>55.802999999999997</v>
      </c>
      <c r="R344" s="408"/>
      <c r="S344" s="408">
        <v>739.04</v>
      </c>
      <c r="T344" s="408">
        <v>252.22</v>
      </c>
      <c r="U344" s="408"/>
      <c r="V344" s="408">
        <v>55315.28177999999</v>
      </c>
      <c r="W344" s="408">
        <v>55315.28177999999</v>
      </c>
      <c r="X344" s="408">
        <v>37832.759909999993</v>
      </c>
      <c r="Y344" s="408">
        <v>0</v>
      </c>
      <c r="Z344" s="408">
        <v>3451.5916990559303</v>
      </c>
      <c r="AA344" s="408">
        <v>0</v>
      </c>
      <c r="AB344" s="408">
        <v>0</v>
      </c>
      <c r="AC344" s="408">
        <v>0</v>
      </c>
      <c r="AD344" s="408">
        <v>6891.5355067526007</v>
      </c>
      <c r="AE344" s="408">
        <v>28291.438532297077</v>
      </c>
      <c r="AF344" s="408">
        <v>14074.787093516743</v>
      </c>
      <c r="AG344" s="408">
        <v>0</v>
      </c>
      <c r="AH344" s="408">
        <v>0</v>
      </c>
      <c r="AI344" s="408">
        <v>0</v>
      </c>
      <c r="AJ344" s="408">
        <v>0</v>
      </c>
      <c r="AK344" s="408">
        <v>0</v>
      </c>
      <c r="AL344" s="408">
        <v>533.53411155471122</v>
      </c>
      <c r="AM344" s="408"/>
      <c r="AN344" s="408">
        <v>130.76308838203676</v>
      </c>
      <c r="AO344" s="408">
        <v>0</v>
      </c>
      <c r="AP344" s="408">
        <v>0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1941.6234189993904</v>
      </c>
      <c r="BH344" s="408">
        <v>0</v>
      </c>
      <c r="BI344" s="408">
        <v>0</v>
      </c>
      <c r="BJ344" s="408">
        <v>0</v>
      </c>
      <c r="BK344" s="408">
        <v>9371.75</v>
      </c>
      <c r="BL344" s="408">
        <v>17</v>
      </c>
      <c r="BM344" s="408"/>
      <c r="BN344" s="408"/>
      <c r="BO344" s="408"/>
      <c r="BP344" s="408"/>
      <c r="BQ344" s="408"/>
      <c r="BR344" s="408"/>
      <c r="BS344" s="408"/>
      <c r="BT344" s="408"/>
      <c r="BU344" s="408"/>
      <c r="BV344" s="408">
        <v>16016.410512516133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37830.725999999995</v>
      </c>
      <c r="CJ344" s="408">
        <v>-17484.585780000001</v>
      </c>
      <c r="CK344" s="408"/>
      <c r="CL344" s="408"/>
      <c r="CM344" s="408"/>
      <c r="CN344" s="408"/>
      <c r="CO344" s="408">
        <v>-17482.521869999997</v>
      </c>
      <c r="CP344" s="408">
        <v>0</v>
      </c>
      <c r="CQ344" s="408">
        <v>29</v>
      </c>
      <c r="CR344" s="408">
        <v>-135.72388528533338</v>
      </c>
      <c r="CS344" s="408">
        <v>0</v>
      </c>
      <c r="CT344" s="408">
        <v>0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-17.711853134291232</v>
      </c>
      <c r="DA344" s="408">
        <v>0</v>
      </c>
      <c r="DB344" s="408">
        <v>0</v>
      </c>
      <c r="DC344" s="408">
        <v>-1.97319604922086E-6</v>
      </c>
      <c r="DD344" s="408">
        <v>0</v>
      </c>
      <c r="DE344" s="408">
        <v>0</v>
      </c>
      <c r="DF344" s="408">
        <v>0</v>
      </c>
      <c r="DG344" s="408">
        <v>-2.7220175979891792E-7</v>
      </c>
      <c r="DH344" s="408">
        <v>0</v>
      </c>
      <c r="DI344" s="408">
        <v>-100.36223915321079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-13.403504825243658</v>
      </c>
      <c r="DP344" s="408">
        <v>-4.2462859271878557</v>
      </c>
      <c r="DQ344" s="408">
        <v>0</v>
      </c>
      <c r="DR344" s="408">
        <v>0</v>
      </c>
      <c r="DS344" s="408"/>
      <c r="DT344" s="408"/>
      <c r="DU344" s="408"/>
      <c r="DV344" s="408">
        <v>28291.438532297077</v>
      </c>
      <c r="DW344" s="408">
        <v>0</v>
      </c>
      <c r="DX344" s="408">
        <v>0</v>
      </c>
      <c r="DY344" s="408">
        <v>-17482.521869999997</v>
      </c>
      <c r="DZ344" s="408">
        <v>0</v>
      </c>
      <c r="EA344" s="408">
        <v>0</v>
      </c>
      <c r="EB344" s="408">
        <v>0</v>
      </c>
      <c r="EC344" s="408">
        <v>-17346.757525201559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265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351</v>
      </c>
      <c r="B345" s="408" t="s">
        <v>2230</v>
      </c>
      <c r="C345" s="408" t="s">
        <v>2227</v>
      </c>
      <c r="D345" s="408" t="s">
        <v>1952</v>
      </c>
      <c r="E345" s="408" t="s">
        <v>965</v>
      </c>
      <c r="F345" s="408" t="s">
        <v>1317</v>
      </c>
      <c r="G345" s="408" t="s">
        <v>1317</v>
      </c>
      <c r="H345" s="408" t="s">
        <v>1317</v>
      </c>
      <c r="I345" s="408" t="s">
        <v>1317</v>
      </c>
      <c r="J345" s="408" t="s">
        <v>2228</v>
      </c>
      <c r="K345" s="828">
        <v>44593</v>
      </c>
      <c r="L345" s="408">
        <v>0</v>
      </c>
      <c r="M345" s="408">
        <v>0</v>
      </c>
      <c r="N345" s="408">
        <v>14.053000000000001</v>
      </c>
      <c r="O345" s="408">
        <v>14.053000000000001</v>
      </c>
      <c r="P345" s="408">
        <v>14.053000000000001</v>
      </c>
      <c r="Q345" s="408">
        <v>14.053000000000001</v>
      </c>
      <c r="R345" s="408"/>
      <c r="S345" s="408">
        <v>739.04</v>
      </c>
      <c r="T345" s="408">
        <v>252.22</v>
      </c>
      <c r="U345" s="408"/>
      <c r="V345" s="408">
        <v>13930.17678</v>
      </c>
      <c r="W345" s="408">
        <v>13930.17678</v>
      </c>
      <c r="X345" s="408">
        <v>9527.5124100000012</v>
      </c>
      <c r="Y345" s="408">
        <v>0</v>
      </c>
      <c r="Z345" s="408">
        <v>869.22241002872602</v>
      </c>
      <c r="AA345" s="408">
        <v>0</v>
      </c>
      <c r="AB345" s="408">
        <v>0</v>
      </c>
      <c r="AC345" s="408">
        <v>0</v>
      </c>
      <c r="AD345" s="408">
        <v>1735.5115043347905</v>
      </c>
      <c r="AE345" s="408">
        <v>7124.6991325622439</v>
      </c>
      <c r="AF345" s="408">
        <v>3544.4865513537052</v>
      </c>
      <c r="AG345" s="408">
        <v>0</v>
      </c>
      <c r="AH345" s="408">
        <v>0</v>
      </c>
      <c r="AI345" s="408">
        <v>0</v>
      </c>
      <c r="AJ345" s="408">
        <v>0</v>
      </c>
      <c r="AK345" s="408">
        <v>0</v>
      </c>
      <c r="AL345" s="408">
        <v>134.36114312274177</v>
      </c>
      <c r="AM345" s="408"/>
      <c r="AN345" s="408">
        <v>32.930374371140665</v>
      </c>
      <c r="AO345" s="408">
        <v>0</v>
      </c>
      <c r="AP345" s="408">
        <v>0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>
        <v>0</v>
      </c>
      <c r="BG345" s="408">
        <v>488.96356660391797</v>
      </c>
      <c r="BH345" s="408">
        <v>0</v>
      </c>
      <c r="BI345" s="408">
        <v>0</v>
      </c>
      <c r="BJ345" s="408">
        <v>0</v>
      </c>
      <c r="BK345" s="408">
        <v>3839.98</v>
      </c>
      <c r="BL345" s="408">
        <v>13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>
        <v>4033.4501179576232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9525.4785000000011</v>
      </c>
      <c r="CJ345" s="408">
        <v>-4404.7282799999994</v>
      </c>
      <c r="CK345" s="408"/>
      <c r="CL345" s="408"/>
      <c r="CM345" s="408"/>
      <c r="CN345" s="408"/>
      <c r="CO345" s="408">
        <v>-4402.6643699999995</v>
      </c>
      <c r="CP345" s="408">
        <v>0</v>
      </c>
      <c r="CQ345" s="408">
        <v>29</v>
      </c>
      <c r="CR345" s="408">
        <v>-34.179663457425704</v>
      </c>
      <c r="CS345" s="408">
        <v>0</v>
      </c>
      <c r="CT345" s="408">
        <v>0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-4.460417398637901</v>
      </c>
      <c r="DA345" s="408">
        <v>0</v>
      </c>
      <c r="DB345" s="408">
        <v>0</v>
      </c>
      <c r="DC345" s="408">
        <v>-4.9691425374476239E-7</v>
      </c>
      <c r="DD345" s="408">
        <v>0</v>
      </c>
      <c r="DE345" s="408">
        <v>0</v>
      </c>
      <c r="DF345" s="408">
        <v>0</v>
      </c>
      <c r="DG345" s="408">
        <v>-6.8549184106814209E-8</v>
      </c>
      <c r="DH345" s="408">
        <v>0</v>
      </c>
      <c r="DI345" s="408">
        <v>-25.274457409459615</v>
      </c>
      <c r="DJ345" s="408"/>
      <c r="DK345" s="408">
        <v>0</v>
      </c>
      <c r="DL345" s="408">
        <v>0</v>
      </c>
      <c r="DM345" s="408">
        <v>0</v>
      </c>
      <c r="DN345" s="408">
        <v>0</v>
      </c>
      <c r="DO345" s="408">
        <v>-3.3754359677642753</v>
      </c>
      <c r="DP345" s="408">
        <v>-1.0693521161007595</v>
      </c>
      <c r="DQ345" s="408">
        <v>0</v>
      </c>
      <c r="DR345" s="408">
        <v>0</v>
      </c>
      <c r="DS345" s="408"/>
      <c r="DT345" s="408"/>
      <c r="DU345" s="408"/>
      <c r="DV345" s="408">
        <v>7124.6991325622439</v>
      </c>
      <c r="DW345" s="408">
        <v>0</v>
      </c>
      <c r="DX345" s="408">
        <v>0</v>
      </c>
      <c r="DY345" s="408">
        <v>-4402.6643699999995</v>
      </c>
      <c r="DZ345" s="408">
        <v>0</v>
      </c>
      <c r="EA345" s="408">
        <v>0</v>
      </c>
      <c r="EB345" s="408">
        <v>0</v>
      </c>
      <c r="EC345" s="408">
        <v>-4368.4745175287635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265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352</v>
      </c>
      <c r="B346" s="408" t="s">
        <v>1031</v>
      </c>
      <c r="C346" s="408" t="s">
        <v>2235</v>
      </c>
      <c r="D346" s="408" t="s">
        <v>596</v>
      </c>
      <c r="E346" s="408" t="s">
        <v>965</v>
      </c>
      <c r="F346" s="408" t="s">
        <v>1317</v>
      </c>
      <c r="G346" s="408" t="s">
        <v>1317</v>
      </c>
      <c r="H346" s="408" t="s">
        <v>1317</v>
      </c>
      <c r="I346" s="408" t="s">
        <v>968</v>
      </c>
      <c r="J346" s="408" t="s">
        <v>2228</v>
      </c>
      <c r="K346" s="828">
        <v>44593</v>
      </c>
      <c r="L346" s="408">
        <v>0</v>
      </c>
      <c r="M346" s="408">
        <v>0</v>
      </c>
      <c r="N346" s="408">
        <v>25.806000000000001</v>
      </c>
      <c r="O346" s="408">
        <v>25.806000000000001</v>
      </c>
      <c r="P346" s="408">
        <v>25.806000000000001</v>
      </c>
      <c r="Q346" s="408">
        <v>25.806000000000001</v>
      </c>
      <c r="R346" s="408"/>
      <c r="S346" s="408">
        <v>2641.06</v>
      </c>
      <c r="T346" s="408">
        <v>252.22</v>
      </c>
      <c r="U346" s="408"/>
      <c r="V346" s="408">
        <v>74663.98367999999</v>
      </c>
      <c r="W346" s="408">
        <v>74663.98367999999</v>
      </c>
      <c r="X346" s="408">
        <v>44317.676039999991</v>
      </c>
      <c r="Y346" s="408">
        <v>0</v>
      </c>
      <c r="Z346" s="408">
        <v>1388.6788270465474</v>
      </c>
      <c r="AA346" s="408">
        <v>0</v>
      </c>
      <c r="AB346" s="408">
        <v>0</v>
      </c>
      <c r="AC346" s="408">
        <v>0</v>
      </c>
      <c r="AD346" s="408">
        <v>16716.274957855549</v>
      </c>
      <c r="AE346" s="408">
        <v>49343.403332110393</v>
      </c>
      <c r="AF346" s="408">
        <v>6508.8607375104048</v>
      </c>
      <c r="AG346" s="408">
        <v>0</v>
      </c>
      <c r="AH346" s="408">
        <v>0</v>
      </c>
      <c r="AI346" s="408">
        <v>0</v>
      </c>
      <c r="AJ346" s="408">
        <v>0</v>
      </c>
      <c r="AK346" s="408">
        <v>0</v>
      </c>
      <c r="AL346" s="408">
        <v>246.73191912228518</v>
      </c>
      <c r="AM346" s="408"/>
      <c r="AN346" s="408">
        <v>62.086813787910742</v>
      </c>
      <c r="AO346" s="408">
        <v>0</v>
      </c>
      <c r="AP346" s="408">
        <v>0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398.00184187651439</v>
      </c>
      <c r="BH346" s="408">
        <v>0</v>
      </c>
      <c r="BI346" s="408">
        <v>0</v>
      </c>
      <c r="BJ346" s="408">
        <v>0</v>
      </c>
      <c r="BK346" s="408">
        <v>0</v>
      </c>
      <c r="BL346" s="408">
        <v>0</v>
      </c>
      <c r="BM346" s="408"/>
      <c r="BN346" s="408"/>
      <c r="BO346" s="408"/>
      <c r="BP346" s="408"/>
      <c r="BQ346" s="408"/>
      <c r="BR346" s="408"/>
      <c r="BS346" s="408"/>
      <c r="BT346" s="408"/>
      <c r="BU346" s="408"/>
      <c r="BV346" s="408">
        <v>6906.8625793869196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44324.545399999995</v>
      </c>
      <c r="CJ346" s="408">
        <v>-30339.468279999979</v>
      </c>
      <c r="CK346" s="408"/>
      <c r="CL346" s="408"/>
      <c r="CM346" s="408"/>
      <c r="CN346" s="408"/>
      <c r="CO346" s="408">
        <v>-30346.307640000003</v>
      </c>
      <c r="CP346" s="408">
        <v>0</v>
      </c>
      <c r="CQ346" s="408">
        <v>29</v>
      </c>
      <c r="CR346" s="408">
        <v>-91.555617775215069</v>
      </c>
      <c r="CS346" s="408">
        <v>0</v>
      </c>
      <c r="CT346" s="408">
        <v>0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-42.962298709218885</v>
      </c>
      <c r="DA346" s="408">
        <v>0</v>
      </c>
      <c r="DB346" s="408">
        <v>0</v>
      </c>
      <c r="DC346" s="408">
        <v>-9.1250058176228777E-7</v>
      </c>
      <c r="DD346" s="408">
        <v>0</v>
      </c>
      <c r="DE346" s="408">
        <v>0</v>
      </c>
      <c r="DF346" s="408">
        <v>0</v>
      </c>
      <c r="DG346" s="408">
        <v>-5.5797727327444591E-8</v>
      </c>
      <c r="DH346" s="408">
        <v>0</v>
      </c>
      <c r="DI346" s="408">
        <v>-40.378737897986412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-6.1984274236194778</v>
      </c>
      <c r="DP346" s="408">
        <v>-2.0161527760901166</v>
      </c>
      <c r="DQ346" s="408">
        <v>0</v>
      </c>
      <c r="DR346" s="408">
        <v>0</v>
      </c>
      <c r="DS346" s="408"/>
      <c r="DT346" s="408"/>
      <c r="DU346" s="408"/>
      <c r="DV346" s="408">
        <v>49343.403332110393</v>
      </c>
      <c r="DW346" s="408">
        <v>0</v>
      </c>
      <c r="DX346" s="408">
        <v>0</v>
      </c>
      <c r="DY346" s="408">
        <v>-30346.307639999999</v>
      </c>
      <c r="DZ346" s="408">
        <v>0</v>
      </c>
      <c r="EA346" s="408">
        <v>0</v>
      </c>
      <c r="EB346" s="408">
        <v>0</v>
      </c>
      <c r="EC346" s="408">
        <v>-30254.667046824223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265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353</v>
      </c>
      <c r="B347" s="408" t="s">
        <v>1031</v>
      </c>
      <c r="C347" s="408" t="s">
        <v>2235</v>
      </c>
      <c r="D347" s="408" t="s">
        <v>596</v>
      </c>
      <c r="E347" s="408" t="s">
        <v>965</v>
      </c>
      <c r="F347" s="408" t="s">
        <v>1317</v>
      </c>
      <c r="G347" s="408" t="s">
        <v>1317</v>
      </c>
      <c r="H347" s="408" t="s">
        <v>1317</v>
      </c>
      <c r="I347" s="408" t="s">
        <v>2236</v>
      </c>
      <c r="J347" s="408" t="s">
        <v>2228</v>
      </c>
      <c r="K347" s="828">
        <v>44593</v>
      </c>
      <c r="L347" s="408">
        <v>0</v>
      </c>
      <c r="M347" s="408">
        <v>0</v>
      </c>
      <c r="N347" s="408">
        <v>403.423</v>
      </c>
      <c r="O347" s="408">
        <v>403.423</v>
      </c>
      <c r="P347" s="408">
        <v>403.423</v>
      </c>
      <c r="Q347" s="408">
        <v>403.423</v>
      </c>
      <c r="R347" s="408"/>
      <c r="S347" s="408">
        <v>81.2</v>
      </c>
      <c r="T347" s="408">
        <v>252.22</v>
      </c>
      <c r="U347" s="408"/>
      <c r="V347" s="408">
        <v>134509.29665999999</v>
      </c>
      <c r="W347" s="408">
        <v>134509.29665999999</v>
      </c>
      <c r="X347" s="408">
        <v>133750.86142</v>
      </c>
      <c r="Y347" s="408">
        <v>0</v>
      </c>
      <c r="Z347" s="408">
        <v>21709.097823901389</v>
      </c>
      <c r="AA347" s="408">
        <v>0</v>
      </c>
      <c r="AB347" s="408">
        <v>0</v>
      </c>
      <c r="AC347" s="408">
        <v>0</v>
      </c>
      <c r="AD347" s="408">
        <v>0</v>
      </c>
      <c r="AE347" s="408">
        <v>0</v>
      </c>
      <c r="AF347" s="408">
        <v>101752.46552385723</v>
      </c>
      <c r="AG347" s="408">
        <v>0</v>
      </c>
      <c r="AH347" s="408">
        <v>0</v>
      </c>
      <c r="AI347" s="408">
        <v>0</v>
      </c>
      <c r="AJ347" s="408">
        <v>0</v>
      </c>
      <c r="AK347" s="408">
        <v>0</v>
      </c>
      <c r="AL347" s="408">
        <v>3857.1390764965377</v>
      </c>
      <c r="AM347" s="408"/>
      <c r="AN347" s="408">
        <v>970.59787176471809</v>
      </c>
      <c r="AO347" s="408">
        <v>0</v>
      </c>
      <c r="AP347" s="408">
        <v>0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6221.9288946504321</v>
      </c>
      <c r="BH347" s="408">
        <v>0</v>
      </c>
      <c r="BI347" s="408">
        <v>0</v>
      </c>
      <c r="BJ347" s="408">
        <v>0</v>
      </c>
      <c r="BK347" s="408">
        <v>0</v>
      </c>
      <c r="BL347" s="408">
        <v>0</v>
      </c>
      <c r="BM347" s="408"/>
      <c r="BN347" s="408"/>
      <c r="BO347" s="408"/>
      <c r="BP347" s="408"/>
      <c r="BQ347" s="408"/>
      <c r="BR347" s="408"/>
      <c r="BS347" s="408"/>
      <c r="BT347" s="408"/>
      <c r="BU347" s="408"/>
      <c r="BV347" s="408">
        <v>107974.39441850767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133749.86680000002</v>
      </c>
      <c r="CJ347" s="408">
        <v>-759.45985999997356</v>
      </c>
      <c r="CK347" s="408"/>
      <c r="CL347" s="408"/>
      <c r="CM347" s="408"/>
      <c r="CN347" s="408"/>
      <c r="CO347" s="408">
        <v>-758.43524000000389</v>
      </c>
      <c r="CP347" s="408">
        <v>0</v>
      </c>
      <c r="CQ347" s="408">
        <v>29</v>
      </c>
      <c r="CR347" s="408">
        <v>-759.65521807179903</v>
      </c>
      <c r="CS347" s="408">
        <v>0</v>
      </c>
      <c r="CT347" s="408">
        <v>0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0</v>
      </c>
      <c r="DA347" s="408">
        <v>0</v>
      </c>
      <c r="DB347" s="408">
        <v>0</v>
      </c>
      <c r="DC347" s="408">
        <v>-1.4265038771554828E-5</v>
      </c>
      <c r="DD347" s="408">
        <v>0</v>
      </c>
      <c r="DE347" s="408">
        <v>0</v>
      </c>
      <c r="DF347" s="408">
        <v>0</v>
      </c>
      <c r="DG347" s="408">
        <v>-8.7228090706048533E-7</v>
      </c>
      <c r="DH347" s="408">
        <v>0</v>
      </c>
      <c r="DI347" s="408">
        <v>-631.23737034098303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-96.899487968644735</v>
      </c>
      <c r="DP347" s="408">
        <v>-31.518344624839301</v>
      </c>
      <c r="DQ347" s="408">
        <v>0</v>
      </c>
      <c r="DR347" s="408">
        <v>0</v>
      </c>
      <c r="DS347" s="408"/>
      <c r="DT347" s="408"/>
      <c r="DU347" s="408"/>
      <c r="DV347" s="408">
        <v>0</v>
      </c>
      <c r="DW347" s="408">
        <v>0</v>
      </c>
      <c r="DX347" s="408">
        <v>0</v>
      </c>
      <c r="DY347" s="408">
        <v>-758.43524000000252</v>
      </c>
      <c r="DZ347" s="408">
        <v>0</v>
      </c>
      <c r="EA347" s="408">
        <v>0</v>
      </c>
      <c r="EB347" s="408">
        <v>0</v>
      </c>
      <c r="EC347" s="408">
        <v>0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265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354</v>
      </c>
      <c r="B348" s="408" t="s">
        <v>1031</v>
      </c>
      <c r="C348" s="408" t="s">
        <v>2235</v>
      </c>
      <c r="D348" s="408" t="s">
        <v>596</v>
      </c>
      <c r="E348" s="408" t="s">
        <v>965</v>
      </c>
      <c r="F348" s="408" t="s">
        <v>1317</v>
      </c>
      <c r="G348" s="408" t="s">
        <v>1317</v>
      </c>
      <c r="H348" s="408" t="s">
        <v>1317</v>
      </c>
      <c r="I348" s="408" t="s">
        <v>1317</v>
      </c>
      <c r="J348" s="408" t="s">
        <v>2228</v>
      </c>
      <c r="K348" s="828">
        <v>44593</v>
      </c>
      <c r="L348" s="408">
        <v>2251</v>
      </c>
      <c r="M348" s="408">
        <v>2251</v>
      </c>
      <c r="N348" s="408">
        <v>0</v>
      </c>
      <c r="O348" s="408">
        <v>0</v>
      </c>
      <c r="P348" s="408">
        <v>0</v>
      </c>
      <c r="Q348" s="408">
        <v>0</v>
      </c>
      <c r="R348" s="408">
        <v>74.44</v>
      </c>
      <c r="S348" s="408"/>
      <c r="T348" s="408"/>
      <c r="U348" s="408">
        <v>167564.44</v>
      </c>
      <c r="V348" s="408"/>
      <c r="W348" s="408">
        <v>167564.44</v>
      </c>
      <c r="X348" s="408">
        <v>102240.42</v>
      </c>
      <c r="Y348" s="408">
        <v>0</v>
      </c>
      <c r="Z348" s="408">
        <v>0</v>
      </c>
      <c r="AA348" s="408">
        <v>0</v>
      </c>
      <c r="AB348" s="408">
        <v>0</v>
      </c>
      <c r="AC348" s="408">
        <v>0</v>
      </c>
      <c r="AD348" s="408">
        <v>61265.675286047001</v>
      </c>
      <c r="AE348" s="408">
        <v>106295.68188983513</v>
      </c>
      <c r="AF348" s="408"/>
      <c r="AG348" s="408"/>
      <c r="AH348" s="408"/>
      <c r="AI348" s="408">
        <v>0</v>
      </c>
      <c r="AJ348" s="408">
        <v>0</v>
      </c>
      <c r="AK348" s="408">
        <v>0</v>
      </c>
      <c r="AL348" s="408">
        <v>0</v>
      </c>
      <c r="AM348" s="408"/>
      <c r="AN348" s="408">
        <v>0</v>
      </c>
      <c r="AO348" s="408">
        <v>0</v>
      </c>
      <c r="AP348" s="408">
        <v>0</v>
      </c>
      <c r="AQ348" s="408">
        <v>0</v>
      </c>
      <c r="AR348" s="408">
        <v>0</v>
      </c>
      <c r="AS348" s="408"/>
      <c r="AT348" s="408"/>
      <c r="AU348" s="408">
        <v>0</v>
      </c>
      <c r="AV348" s="408">
        <v>0</v>
      </c>
      <c r="AW348" s="408">
        <v>0</v>
      </c>
      <c r="AX348" s="408"/>
      <c r="AY348" s="408"/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/>
      <c r="BG348" s="408">
        <v>0</v>
      </c>
      <c r="BH348" s="408">
        <v>0</v>
      </c>
      <c r="BI348" s="408">
        <v>0</v>
      </c>
      <c r="BJ348" s="408">
        <v>0</v>
      </c>
      <c r="BK348" s="408">
        <v>69180.09</v>
      </c>
      <c r="BL348" s="408">
        <v>9</v>
      </c>
      <c r="BM348" s="408"/>
      <c r="BN348" s="408"/>
      <c r="BO348" s="408"/>
      <c r="BP348" s="408"/>
      <c r="BQ348" s="408"/>
      <c r="BR348" s="408"/>
      <c r="BS348" s="408"/>
      <c r="BT348" s="408"/>
      <c r="BU348" s="408"/>
      <c r="BV348" s="408">
        <v>0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102240.42</v>
      </c>
      <c r="CJ348" s="408">
        <v>-65324.050000000032</v>
      </c>
      <c r="CK348" s="408"/>
      <c r="CL348" s="408"/>
      <c r="CM348" s="408"/>
      <c r="CN348" s="408"/>
      <c r="CO348" s="408">
        <v>-65324.01999999999</v>
      </c>
      <c r="CP348" s="408">
        <v>0</v>
      </c>
      <c r="CQ348" s="408">
        <v>29</v>
      </c>
      <c r="CR348" s="408">
        <v>-157.45818065906496</v>
      </c>
      <c r="CS348" s="408">
        <v>0</v>
      </c>
      <c r="CT348" s="408">
        <v>0</v>
      </c>
      <c r="CU348" s="408">
        <v>0</v>
      </c>
      <c r="CV348" s="408">
        <v>0</v>
      </c>
      <c r="CW348" s="408"/>
      <c r="CX348" s="408"/>
      <c r="CY348" s="408"/>
      <c r="CZ348" s="408">
        <v>-157.45818065906496</v>
      </c>
      <c r="DA348" s="408">
        <v>0</v>
      </c>
      <c r="DB348" s="408">
        <v>0</v>
      </c>
      <c r="DC348" s="408"/>
      <c r="DD348" s="408"/>
      <c r="DE348" s="408">
        <v>0</v>
      </c>
      <c r="DF348" s="408">
        <v>0</v>
      </c>
      <c r="DG348" s="408">
        <v>0</v>
      </c>
      <c r="DH348" s="408">
        <v>0</v>
      </c>
      <c r="DI348" s="408">
        <v>0</v>
      </c>
      <c r="DJ348" s="408"/>
      <c r="DK348" s="408">
        <v>0</v>
      </c>
      <c r="DL348" s="408">
        <v>0</v>
      </c>
      <c r="DM348" s="408"/>
      <c r="DN348" s="408">
        <v>0</v>
      </c>
      <c r="DO348" s="408">
        <v>0</v>
      </c>
      <c r="DP348" s="408">
        <v>0</v>
      </c>
      <c r="DQ348" s="408">
        <v>0</v>
      </c>
      <c r="DR348" s="408">
        <v>0</v>
      </c>
      <c r="DS348" s="408"/>
      <c r="DT348" s="408"/>
      <c r="DU348" s="408">
        <v>106295.68188983513</v>
      </c>
      <c r="DV348" s="408"/>
      <c r="DW348" s="408">
        <v>0</v>
      </c>
      <c r="DX348" s="408">
        <v>0</v>
      </c>
      <c r="DY348" s="408">
        <v>-65324.020000000004</v>
      </c>
      <c r="DZ348" s="408"/>
      <c r="EA348" s="408">
        <v>0</v>
      </c>
      <c r="EB348" s="408"/>
      <c r="EC348" s="408">
        <v>-65174.678820731569</v>
      </c>
      <c r="ED348" s="408"/>
      <c r="EE348" s="408">
        <v>0</v>
      </c>
      <c r="EF348" s="408">
        <v>0</v>
      </c>
      <c r="EG348" s="408"/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/>
      <c r="EN348" s="408"/>
      <c r="EO348" s="408">
        <v>0</v>
      </c>
      <c r="EP348" s="408">
        <v>0</v>
      </c>
      <c r="EQ348" s="408"/>
      <c r="ER348" s="408">
        <v>0</v>
      </c>
      <c r="ES348" s="408"/>
      <c r="ET348" s="408">
        <v>0</v>
      </c>
      <c r="EU348" s="408"/>
      <c r="EV348" s="408">
        <v>265</v>
      </c>
      <c r="EW348" s="408"/>
      <c r="EX348" s="408"/>
      <c r="EY348" s="408"/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355</v>
      </c>
      <c r="B349" s="408" t="s">
        <v>2230</v>
      </c>
      <c r="C349" s="408" t="s">
        <v>2235</v>
      </c>
      <c r="D349" s="408" t="s">
        <v>596</v>
      </c>
      <c r="E349" s="408" t="s">
        <v>965</v>
      </c>
      <c r="F349" s="408" t="s">
        <v>1317</v>
      </c>
      <c r="G349" s="408" t="s">
        <v>1317</v>
      </c>
      <c r="H349" s="408" t="s">
        <v>1317</v>
      </c>
      <c r="I349" s="408" t="s">
        <v>1317</v>
      </c>
      <c r="J349" s="408" t="s">
        <v>2228</v>
      </c>
      <c r="K349" s="828">
        <v>44593</v>
      </c>
      <c r="L349" s="408">
        <v>78</v>
      </c>
      <c r="M349" s="408">
        <v>78</v>
      </c>
      <c r="N349" s="408">
        <v>0</v>
      </c>
      <c r="O349" s="408">
        <v>0</v>
      </c>
      <c r="P349" s="408">
        <v>0</v>
      </c>
      <c r="Q349" s="408">
        <v>0</v>
      </c>
      <c r="R349" s="408">
        <v>74.44</v>
      </c>
      <c r="S349" s="408"/>
      <c r="T349" s="408"/>
      <c r="U349" s="408">
        <v>5806.32</v>
      </c>
      <c r="V349" s="408"/>
      <c r="W349" s="408">
        <v>5806.32</v>
      </c>
      <c r="X349" s="408">
        <v>3542.76</v>
      </c>
      <c r="Y349" s="408">
        <v>0</v>
      </c>
      <c r="Z349" s="408">
        <v>0</v>
      </c>
      <c r="AA349" s="408">
        <v>0</v>
      </c>
      <c r="AB349" s="408">
        <v>0</v>
      </c>
      <c r="AC349" s="408">
        <v>0</v>
      </c>
      <c r="AD349" s="408">
        <v>2122.9332173752405</v>
      </c>
      <c r="AE349" s="408">
        <v>3683.2799588658995</v>
      </c>
      <c r="AF349" s="408"/>
      <c r="AG349" s="408"/>
      <c r="AH349" s="408"/>
      <c r="AI349" s="408">
        <v>0</v>
      </c>
      <c r="AJ349" s="408">
        <v>0</v>
      </c>
      <c r="AK349" s="408">
        <v>0</v>
      </c>
      <c r="AL349" s="408">
        <v>0</v>
      </c>
      <c r="AM349" s="408"/>
      <c r="AN349" s="408">
        <v>0</v>
      </c>
      <c r="AO349" s="408">
        <v>0</v>
      </c>
      <c r="AP349" s="408">
        <v>0</v>
      </c>
      <c r="AQ349" s="408">
        <v>0</v>
      </c>
      <c r="AR349" s="408">
        <v>0</v>
      </c>
      <c r="AS349" s="408"/>
      <c r="AT349" s="408"/>
      <c r="AU349" s="408">
        <v>0</v>
      </c>
      <c r="AV349" s="408">
        <v>0</v>
      </c>
      <c r="AW349" s="408">
        <v>0</v>
      </c>
      <c r="AX349" s="408"/>
      <c r="AY349" s="408"/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/>
      <c r="BG349" s="408">
        <v>0</v>
      </c>
      <c r="BH349" s="408">
        <v>0</v>
      </c>
      <c r="BI349" s="408">
        <v>0</v>
      </c>
      <c r="BJ349" s="408">
        <v>0</v>
      </c>
      <c r="BK349" s="408">
        <v>1100.6099999999999</v>
      </c>
      <c r="BL349" s="408">
        <v>1</v>
      </c>
      <c r="BM349" s="408"/>
      <c r="BN349" s="408"/>
      <c r="BO349" s="408"/>
      <c r="BP349" s="408"/>
      <c r="BQ349" s="408"/>
      <c r="BR349" s="408"/>
      <c r="BS349" s="408"/>
      <c r="BT349" s="408"/>
      <c r="BU349" s="408"/>
      <c r="BV349" s="408">
        <v>0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3542.76</v>
      </c>
      <c r="CJ349" s="408">
        <v>-2263.59</v>
      </c>
      <c r="CK349" s="408"/>
      <c r="CL349" s="408"/>
      <c r="CM349" s="408"/>
      <c r="CN349" s="408"/>
      <c r="CO349" s="408">
        <v>-2263.5599999999995</v>
      </c>
      <c r="CP349" s="408">
        <v>0</v>
      </c>
      <c r="CQ349" s="408">
        <v>29</v>
      </c>
      <c r="CR349" s="408">
        <v>-5.4561253182619112</v>
      </c>
      <c r="CS349" s="408">
        <v>0</v>
      </c>
      <c r="CT349" s="408">
        <v>0</v>
      </c>
      <c r="CU349" s="408">
        <v>0</v>
      </c>
      <c r="CV349" s="408">
        <v>0</v>
      </c>
      <c r="CW349" s="408"/>
      <c r="CX349" s="408"/>
      <c r="CY349" s="408"/>
      <c r="CZ349" s="408">
        <v>-5.4561253182619112</v>
      </c>
      <c r="DA349" s="408">
        <v>0</v>
      </c>
      <c r="DB349" s="408">
        <v>0</v>
      </c>
      <c r="DC349" s="408"/>
      <c r="DD349" s="408"/>
      <c r="DE349" s="408">
        <v>0</v>
      </c>
      <c r="DF349" s="408">
        <v>0</v>
      </c>
      <c r="DG349" s="408">
        <v>0</v>
      </c>
      <c r="DH349" s="408">
        <v>0</v>
      </c>
      <c r="DI349" s="408">
        <v>0</v>
      </c>
      <c r="DJ349" s="408"/>
      <c r="DK349" s="408">
        <v>0</v>
      </c>
      <c r="DL349" s="408">
        <v>0</v>
      </c>
      <c r="DM349" s="408"/>
      <c r="DN349" s="408">
        <v>0</v>
      </c>
      <c r="DO349" s="408">
        <v>0</v>
      </c>
      <c r="DP349" s="408">
        <v>0</v>
      </c>
      <c r="DQ349" s="408">
        <v>0</v>
      </c>
      <c r="DR349" s="408">
        <v>0</v>
      </c>
      <c r="DS349" s="408"/>
      <c r="DT349" s="408"/>
      <c r="DU349" s="408">
        <v>3683.2799588658995</v>
      </c>
      <c r="DV349" s="408"/>
      <c r="DW349" s="408">
        <v>0</v>
      </c>
      <c r="DX349" s="408">
        <v>0</v>
      </c>
      <c r="DY349" s="408">
        <v>-2263.5599999999995</v>
      </c>
      <c r="DZ349" s="408"/>
      <c r="EA349" s="408">
        <v>0</v>
      </c>
      <c r="EB349" s="408"/>
      <c r="EC349" s="408">
        <v>-2258.3851390568907</v>
      </c>
      <c r="ED349" s="408"/>
      <c r="EE349" s="408">
        <v>0</v>
      </c>
      <c r="EF349" s="408">
        <v>0</v>
      </c>
      <c r="EG349" s="408"/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/>
      <c r="EN349" s="408"/>
      <c r="EO349" s="408">
        <v>0</v>
      </c>
      <c r="EP349" s="408">
        <v>0</v>
      </c>
      <c r="EQ349" s="408"/>
      <c r="ER349" s="408">
        <v>0</v>
      </c>
      <c r="ES349" s="408"/>
      <c r="ET349" s="408">
        <v>0</v>
      </c>
      <c r="EU349" s="408"/>
      <c r="EV349" s="408">
        <v>265</v>
      </c>
      <c r="EW349" s="408"/>
      <c r="EX349" s="408"/>
      <c r="EY349" s="408"/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356</v>
      </c>
      <c r="B350" s="408" t="s">
        <v>1031</v>
      </c>
      <c r="C350" s="408" t="s">
        <v>2227</v>
      </c>
      <c r="D350" s="408" t="s">
        <v>1952</v>
      </c>
      <c r="E350" s="408" t="s">
        <v>993</v>
      </c>
      <c r="F350" s="408" t="s">
        <v>1317</v>
      </c>
      <c r="G350" s="408" t="s">
        <v>1317</v>
      </c>
      <c r="H350" s="408" t="s">
        <v>1317</v>
      </c>
      <c r="I350" s="408" t="s">
        <v>1317</v>
      </c>
      <c r="J350" s="408" t="s">
        <v>2228</v>
      </c>
      <c r="K350" s="828">
        <v>44593</v>
      </c>
      <c r="L350" s="408">
        <v>0</v>
      </c>
      <c r="M350" s="408">
        <v>0</v>
      </c>
      <c r="N350" s="408">
        <v>452.63900000000001</v>
      </c>
      <c r="O350" s="408">
        <v>452.63900000000001</v>
      </c>
      <c r="P350" s="408">
        <v>452.63900000000001</v>
      </c>
      <c r="Q350" s="408">
        <v>452.63900000000001</v>
      </c>
      <c r="R350" s="408"/>
      <c r="S350" s="408">
        <v>739.04</v>
      </c>
      <c r="T350" s="408">
        <v>252.22</v>
      </c>
      <c r="U350" s="408"/>
      <c r="V350" s="408">
        <v>448682.93514000002</v>
      </c>
      <c r="W350" s="408">
        <v>448682.93514000002</v>
      </c>
      <c r="X350" s="408">
        <v>306875.66283000004</v>
      </c>
      <c r="Y350" s="408">
        <v>0</v>
      </c>
      <c r="Z350" s="408">
        <v>27997.150960861916</v>
      </c>
      <c r="AA350" s="408">
        <v>0</v>
      </c>
      <c r="AB350" s="408">
        <v>0</v>
      </c>
      <c r="AC350" s="408">
        <v>0</v>
      </c>
      <c r="AD350" s="408">
        <v>55899.821519290912</v>
      </c>
      <c r="AE350" s="408">
        <v>229482.43724925932</v>
      </c>
      <c r="AF350" s="408">
        <v>114165.86124800325</v>
      </c>
      <c r="AG350" s="408">
        <v>0</v>
      </c>
      <c r="AH350" s="408">
        <v>0</v>
      </c>
      <c r="AI350" s="408">
        <v>0</v>
      </c>
      <c r="AJ350" s="408">
        <v>0</v>
      </c>
      <c r="AK350" s="408">
        <v>0</v>
      </c>
      <c r="AL350" s="408">
        <v>4327.6946888162456</v>
      </c>
      <c r="AM350" s="408"/>
      <c r="AN350" s="408">
        <v>1060.6683074773173</v>
      </c>
      <c r="AO350" s="408">
        <v>0</v>
      </c>
      <c r="AP350" s="408">
        <v>0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15749.233603076271</v>
      </c>
      <c r="BH350" s="408">
        <v>0</v>
      </c>
      <c r="BI350" s="408">
        <v>0</v>
      </c>
      <c r="BJ350" s="408">
        <v>0</v>
      </c>
      <c r="BK350" s="408">
        <v>123709.36</v>
      </c>
      <c r="BL350" s="408">
        <v>845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>
        <v>129915.09485107951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306876.34080000001</v>
      </c>
      <c r="CJ350" s="408">
        <v>-141806.62434000004</v>
      </c>
      <c r="CK350" s="408"/>
      <c r="CL350" s="408"/>
      <c r="CM350" s="408"/>
      <c r="CN350" s="408"/>
      <c r="CO350" s="408">
        <v>-141807.27231</v>
      </c>
      <c r="CP350" s="408">
        <v>0</v>
      </c>
      <c r="CQ350" s="408">
        <v>29</v>
      </c>
      <c r="CR350" s="408">
        <v>-1100.9071862026467</v>
      </c>
      <c r="CS350" s="408">
        <v>0</v>
      </c>
      <c r="CT350" s="408">
        <v>0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-143.6674639509074</v>
      </c>
      <c r="DA350" s="408">
        <v>0</v>
      </c>
      <c r="DB350" s="408">
        <v>0</v>
      </c>
      <c r="DC350" s="408">
        <v>-1.6005316865630448E-5</v>
      </c>
      <c r="DD350" s="408">
        <v>0</v>
      </c>
      <c r="DE350" s="408">
        <v>0</v>
      </c>
      <c r="DF350" s="408">
        <v>0</v>
      </c>
      <c r="DG350" s="408">
        <v>-2.2079293557908386E-6</v>
      </c>
      <c r="DH350" s="408">
        <v>0</v>
      </c>
      <c r="DI350" s="408">
        <v>-814.07565127448834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-108.7208397504337</v>
      </c>
      <c r="DP350" s="408">
        <v>-34.443213013572404</v>
      </c>
      <c r="DQ350" s="408">
        <v>0</v>
      </c>
      <c r="DR350" s="408">
        <v>0</v>
      </c>
      <c r="DS350" s="408"/>
      <c r="DT350" s="408"/>
      <c r="DU350" s="408"/>
      <c r="DV350" s="408">
        <v>229482.43724925932</v>
      </c>
      <c r="DW350" s="408">
        <v>0</v>
      </c>
      <c r="DX350" s="408">
        <v>0</v>
      </c>
      <c r="DY350" s="408">
        <v>-141807.27231</v>
      </c>
      <c r="DZ350" s="408">
        <v>0</v>
      </c>
      <c r="EA350" s="408">
        <v>0</v>
      </c>
      <c r="EB350" s="408">
        <v>0</v>
      </c>
      <c r="EC350" s="408">
        <v>-140706.03694155707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265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357</v>
      </c>
      <c r="B351" s="408" t="s">
        <v>2230</v>
      </c>
      <c r="C351" s="408" t="s">
        <v>2227</v>
      </c>
      <c r="D351" s="408" t="s">
        <v>1952</v>
      </c>
      <c r="E351" s="408" t="s">
        <v>993</v>
      </c>
      <c r="F351" s="408" t="s">
        <v>1317</v>
      </c>
      <c r="G351" s="408" t="s">
        <v>1317</v>
      </c>
      <c r="H351" s="408" t="s">
        <v>1317</v>
      </c>
      <c r="I351" s="408" t="s">
        <v>1317</v>
      </c>
      <c r="J351" s="408" t="s">
        <v>2228</v>
      </c>
      <c r="K351" s="828">
        <v>44593</v>
      </c>
      <c r="L351" s="408">
        <v>0</v>
      </c>
      <c r="M351" s="408">
        <v>0</v>
      </c>
      <c r="N351" s="408">
        <v>71.272999999999996</v>
      </c>
      <c r="O351" s="408">
        <v>71.272999999999996</v>
      </c>
      <c r="P351" s="408">
        <v>71.272999999999996</v>
      </c>
      <c r="Q351" s="408">
        <v>71.272999999999996</v>
      </c>
      <c r="R351" s="408"/>
      <c r="S351" s="408">
        <v>739.04</v>
      </c>
      <c r="T351" s="408">
        <v>252.22</v>
      </c>
      <c r="U351" s="408"/>
      <c r="V351" s="408">
        <v>70650.073979999986</v>
      </c>
      <c r="W351" s="408">
        <v>70650.073979999986</v>
      </c>
      <c r="X351" s="408">
        <v>48320.955809999999</v>
      </c>
      <c r="Y351" s="408">
        <v>0</v>
      </c>
      <c r="Z351" s="408">
        <v>4408.4600320200225</v>
      </c>
      <c r="AA351" s="408">
        <v>0</v>
      </c>
      <c r="AB351" s="408">
        <v>0</v>
      </c>
      <c r="AC351" s="408">
        <v>0</v>
      </c>
      <c r="AD351" s="408">
        <v>8802.043083217357</v>
      </c>
      <c r="AE351" s="408">
        <v>36134.539335025169</v>
      </c>
      <c r="AF351" s="408">
        <v>17976.673306385299</v>
      </c>
      <c r="AG351" s="408">
        <v>0</v>
      </c>
      <c r="AH351" s="408">
        <v>0</v>
      </c>
      <c r="AI351" s="408">
        <v>0</v>
      </c>
      <c r="AJ351" s="408">
        <v>0</v>
      </c>
      <c r="AK351" s="408">
        <v>0</v>
      </c>
      <c r="AL351" s="408">
        <v>681.44323303117994</v>
      </c>
      <c r="AM351" s="408"/>
      <c r="AN351" s="408">
        <v>167.0139167831999</v>
      </c>
      <c r="AO351" s="408">
        <v>0</v>
      </c>
      <c r="AP351" s="408">
        <v>0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2479.8904349648506</v>
      </c>
      <c r="BH351" s="408">
        <v>0</v>
      </c>
      <c r="BI351" s="408">
        <v>0</v>
      </c>
      <c r="BJ351" s="408">
        <v>0</v>
      </c>
      <c r="BK351" s="408">
        <v>34166.06</v>
      </c>
      <c r="BL351" s="408">
        <v>118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20456.56374135015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48318.921900000001</v>
      </c>
      <c r="CJ351" s="408">
        <v>-22331.182079999984</v>
      </c>
      <c r="CK351" s="408"/>
      <c r="CL351" s="408"/>
      <c r="CM351" s="408"/>
      <c r="CN351" s="408"/>
      <c r="CO351" s="408">
        <v>-22329.118169999998</v>
      </c>
      <c r="CP351" s="408">
        <v>0</v>
      </c>
      <c r="CQ351" s="408">
        <v>29</v>
      </c>
      <c r="CR351" s="408">
        <v>-173.34997179258062</v>
      </c>
      <c r="CS351" s="408">
        <v>0</v>
      </c>
      <c r="CT351" s="408">
        <v>0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-22.622025848795602</v>
      </c>
      <c r="DA351" s="408">
        <v>0</v>
      </c>
      <c r="DB351" s="408">
        <v>0</v>
      </c>
      <c r="DC351" s="408">
        <v>-2.5202134565915912E-6</v>
      </c>
      <c r="DD351" s="408">
        <v>0</v>
      </c>
      <c r="DE351" s="408">
        <v>0</v>
      </c>
      <c r="DF351" s="408">
        <v>0</v>
      </c>
      <c r="DG351" s="408">
        <v>-3.4766298995236866E-7</v>
      </c>
      <c r="DH351" s="408">
        <v>0</v>
      </c>
      <c r="DI351" s="408">
        <v>-128.18518486760149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-17.119294650997176</v>
      </c>
      <c r="DP351" s="408">
        <v>-5.423463557307997</v>
      </c>
      <c r="DQ351" s="408">
        <v>0</v>
      </c>
      <c r="DR351" s="408">
        <v>0</v>
      </c>
      <c r="DS351" s="408"/>
      <c r="DT351" s="408"/>
      <c r="DU351" s="408"/>
      <c r="DV351" s="408">
        <v>36134.539335025169</v>
      </c>
      <c r="DW351" s="408">
        <v>0</v>
      </c>
      <c r="DX351" s="408">
        <v>0</v>
      </c>
      <c r="DY351" s="408">
        <v>-22329.118169999994</v>
      </c>
      <c r="DZ351" s="408">
        <v>0</v>
      </c>
      <c r="EA351" s="408">
        <v>0</v>
      </c>
      <c r="EB351" s="408">
        <v>0</v>
      </c>
      <c r="EC351" s="408">
        <v>-22155.716522296127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265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358</v>
      </c>
      <c r="B352" s="408" t="s">
        <v>1031</v>
      </c>
      <c r="C352" s="408" t="s">
        <v>2235</v>
      </c>
      <c r="D352" s="408" t="s">
        <v>596</v>
      </c>
      <c r="E352" s="408" t="s">
        <v>993</v>
      </c>
      <c r="F352" s="408" t="s">
        <v>1317</v>
      </c>
      <c r="G352" s="408" t="s">
        <v>1317</v>
      </c>
      <c r="H352" s="408" t="s">
        <v>1317</v>
      </c>
      <c r="I352" s="408" t="s">
        <v>968</v>
      </c>
      <c r="J352" s="408" t="s">
        <v>2228</v>
      </c>
      <c r="K352" s="828">
        <v>44593</v>
      </c>
      <c r="L352" s="408">
        <v>0</v>
      </c>
      <c r="M352" s="408">
        <v>0</v>
      </c>
      <c r="N352" s="408">
        <v>12.782999999999999</v>
      </c>
      <c r="O352" s="408">
        <v>12.782999999999999</v>
      </c>
      <c r="P352" s="408">
        <v>12.782999999999999</v>
      </c>
      <c r="Q352" s="408">
        <v>12.782999999999999</v>
      </c>
      <c r="R352" s="408"/>
      <c r="S352" s="408">
        <v>2641.06</v>
      </c>
      <c r="T352" s="408">
        <v>252.22</v>
      </c>
      <c r="U352" s="408"/>
      <c r="V352" s="408">
        <v>36984.798239999996</v>
      </c>
      <c r="W352" s="408">
        <v>36984.798239999996</v>
      </c>
      <c r="X352" s="408">
        <v>21952.75722</v>
      </c>
      <c r="Y352" s="408">
        <v>0</v>
      </c>
      <c r="Z352" s="408">
        <v>687.88194397179007</v>
      </c>
      <c r="AA352" s="408">
        <v>0</v>
      </c>
      <c r="AB352" s="408">
        <v>0</v>
      </c>
      <c r="AC352" s="408">
        <v>0</v>
      </c>
      <c r="AD352" s="408">
        <v>8280.4054400630666</v>
      </c>
      <c r="AE352" s="408">
        <v>24442.250825171166</v>
      </c>
      <c r="AF352" s="408">
        <v>3224.1636366579669</v>
      </c>
      <c r="AG352" s="408">
        <v>0</v>
      </c>
      <c r="AH352" s="408">
        <v>0</v>
      </c>
      <c r="AI352" s="408">
        <v>0</v>
      </c>
      <c r="AJ352" s="408">
        <v>0</v>
      </c>
      <c r="AK352" s="408">
        <v>0</v>
      </c>
      <c r="AL352" s="408">
        <v>122.21863605906267</v>
      </c>
      <c r="AM352" s="408"/>
      <c r="AN352" s="408">
        <v>30.754698157438696</v>
      </c>
      <c r="AO352" s="408">
        <v>0</v>
      </c>
      <c r="AP352" s="408">
        <v>0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>
        <v>0</v>
      </c>
      <c r="BG352" s="408">
        <v>197.15017998556471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>
        <v>3421.3138166435315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21947.605199999995</v>
      </c>
      <c r="CJ352" s="408">
        <v>-15037.223040000008</v>
      </c>
      <c r="CK352" s="408"/>
      <c r="CL352" s="408"/>
      <c r="CM352" s="408"/>
      <c r="CN352" s="408"/>
      <c r="CO352" s="408">
        <v>-15032.041020000001</v>
      </c>
      <c r="CP352" s="408">
        <v>0</v>
      </c>
      <c r="CQ352" s="408">
        <v>29</v>
      </c>
      <c r="CR352" s="408">
        <v>-45.352067814483235</v>
      </c>
      <c r="CS352" s="408">
        <v>0</v>
      </c>
      <c r="CT352" s="408">
        <v>0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-21.281371169494378</v>
      </c>
      <c r="DA352" s="408">
        <v>0</v>
      </c>
      <c r="DB352" s="408">
        <v>0</v>
      </c>
      <c r="DC352" s="408">
        <v>-4.5200704335002229E-7</v>
      </c>
      <c r="DD352" s="408">
        <v>0</v>
      </c>
      <c r="DE352" s="408">
        <v>0</v>
      </c>
      <c r="DF352" s="408">
        <v>0</v>
      </c>
      <c r="DG352" s="408">
        <v>-2.7639373456622707E-8</v>
      </c>
      <c r="DH352" s="408">
        <v>0</v>
      </c>
      <c r="DI352" s="408">
        <v>-20.00160453189028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-3.0703905198840573</v>
      </c>
      <c r="DP352" s="408">
        <v>-0.99870111356893432</v>
      </c>
      <c r="DQ352" s="408">
        <v>0</v>
      </c>
      <c r="DR352" s="408">
        <v>0</v>
      </c>
      <c r="DS352" s="408"/>
      <c r="DT352" s="408"/>
      <c r="DU352" s="408"/>
      <c r="DV352" s="408">
        <v>24442.250825171166</v>
      </c>
      <c r="DW352" s="408">
        <v>0</v>
      </c>
      <c r="DX352" s="408">
        <v>0</v>
      </c>
      <c r="DY352" s="408">
        <v>-15032.041020000001</v>
      </c>
      <c r="DZ352" s="408">
        <v>0</v>
      </c>
      <c r="EA352" s="408">
        <v>0</v>
      </c>
      <c r="EB352" s="408">
        <v>0</v>
      </c>
      <c r="EC352" s="408">
        <v>-14986.646859627763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265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359</v>
      </c>
      <c r="B353" s="408" t="s">
        <v>2230</v>
      </c>
      <c r="C353" s="408" t="s">
        <v>2235</v>
      </c>
      <c r="D353" s="408" t="s">
        <v>596</v>
      </c>
      <c r="E353" s="408" t="s">
        <v>993</v>
      </c>
      <c r="F353" s="408" t="s">
        <v>1317</v>
      </c>
      <c r="G353" s="408" t="s">
        <v>1317</v>
      </c>
      <c r="H353" s="408" t="s">
        <v>1317</v>
      </c>
      <c r="I353" s="408" t="s">
        <v>968</v>
      </c>
      <c r="J353" s="408" t="s">
        <v>2228</v>
      </c>
      <c r="K353" s="828">
        <v>44593</v>
      </c>
      <c r="L353" s="408">
        <v>0</v>
      </c>
      <c r="M353" s="408">
        <v>0</v>
      </c>
      <c r="N353" s="408">
        <v>1.1479999999999999</v>
      </c>
      <c r="O353" s="408">
        <v>1.1479999999999999</v>
      </c>
      <c r="P353" s="408">
        <v>1.1479999999999999</v>
      </c>
      <c r="Q353" s="408">
        <v>1.1479999999999999</v>
      </c>
      <c r="R353" s="408"/>
      <c r="S353" s="408">
        <v>2641.06</v>
      </c>
      <c r="T353" s="408">
        <v>252.22</v>
      </c>
      <c r="U353" s="408"/>
      <c r="V353" s="408">
        <v>3321.4854399999995</v>
      </c>
      <c r="W353" s="408">
        <v>3321.4854399999995</v>
      </c>
      <c r="X353" s="408">
        <v>1971.5063199999997</v>
      </c>
      <c r="Y353" s="408">
        <v>0</v>
      </c>
      <c r="Z353" s="408">
        <v>61.776458709193065</v>
      </c>
      <c r="AA353" s="408">
        <v>0</v>
      </c>
      <c r="AB353" s="408">
        <v>0</v>
      </c>
      <c r="AC353" s="408">
        <v>0</v>
      </c>
      <c r="AD353" s="408">
        <v>743.63650513904395</v>
      </c>
      <c r="AE353" s="408">
        <v>2195.0797111238753</v>
      </c>
      <c r="AF353" s="408">
        <v>289.5517370635489</v>
      </c>
      <c r="AG353" s="408">
        <v>0</v>
      </c>
      <c r="AH353" s="408">
        <v>0</v>
      </c>
      <c r="AI353" s="408">
        <v>0</v>
      </c>
      <c r="AJ353" s="408">
        <v>0</v>
      </c>
      <c r="AK353" s="408">
        <v>0</v>
      </c>
      <c r="AL353" s="408">
        <v>10.976061503231161</v>
      </c>
      <c r="AM353" s="408"/>
      <c r="AN353" s="408">
        <v>2.7619802460095144</v>
      </c>
      <c r="AO353" s="408">
        <v>0</v>
      </c>
      <c r="AP353" s="408">
        <v>0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>
        <v>0</v>
      </c>
      <c r="BG353" s="408">
        <v>17.705421780757906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307.25715884430679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1974.9409999999998</v>
      </c>
      <c r="CJ353" s="408">
        <v>-1346.5744400000003</v>
      </c>
      <c r="CK353" s="408"/>
      <c r="CL353" s="408"/>
      <c r="CM353" s="408"/>
      <c r="CN353" s="408"/>
      <c r="CO353" s="408">
        <v>-1349.97912</v>
      </c>
      <c r="CP353" s="408">
        <v>0</v>
      </c>
      <c r="CQ353" s="408">
        <v>29</v>
      </c>
      <c r="CR353" s="408">
        <v>-4.0729229328817382</v>
      </c>
      <c r="CS353" s="408">
        <v>0</v>
      </c>
      <c r="CT353" s="408">
        <v>0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-1.9112113042774581</v>
      </c>
      <c r="DA353" s="408">
        <v>0</v>
      </c>
      <c r="DB353" s="408">
        <v>0</v>
      </c>
      <c r="DC353" s="408">
        <v>-4.0593306493974524E-8</v>
      </c>
      <c r="DD353" s="408">
        <v>0</v>
      </c>
      <c r="DE353" s="408">
        <v>0</v>
      </c>
      <c r="DF353" s="408">
        <v>0</v>
      </c>
      <c r="DG353" s="408">
        <v>-2.4822064403906552E-9</v>
      </c>
      <c r="DH353" s="408">
        <v>0</v>
      </c>
      <c r="DI353" s="408">
        <v>-1.7962795902847546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-0.2757418694224274</v>
      </c>
      <c r="DP353" s="408">
        <v>-8.9690125821570543E-2</v>
      </c>
      <c r="DQ353" s="408">
        <v>0</v>
      </c>
      <c r="DR353" s="408">
        <v>0</v>
      </c>
      <c r="DS353" s="408"/>
      <c r="DT353" s="408"/>
      <c r="DU353" s="408"/>
      <c r="DV353" s="408">
        <v>2195.0797111238753</v>
      </c>
      <c r="DW353" s="408">
        <v>0</v>
      </c>
      <c r="DX353" s="408">
        <v>0</v>
      </c>
      <c r="DY353" s="408">
        <v>-1349.97912</v>
      </c>
      <c r="DZ353" s="408">
        <v>0</v>
      </c>
      <c r="EA353" s="408">
        <v>0</v>
      </c>
      <c r="EB353" s="408">
        <v>0</v>
      </c>
      <c r="EC353" s="408">
        <v>-1345.9024168702708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265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360</v>
      </c>
      <c r="B354" s="408" t="s">
        <v>1031</v>
      </c>
      <c r="C354" s="408" t="s">
        <v>2235</v>
      </c>
      <c r="D354" s="408" t="s">
        <v>596</v>
      </c>
      <c r="E354" s="408" t="s">
        <v>993</v>
      </c>
      <c r="F354" s="408" t="s">
        <v>1317</v>
      </c>
      <c r="G354" s="408" t="s">
        <v>1317</v>
      </c>
      <c r="H354" s="408" t="s">
        <v>1317</v>
      </c>
      <c r="I354" s="408" t="s">
        <v>2236</v>
      </c>
      <c r="J354" s="408" t="s">
        <v>2228</v>
      </c>
      <c r="K354" s="828">
        <v>44593</v>
      </c>
      <c r="L354" s="408">
        <v>0</v>
      </c>
      <c r="M354" s="408">
        <v>0</v>
      </c>
      <c r="N354" s="408">
        <v>275.154</v>
      </c>
      <c r="O354" s="408">
        <v>275.154</v>
      </c>
      <c r="P354" s="408">
        <v>275.154</v>
      </c>
      <c r="Q354" s="408">
        <v>275.154</v>
      </c>
      <c r="R354" s="408"/>
      <c r="S354" s="408">
        <v>81.2</v>
      </c>
      <c r="T354" s="408">
        <v>252.22</v>
      </c>
      <c r="U354" s="408"/>
      <c r="V354" s="408">
        <v>91741.846679999988</v>
      </c>
      <c r="W354" s="408">
        <v>91741.846679999988</v>
      </c>
      <c r="X354" s="408">
        <v>91224.557159999997</v>
      </c>
      <c r="Y354" s="408">
        <v>0</v>
      </c>
      <c r="Z354" s="408">
        <v>14806.654808074312</v>
      </c>
      <c r="AA354" s="408">
        <v>0</v>
      </c>
      <c r="AB354" s="408">
        <v>0</v>
      </c>
      <c r="AC354" s="408">
        <v>0</v>
      </c>
      <c r="AD354" s="408">
        <v>0</v>
      </c>
      <c r="AE354" s="408">
        <v>0</v>
      </c>
      <c r="AF354" s="408">
        <v>69400.103362355178</v>
      </c>
      <c r="AG354" s="408">
        <v>0</v>
      </c>
      <c r="AH354" s="408">
        <v>0</v>
      </c>
      <c r="AI354" s="408">
        <v>0</v>
      </c>
      <c r="AJ354" s="408">
        <v>0</v>
      </c>
      <c r="AK354" s="408">
        <v>0</v>
      </c>
      <c r="AL354" s="408">
        <v>2630.7554240941354</v>
      </c>
      <c r="AM354" s="408"/>
      <c r="AN354" s="408">
        <v>661.99469739590756</v>
      </c>
      <c r="AO354" s="408">
        <v>0</v>
      </c>
      <c r="AP354" s="408">
        <v>0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4243.6564674761848</v>
      </c>
      <c r="BH354" s="408">
        <v>0</v>
      </c>
      <c r="BI354" s="408">
        <v>0</v>
      </c>
      <c r="BJ354" s="408">
        <v>0</v>
      </c>
      <c r="BK354" s="408">
        <v>0</v>
      </c>
      <c r="BL354" s="408">
        <v>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73643.759829831368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91223.231</v>
      </c>
      <c r="CJ354" s="408">
        <v>-518.6456799999869</v>
      </c>
      <c r="CK354" s="408"/>
      <c r="CL354" s="408"/>
      <c r="CM354" s="408"/>
      <c r="CN354" s="408"/>
      <c r="CO354" s="408">
        <v>-517.28952000000265</v>
      </c>
      <c r="CP354" s="408">
        <v>0</v>
      </c>
      <c r="CQ354" s="408">
        <v>29</v>
      </c>
      <c r="CR354" s="408">
        <v>-518.12160405660688</v>
      </c>
      <c r="CS354" s="408">
        <v>0</v>
      </c>
      <c r="CT354" s="408">
        <v>0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0</v>
      </c>
      <c r="DA354" s="408">
        <v>0</v>
      </c>
      <c r="DB354" s="408">
        <v>0</v>
      </c>
      <c r="DC354" s="408">
        <v>-9.7294541774317622E-6</v>
      </c>
      <c r="DD354" s="408">
        <v>0</v>
      </c>
      <c r="DE354" s="408">
        <v>0</v>
      </c>
      <c r="DF354" s="408">
        <v>0</v>
      </c>
      <c r="DG354" s="408">
        <v>-5.9493777371244505E-7</v>
      </c>
      <c r="DH354" s="408">
        <v>0</v>
      </c>
      <c r="DI354" s="408">
        <v>-430.53442019617796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-66.090137926009447</v>
      </c>
      <c r="DP354" s="408">
        <v>-21.497035610024682</v>
      </c>
      <c r="DQ354" s="408">
        <v>0</v>
      </c>
      <c r="DR354" s="408">
        <v>0</v>
      </c>
      <c r="DS354" s="408"/>
      <c r="DT354" s="408"/>
      <c r="DU354" s="408"/>
      <c r="DV354" s="408">
        <v>0</v>
      </c>
      <c r="DW354" s="408">
        <v>0</v>
      </c>
      <c r="DX354" s="408">
        <v>0</v>
      </c>
      <c r="DY354" s="408">
        <v>-517.28952000000208</v>
      </c>
      <c r="DZ354" s="408">
        <v>0</v>
      </c>
      <c r="EA354" s="408">
        <v>0</v>
      </c>
      <c r="EB354" s="408">
        <v>0</v>
      </c>
      <c r="EC354" s="408">
        <v>0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265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361</v>
      </c>
      <c r="B355" s="408" t="s">
        <v>2230</v>
      </c>
      <c r="C355" s="408" t="s">
        <v>2235</v>
      </c>
      <c r="D355" s="408" t="s">
        <v>596</v>
      </c>
      <c r="E355" s="408" t="s">
        <v>993</v>
      </c>
      <c r="F355" s="408" t="s">
        <v>1317</v>
      </c>
      <c r="G355" s="408" t="s">
        <v>1317</v>
      </c>
      <c r="H355" s="408" t="s">
        <v>1317</v>
      </c>
      <c r="I355" s="408" t="s">
        <v>2236</v>
      </c>
      <c r="J355" s="408" t="s">
        <v>2228</v>
      </c>
      <c r="K355" s="828">
        <v>44593</v>
      </c>
      <c r="L355" s="408">
        <v>0</v>
      </c>
      <c r="M355" s="408">
        <v>0</v>
      </c>
      <c r="N355" s="408">
        <v>6.8579999999999997</v>
      </c>
      <c r="O355" s="408">
        <v>6.8579999999999997</v>
      </c>
      <c r="P355" s="408">
        <v>6.8579999999999997</v>
      </c>
      <c r="Q355" s="408">
        <v>6.8579999999999997</v>
      </c>
      <c r="R355" s="408"/>
      <c r="S355" s="408">
        <v>81.2</v>
      </c>
      <c r="T355" s="408">
        <v>252.22</v>
      </c>
      <c r="U355" s="408"/>
      <c r="V355" s="408">
        <v>2286.5943600000001</v>
      </c>
      <c r="W355" s="408">
        <v>2286.5943600000001</v>
      </c>
      <c r="X355" s="408">
        <v>2273.7013199999997</v>
      </c>
      <c r="Y355" s="408">
        <v>0</v>
      </c>
      <c r="Z355" s="408">
        <v>369.04438486728753</v>
      </c>
      <c r="AA355" s="408">
        <v>0</v>
      </c>
      <c r="AB355" s="408">
        <v>0</v>
      </c>
      <c r="AC355" s="408">
        <v>0</v>
      </c>
      <c r="AD355" s="408">
        <v>0</v>
      </c>
      <c r="AE355" s="408">
        <v>0</v>
      </c>
      <c r="AF355" s="408">
        <v>1729.7437393569849</v>
      </c>
      <c r="AG355" s="408">
        <v>0</v>
      </c>
      <c r="AH355" s="408">
        <v>0</v>
      </c>
      <c r="AI355" s="408">
        <v>0</v>
      </c>
      <c r="AJ355" s="408">
        <v>0</v>
      </c>
      <c r="AK355" s="408">
        <v>0</v>
      </c>
      <c r="AL355" s="408">
        <v>65.569538143866993</v>
      </c>
      <c r="AM355" s="408"/>
      <c r="AN355" s="408">
        <v>16.499704291927916</v>
      </c>
      <c r="AO355" s="408">
        <v>0</v>
      </c>
      <c r="AP355" s="408">
        <v>0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105.7698454463743</v>
      </c>
      <c r="BH355" s="408">
        <v>0</v>
      </c>
      <c r="BI355" s="408">
        <v>0</v>
      </c>
      <c r="BJ355" s="408">
        <v>0</v>
      </c>
      <c r="BK355" s="408">
        <v>0</v>
      </c>
      <c r="BL355" s="408">
        <v>0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1835.5135848033592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2274.3643999999999</v>
      </c>
      <c r="CJ355" s="408">
        <v>-12.259959999999865</v>
      </c>
      <c r="CK355" s="408"/>
      <c r="CL355" s="408"/>
      <c r="CM355" s="408"/>
      <c r="CN355" s="408"/>
      <c r="CO355" s="408">
        <v>-12.893040000000065</v>
      </c>
      <c r="CP355" s="408">
        <v>0</v>
      </c>
      <c r="CQ355" s="408">
        <v>29</v>
      </c>
      <c r="CR355" s="408">
        <v>-12.913779049623372</v>
      </c>
      <c r="CS355" s="408">
        <v>0</v>
      </c>
      <c r="CT355" s="408">
        <v>0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0</v>
      </c>
      <c r="DA355" s="408">
        <v>0</v>
      </c>
      <c r="DB355" s="408">
        <v>0</v>
      </c>
      <c r="DC355" s="408">
        <v>-2.4249902708106674E-7</v>
      </c>
      <c r="DD355" s="408">
        <v>0</v>
      </c>
      <c r="DE355" s="408">
        <v>0</v>
      </c>
      <c r="DF355" s="408">
        <v>0</v>
      </c>
      <c r="DG355" s="408">
        <v>-1.4828358985141676E-8</v>
      </c>
      <c r="DH355" s="408">
        <v>0</v>
      </c>
      <c r="DI355" s="408">
        <v>-10.730736437432824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-1.6472454185531475</v>
      </c>
      <c r="DP355" s="408">
        <v>-0.53579693631039227</v>
      </c>
      <c r="DQ355" s="408">
        <v>0</v>
      </c>
      <c r="DR355" s="408">
        <v>0</v>
      </c>
      <c r="DS355" s="408"/>
      <c r="DT355" s="408"/>
      <c r="DU355" s="408"/>
      <c r="DV355" s="408">
        <v>0</v>
      </c>
      <c r="DW355" s="408">
        <v>0</v>
      </c>
      <c r="DX355" s="408">
        <v>0</v>
      </c>
      <c r="DY355" s="408">
        <v>-12.893040000000042</v>
      </c>
      <c r="DZ355" s="408">
        <v>0</v>
      </c>
      <c r="EA355" s="408">
        <v>0</v>
      </c>
      <c r="EB355" s="408">
        <v>0</v>
      </c>
      <c r="EC355" s="408">
        <v>0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265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362</v>
      </c>
      <c r="B356" s="408" t="s">
        <v>1031</v>
      </c>
      <c r="C356" s="408" t="s">
        <v>2235</v>
      </c>
      <c r="D356" s="408" t="s">
        <v>596</v>
      </c>
      <c r="E356" s="408" t="s">
        <v>993</v>
      </c>
      <c r="F356" s="408" t="s">
        <v>1317</v>
      </c>
      <c r="G356" s="408" t="s">
        <v>1317</v>
      </c>
      <c r="H356" s="408" t="s">
        <v>1317</v>
      </c>
      <c r="I356" s="408" t="s">
        <v>1317</v>
      </c>
      <c r="J356" s="408" t="s">
        <v>2228</v>
      </c>
      <c r="K356" s="828">
        <v>44593</v>
      </c>
      <c r="L356" s="408">
        <v>2680</v>
      </c>
      <c r="M356" s="408">
        <v>2680</v>
      </c>
      <c r="N356" s="408">
        <v>0</v>
      </c>
      <c r="O356" s="408">
        <v>0</v>
      </c>
      <c r="P356" s="408">
        <v>0</v>
      </c>
      <c r="Q356" s="408">
        <v>0</v>
      </c>
      <c r="R356" s="408">
        <v>74.44</v>
      </c>
      <c r="S356" s="408"/>
      <c r="T356" s="408"/>
      <c r="U356" s="408">
        <v>199499.19999999998</v>
      </c>
      <c r="V356" s="408"/>
      <c r="W356" s="408">
        <v>199499.19999999998</v>
      </c>
      <c r="X356" s="408">
        <v>121725.6</v>
      </c>
      <c r="Y356" s="408">
        <v>0</v>
      </c>
      <c r="Z356" s="408">
        <v>0</v>
      </c>
      <c r="AA356" s="408">
        <v>0</v>
      </c>
      <c r="AB356" s="408">
        <v>0</v>
      </c>
      <c r="AC356" s="408">
        <v>0</v>
      </c>
      <c r="AD356" s="408">
        <v>72941.807981610822</v>
      </c>
      <c r="AE356" s="408">
        <v>126553.72166359758</v>
      </c>
      <c r="AF356" s="408"/>
      <c r="AG356" s="408"/>
      <c r="AH356" s="408"/>
      <c r="AI356" s="408">
        <v>0</v>
      </c>
      <c r="AJ356" s="408">
        <v>0</v>
      </c>
      <c r="AK356" s="408">
        <v>0</v>
      </c>
      <c r="AL356" s="408">
        <v>0</v>
      </c>
      <c r="AM356" s="408"/>
      <c r="AN356" s="408">
        <v>0</v>
      </c>
      <c r="AO356" s="408">
        <v>0</v>
      </c>
      <c r="AP356" s="408">
        <v>0</v>
      </c>
      <c r="AQ356" s="408">
        <v>0</v>
      </c>
      <c r="AR356" s="408">
        <v>0</v>
      </c>
      <c r="AS356" s="408"/>
      <c r="AT356" s="408"/>
      <c r="AU356" s="408">
        <v>0</v>
      </c>
      <c r="AV356" s="408">
        <v>0</v>
      </c>
      <c r="AW356" s="408">
        <v>0</v>
      </c>
      <c r="AX356" s="408"/>
      <c r="AY356" s="408"/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/>
      <c r="BG356" s="408">
        <v>0</v>
      </c>
      <c r="BH356" s="408">
        <v>0</v>
      </c>
      <c r="BI356" s="408">
        <v>0</v>
      </c>
      <c r="BJ356" s="408">
        <v>0</v>
      </c>
      <c r="BK356" s="408">
        <v>88008.58</v>
      </c>
      <c r="BL356" s="408">
        <v>15</v>
      </c>
      <c r="BM356" s="408"/>
      <c r="BN356" s="408"/>
      <c r="BO356" s="408"/>
      <c r="BP356" s="408"/>
      <c r="BQ356" s="408"/>
      <c r="BR356" s="408"/>
      <c r="BS356" s="408"/>
      <c r="BT356" s="408"/>
      <c r="BU356" s="408"/>
      <c r="BV356" s="408">
        <v>0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121725.6</v>
      </c>
      <c r="CJ356" s="408">
        <v>-77773.63</v>
      </c>
      <c r="CK356" s="408"/>
      <c r="CL356" s="408"/>
      <c r="CM356" s="408"/>
      <c r="CN356" s="408"/>
      <c r="CO356" s="408">
        <v>-77773.599999999991</v>
      </c>
      <c r="CP356" s="408">
        <v>0</v>
      </c>
      <c r="CQ356" s="408">
        <v>29</v>
      </c>
      <c r="CR356" s="408">
        <v>-187.46686990950548</v>
      </c>
      <c r="CS356" s="408">
        <v>0</v>
      </c>
      <c r="CT356" s="408">
        <v>0</v>
      </c>
      <c r="CU356" s="408">
        <v>0</v>
      </c>
      <c r="CV356" s="408">
        <v>0</v>
      </c>
      <c r="CW356" s="408"/>
      <c r="CX356" s="408"/>
      <c r="CY356" s="408"/>
      <c r="CZ356" s="408">
        <v>-187.46686990950548</v>
      </c>
      <c r="DA356" s="408">
        <v>0</v>
      </c>
      <c r="DB356" s="408">
        <v>0</v>
      </c>
      <c r="DC356" s="408"/>
      <c r="DD356" s="408"/>
      <c r="DE356" s="408">
        <v>0</v>
      </c>
      <c r="DF356" s="408">
        <v>0</v>
      </c>
      <c r="DG356" s="408">
        <v>0</v>
      </c>
      <c r="DH356" s="408">
        <v>0</v>
      </c>
      <c r="DI356" s="408">
        <v>0</v>
      </c>
      <c r="DJ356" s="408"/>
      <c r="DK356" s="408">
        <v>0</v>
      </c>
      <c r="DL356" s="408">
        <v>0</v>
      </c>
      <c r="DM356" s="408"/>
      <c r="DN356" s="408">
        <v>0</v>
      </c>
      <c r="DO356" s="408">
        <v>0</v>
      </c>
      <c r="DP356" s="408">
        <v>0</v>
      </c>
      <c r="DQ356" s="408">
        <v>0</v>
      </c>
      <c r="DR356" s="408">
        <v>0</v>
      </c>
      <c r="DS356" s="408"/>
      <c r="DT356" s="408"/>
      <c r="DU356" s="408">
        <v>126553.72166359758</v>
      </c>
      <c r="DV356" s="408"/>
      <c r="DW356" s="408">
        <v>0</v>
      </c>
      <c r="DX356" s="408">
        <v>0</v>
      </c>
      <c r="DY356" s="408">
        <v>-77773.599999999977</v>
      </c>
      <c r="DZ356" s="408"/>
      <c r="EA356" s="408">
        <v>0</v>
      </c>
      <c r="EB356" s="408"/>
      <c r="EC356" s="408">
        <v>-77595.797085544473</v>
      </c>
      <c r="ED356" s="408"/>
      <c r="EE356" s="408">
        <v>0</v>
      </c>
      <c r="EF356" s="408">
        <v>0</v>
      </c>
      <c r="EG356" s="408"/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/>
      <c r="EN356" s="408"/>
      <c r="EO356" s="408">
        <v>0</v>
      </c>
      <c r="EP356" s="408">
        <v>0</v>
      </c>
      <c r="EQ356" s="408"/>
      <c r="ER356" s="408">
        <v>0</v>
      </c>
      <c r="ES356" s="408"/>
      <c r="ET356" s="408">
        <v>0</v>
      </c>
      <c r="EU356" s="408"/>
      <c r="EV356" s="408">
        <v>265</v>
      </c>
      <c r="EW356" s="408"/>
      <c r="EX356" s="408"/>
      <c r="EY356" s="408"/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363</v>
      </c>
      <c r="B357" s="408" t="s">
        <v>2230</v>
      </c>
      <c r="C357" s="408" t="s">
        <v>2235</v>
      </c>
      <c r="D357" s="408" t="s">
        <v>596</v>
      </c>
      <c r="E357" s="408" t="s">
        <v>993</v>
      </c>
      <c r="F357" s="408" t="s">
        <v>1317</v>
      </c>
      <c r="G357" s="408" t="s">
        <v>1317</v>
      </c>
      <c r="H357" s="408" t="s">
        <v>1317</v>
      </c>
      <c r="I357" s="408" t="s">
        <v>1317</v>
      </c>
      <c r="J357" s="408" t="s">
        <v>2228</v>
      </c>
      <c r="K357" s="828">
        <v>44593</v>
      </c>
      <c r="L357" s="408">
        <v>144</v>
      </c>
      <c r="M357" s="408">
        <v>144</v>
      </c>
      <c r="N357" s="408">
        <v>0</v>
      </c>
      <c r="O357" s="408">
        <v>0</v>
      </c>
      <c r="P357" s="408">
        <v>0</v>
      </c>
      <c r="Q357" s="408">
        <v>0</v>
      </c>
      <c r="R357" s="408">
        <v>74.44</v>
      </c>
      <c r="S357" s="408"/>
      <c r="T357" s="408"/>
      <c r="U357" s="408">
        <v>10719.36</v>
      </c>
      <c r="V357" s="408"/>
      <c r="W357" s="408">
        <v>10719.36</v>
      </c>
      <c r="X357" s="408">
        <v>6540.4800000000005</v>
      </c>
      <c r="Y357" s="408">
        <v>0</v>
      </c>
      <c r="Z357" s="408">
        <v>0</v>
      </c>
      <c r="AA357" s="408">
        <v>0</v>
      </c>
      <c r="AB357" s="408">
        <v>0</v>
      </c>
      <c r="AC357" s="408">
        <v>0</v>
      </c>
      <c r="AD357" s="408">
        <v>3919.2613243850592</v>
      </c>
      <c r="AE357" s="408">
        <v>6799.9014625216605</v>
      </c>
      <c r="AF357" s="408"/>
      <c r="AG357" s="408"/>
      <c r="AH357" s="408"/>
      <c r="AI357" s="408">
        <v>0</v>
      </c>
      <c r="AJ357" s="408">
        <v>0</v>
      </c>
      <c r="AK357" s="408">
        <v>0</v>
      </c>
      <c r="AL357" s="408">
        <v>0</v>
      </c>
      <c r="AM357" s="408"/>
      <c r="AN357" s="408">
        <v>0</v>
      </c>
      <c r="AO357" s="408">
        <v>0</v>
      </c>
      <c r="AP357" s="408">
        <v>0</v>
      </c>
      <c r="AQ357" s="408">
        <v>0</v>
      </c>
      <c r="AR357" s="408">
        <v>0</v>
      </c>
      <c r="AS357" s="408"/>
      <c r="AT357" s="408"/>
      <c r="AU357" s="408">
        <v>0</v>
      </c>
      <c r="AV357" s="408">
        <v>0</v>
      </c>
      <c r="AW357" s="408">
        <v>0</v>
      </c>
      <c r="AX357" s="408"/>
      <c r="AY357" s="408"/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0</v>
      </c>
      <c r="BF357" s="408"/>
      <c r="BG357" s="408">
        <v>0</v>
      </c>
      <c r="BH357" s="408">
        <v>0</v>
      </c>
      <c r="BI357" s="408">
        <v>0</v>
      </c>
      <c r="BJ357" s="408">
        <v>0</v>
      </c>
      <c r="BK357" s="408">
        <v>4409.0200000000004</v>
      </c>
      <c r="BL357" s="408">
        <v>1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>
        <v>0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6540.4800000000005</v>
      </c>
      <c r="CJ357" s="408">
        <v>-4178.9100000000008</v>
      </c>
      <c r="CK357" s="408"/>
      <c r="CL357" s="408"/>
      <c r="CM357" s="408"/>
      <c r="CN357" s="408"/>
      <c r="CO357" s="408">
        <v>-4178.8799999999992</v>
      </c>
      <c r="CP357" s="408">
        <v>0</v>
      </c>
      <c r="CQ357" s="408">
        <v>29</v>
      </c>
      <c r="CR357" s="408">
        <v>-10.072846741406465</v>
      </c>
      <c r="CS357" s="408">
        <v>0</v>
      </c>
      <c r="CT357" s="408">
        <v>0</v>
      </c>
      <c r="CU357" s="408">
        <v>0</v>
      </c>
      <c r="CV357" s="408">
        <v>0</v>
      </c>
      <c r="CW357" s="408"/>
      <c r="CX357" s="408"/>
      <c r="CY357" s="408"/>
      <c r="CZ357" s="408">
        <v>-10.072846741406465</v>
      </c>
      <c r="DA357" s="408">
        <v>0</v>
      </c>
      <c r="DB357" s="408">
        <v>0</v>
      </c>
      <c r="DC357" s="408"/>
      <c r="DD357" s="408"/>
      <c r="DE357" s="408">
        <v>0</v>
      </c>
      <c r="DF357" s="408">
        <v>0</v>
      </c>
      <c r="DG357" s="408">
        <v>0</v>
      </c>
      <c r="DH357" s="408">
        <v>0</v>
      </c>
      <c r="DI357" s="408">
        <v>0</v>
      </c>
      <c r="DJ357" s="408"/>
      <c r="DK357" s="408">
        <v>0</v>
      </c>
      <c r="DL357" s="408">
        <v>0</v>
      </c>
      <c r="DM357" s="408"/>
      <c r="DN357" s="408">
        <v>0</v>
      </c>
      <c r="DO357" s="408">
        <v>0</v>
      </c>
      <c r="DP357" s="408">
        <v>0</v>
      </c>
      <c r="DQ357" s="408">
        <v>0</v>
      </c>
      <c r="DR357" s="408">
        <v>0</v>
      </c>
      <c r="DS357" s="408"/>
      <c r="DT357" s="408"/>
      <c r="DU357" s="408">
        <v>6799.9014625216605</v>
      </c>
      <c r="DV357" s="408"/>
      <c r="DW357" s="408">
        <v>0</v>
      </c>
      <c r="DX357" s="408">
        <v>0</v>
      </c>
      <c r="DY357" s="408">
        <v>-4178.88</v>
      </c>
      <c r="DZ357" s="408"/>
      <c r="EA357" s="408">
        <v>0</v>
      </c>
      <c r="EB357" s="408"/>
      <c r="EC357" s="408">
        <v>-4169.3264105665676</v>
      </c>
      <c r="ED357" s="408"/>
      <c r="EE357" s="408">
        <v>0</v>
      </c>
      <c r="EF357" s="408">
        <v>0</v>
      </c>
      <c r="EG357" s="408"/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/>
      <c r="EN357" s="408"/>
      <c r="EO357" s="408">
        <v>0</v>
      </c>
      <c r="EP357" s="408">
        <v>0</v>
      </c>
      <c r="EQ357" s="408"/>
      <c r="ER357" s="408">
        <v>0</v>
      </c>
      <c r="ES357" s="408"/>
      <c r="ET357" s="408">
        <v>0</v>
      </c>
      <c r="EU357" s="408"/>
      <c r="EV357" s="408">
        <v>265</v>
      </c>
      <c r="EW357" s="408"/>
      <c r="EX357" s="408"/>
      <c r="EY357" s="408"/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364</v>
      </c>
      <c r="B358" s="408" t="s">
        <v>1031</v>
      </c>
      <c r="C358" s="408" t="s">
        <v>2227</v>
      </c>
      <c r="D358" s="408" t="s">
        <v>2237</v>
      </c>
      <c r="E358" s="408" t="s">
        <v>969</v>
      </c>
      <c r="F358" s="408" t="s">
        <v>1317</v>
      </c>
      <c r="G358" s="408" t="s">
        <v>1317</v>
      </c>
      <c r="H358" s="408" t="s">
        <v>1317</v>
      </c>
      <c r="I358" s="408" t="s">
        <v>1317</v>
      </c>
      <c r="J358" s="408" t="s">
        <v>2228</v>
      </c>
      <c r="K358" s="828">
        <v>44593</v>
      </c>
      <c r="L358" s="408">
        <v>0</v>
      </c>
      <c r="M358" s="408">
        <v>0</v>
      </c>
      <c r="N358" s="408">
        <v>5582.9470000000001</v>
      </c>
      <c r="O358" s="408">
        <v>5582.9470000000001</v>
      </c>
      <c r="P358" s="408">
        <v>5582.9470000000001</v>
      </c>
      <c r="Q358" s="408">
        <v>5582.9470000000001</v>
      </c>
      <c r="R358" s="408"/>
      <c r="S358" s="408">
        <v>739.04</v>
      </c>
      <c r="T358" s="408">
        <v>252.22</v>
      </c>
      <c r="U358" s="408"/>
      <c r="V358" s="408">
        <v>5534152.0432200003</v>
      </c>
      <c r="W358" s="408">
        <v>5534152.0432200003</v>
      </c>
      <c r="X358" s="408">
        <v>3785070.5775899999</v>
      </c>
      <c r="Y358" s="408">
        <v>0</v>
      </c>
      <c r="Z358" s="408">
        <v>345322.8952111752</v>
      </c>
      <c r="AA358" s="408">
        <v>0</v>
      </c>
      <c r="AB358" s="408">
        <v>0</v>
      </c>
      <c r="AC358" s="408">
        <v>0</v>
      </c>
      <c r="AD358" s="408">
        <v>689480.44877189246</v>
      </c>
      <c r="AE358" s="408">
        <v>2830485.8498570397</v>
      </c>
      <c r="AF358" s="408">
        <v>1408146.3430171858</v>
      </c>
      <c r="AG358" s="408">
        <v>0</v>
      </c>
      <c r="AH358" s="408">
        <v>0</v>
      </c>
      <c r="AI358" s="408">
        <v>0</v>
      </c>
      <c r="AJ358" s="408">
        <v>0</v>
      </c>
      <c r="AK358" s="408">
        <v>0</v>
      </c>
      <c r="AL358" s="408">
        <v>53378.719199721178</v>
      </c>
      <c r="AM358" s="408"/>
      <c r="AN358" s="408">
        <v>13082.511549436893</v>
      </c>
      <c r="AO358" s="408">
        <v>0</v>
      </c>
      <c r="AP358" s="408">
        <v>0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>
        <v>0</v>
      </c>
      <c r="BG358" s="408">
        <v>194254.44227429331</v>
      </c>
      <c r="BH358" s="408">
        <v>0</v>
      </c>
      <c r="BI358" s="408">
        <v>0</v>
      </c>
      <c r="BJ358" s="408">
        <v>0</v>
      </c>
      <c r="BK358" s="408">
        <v>125235.05</v>
      </c>
      <c r="BL358" s="408">
        <v>12170</v>
      </c>
      <c r="BM358" s="408"/>
      <c r="BN358" s="408"/>
      <c r="BO358" s="408"/>
      <c r="BP358" s="408"/>
      <c r="BQ358" s="408"/>
      <c r="BR358" s="408">
        <v>454172.73844999983</v>
      </c>
      <c r="BS358" s="408"/>
      <c r="BT358" s="408"/>
      <c r="BU358" s="408"/>
      <c r="BV358" s="408">
        <v>1602400.7852914792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3330899.6289999997</v>
      </c>
      <c r="CJ358" s="408">
        <v>-1539160.8985700002</v>
      </c>
      <c r="CK358" s="408"/>
      <c r="CL358" s="408"/>
      <c r="CM358" s="408"/>
      <c r="CN358" s="408"/>
      <c r="CO358" s="408">
        <v>-1749081.4656299998</v>
      </c>
      <c r="CP358" s="408">
        <v>0</v>
      </c>
      <c r="CQ358" s="408">
        <v>29</v>
      </c>
      <c r="CR358" s="408">
        <v>-13578.826553806663</v>
      </c>
      <c r="CS358" s="408">
        <v>0</v>
      </c>
      <c r="CT358" s="408">
        <v>0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-1772.0254703246756</v>
      </c>
      <c r="DA358" s="408">
        <v>0</v>
      </c>
      <c r="DB358" s="408">
        <v>0</v>
      </c>
      <c r="DC358" s="408">
        <v>-1.9741291180253029E-4</v>
      </c>
      <c r="DD358" s="408">
        <v>0</v>
      </c>
      <c r="DE358" s="408">
        <v>0</v>
      </c>
      <c r="DF358" s="408">
        <v>0</v>
      </c>
      <c r="DG358" s="408">
        <v>-2.7233065338805318E-5</v>
      </c>
      <c r="DH358" s="408">
        <v>0</v>
      </c>
      <c r="DI358" s="408">
        <v>-10040.984570609115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-1340.9862740995959</v>
      </c>
      <c r="DP358" s="408">
        <v>-424.83001412711747</v>
      </c>
      <c r="DQ358" s="408">
        <v>0</v>
      </c>
      <c r="DR358" s="408">
        <v>0</v>
      </c>
      <c r="DS358" s="408"/>
      <c r="DT358" s="408"/>
      <c r="DU358" s="408"/>
      <c r="DV358" s="408">
        <v>2830485.8498570397</v>
      </c>
      <c r="DW358" s="408">
        <v>0</v>
      </c>
      <c r="DX358" s="408">
        <v>0</v>
      </c>
      <c r="DY358" s="408">
        <v>-1749081.46563</v>
      </c>
      <c r="DZ358" s="408">
        <v>0</v>
      </c>
      <c r="EA358" s="408">
        <v>0</v>
      </c>
      <c r="EB358" s="408">
        <v>0</v>
      </c>
      <c r="EC358" s="408">
        <v>-1735498.5912056966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265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365</v>
      </c>
      <c r="B359" s="408" t="s">
        <v>2230</v>
      </c>
      <c r="C359" s="408" t="s">
        <v>2227</v>
      </c>
      <c r="D359" s="408" t="s">
        <v>2237</v>
      </c>
      <c r="E359" s="408" t="s">
        <v>969</v>
      </c>
      <c r="F359" s="408" t="s">
        <v>1317</v>
      </c>
      <c r="G359" s="408" t="s">
        <v>1317</v>
      </c>
      <c r="H359" s="408" t="s">
        <v>1317</v>
      </c>
      <c r="I359" s="408" t="s">
        <v>1317</v>
      </c>
      <c r="J359" s="408" t="s">
        <v>2228</v>
      </c>
      <c r="K359" s="828">
        <v>44593</v>
      </c>
      <c r="L359" s="408">
        <v>0</v>
      </c>
      <c r="M359" s="408">
        <v>0</v>
      </c>
      <c r="N359" s="408">
        <v>167.898</v>
      </c>
      <c r="O359" s="408">
        <v>167.898</v>
      </c>
      <c r="P359" s="408">
        <v>167.898</v>
      </c>
      <c r="Q359" s="408">
        <v>167.898</v>
      </c>
      <c r="R359" s="408"/>
      <c r="S359" s="408">
        <v>739.04</v>
      </c>
      <c r="T359" s="408">
        <v>252.22</v>
      </c>
      <c r="U359" s="408"/>
      <c r="V359" s="408">
        <v>166430.57147999998</v>
      </c>
      <c r="W359" s="408">
        <v>166430.57147999998</v>
      </c>
      <c r="X359" s="408">
        <v>113829.80705999999</v>
      </c>
      <c r="Y359" s="408">
        <v>0</v>
      </c>
      <c r="Z359" s="408">
        <v>10385.021290756637</v>
      </c>
      <c r="AA359" s="408">
        <v>0</v>
      </c>
      <c r="AB359" s="408">
        <v>0</v>
      </c>
      <c r="AC359" s="408">
        <v>0</v>
      </c>
      <c r="AD359" s="408">
        <v>20734.996837316063</v>
      </c>
      <c r="AE359" s="408">
        <v>85122.232616447407</v>
      </c>
      <c r="AF359" s="408">
        <v>42347.698213846459</v>
      </c>
      <c r="AG359" s="408">
        <v>0</v>
      </c>
      <c r="AH359" s="408">
        <v>0</v>
      </c>
      <c r="AI359" s="408">
        <v>0</v>
      </c>
      <c r="AJ359" s="408">
        <v>0</v>
      </c>
      <c r="AK359" s="408">
        <v>0</v>
      </c>
      <c r="AL359" s="408">
        <v>1605.2776779351095</v>
      </c>
      <c r="AM359" s="408"/>
      <c r="AN359" s="408">
        <v>393.43513813177077</v>
      </c>
      <c r="AO359" s="408">
        <v>0</v>
      </c>
      <c r="AP359" s="408">
        <v>0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5841.8846442513777</v>
      </c>
      <c r="BH359" s="408">
        <v>0</v>
      </c>
      <c r="BI359" s="408">
        <v>0</v>
      </c>
      <c r="BJ359" s="408">
        <v>0</v>
      </c>
      <c r="BK359" s="408">
        <v>8295.4</v>
      </c>
      <c r="BL359" s="408">
        <v>889</v>
      </c>
      <c r="BM359" s="408"/>
      <c r="BN359" s="408"/>
      <c r="BO359" s="408"/>
      <c r="BP359" s="408"/>
      <c r="BQ359" s="408"/>
      <c r="BR359" s="408">
        <v>13658.502299999993</v>
      </c>
      <c r="BS359" s="408"/>
      <c r="BT359" s="408"/>
      <c r="BU359" s="408"/>
      <c r="BV359" s="408">
        <v>48189.582858097834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100172.49800000001</v>
      </c>
      <c r="CJ359" s="408">
        <v>-46286.636379999996</v>
      </c>
      <c r="CK359" s="408"/>
      <c r="CL359" s="408"/>
      <c r="CM359" s="408"/>
      <c r="CN359" s="408"/>
      <c r="CO359" s="408">
        <v>-52600.764419999992</v>
      </c>
      <c r="CP359" s="408">
        <v>0</v>
      </c>
      <c r="CQ359" s="408">
        <v>29</v>
      </c>
      <c r="CR359" s="408">
        <v>-408.36100015476404</v>
      </c>
      <c r="CS359" s="408">
        <v>0</v>
      </c>
      <c r="CT359" s="408">
        <v>0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-53.290767835802399</v>
      </c>
      <c r="DA359" s="408">
        <v>0</v>
      </c>
      <c r="DB359" s="408">
        <v>0</v>
      </c>
      <c r="DC359" s="408">
        <v>-5.9368758229538798E-6</v>
      </c>
      <c r="DD359" s="408">
        <v>0</v>
      </c>
      <c r="DE359" s="408">
        <v>0</v>
      </c>
      <c r="DF359" s="408">
        <v>0</v>
      </c>
      <c r="DG359" s="408">
        <v>-8.1898997450480238E-7</v>
      </c>
      <c r="DH359" s="408">
        <v>0</v>
      </c>
      <c r="DI359" s="408">
        <v>-301.96618872364888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-40.327968982828224</v>
      </c>
      <c r="DP359" s="408">
        <v>-12.77606785662033</v>
      </c>
      <c r="DQ359" s="408">
        <v>0</v>
      </c>
      <c r="DR359" s="408">
        <v>0</v>
      </c>
      <c r="DS359" s="408"/>
      <c r="DT359" s="408"/>
      <c r="DU359" s="408"/>
      <c r="DV359" s="408">
        <v>85122.232616447407</v>
      </c>
      <c r="DW359" s="408">
        <v>0</v>
      </c>
      <c r="DX359" s="408">
        <v>0</v>
      </c>
      <c r="DY359" s="408">
        <v>-52600.764419999992</v>
      </c>
      <c r="DZ359" s="408">
        <v>0</v>
      </c>
      <c r="EA359" s="408">
        <v>0</v>
      </c>
      <c r="EB359" s="408">
        <v>0</v>
      </c>
      <c r="EC359" s="408">
        <v>-52192.28168676042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265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366</v>
      </c>
      <c r="B360" s="408" t="s">
        <v>2230</v>
      </c>
      <c r="C360" s="408" t="s">
        <v>2239</v>
      </c>
      <c r="D360" s="408" t="s">
        <v>596</v>
      </c>
      <c r="E360" s="408" t="s">
        <v>969</v>
      </c>
      <c r="F360" s="408" t="s">
        <v>1317</v>
      </c>
      <c r="G360" s="408" t="s">
        <v>1317</v>
      </c>
      <c r="H360" s="408" t="s">
        <v>1317</v>
      </c>
      <c r="I360" s="408" t="s">
        <v>968</v>
      </c>
      <c r="J360" s="408" t="s">
        <v>2228</v>
      </c>
      <c r="K360" s="828">
        <v>44593</v>
      </c>
      <c r="L360" s="408">
        <v>75</v>
      </c>
      <c r="M360" s="408">
        <v>72</v>
      </c>
      <c r="N360" s="408">
        <v>0</v>
      </c>
      <c r="O360" s="408">
        <v>0</v>
      </c>
      <c r="P360" s="408">
        <v>0</v>
      </c>
      <c r="Q360" s="408">
        <v>0</v>
      </c>
      <c r="R360" s="408">
        <v>106.38</v>
      </c>
      <c r="S360" s="408"/>
      <c r="T360" s="408"/>
      <c r="U360" s="408">
        <v>7978.5</v>
      </c>
      <c r="V360" s="408"/>
      <c r="W360" s="408">
        <v>7978.5</v>
      </c>
      <c r="X360" s="408">
        <v>4317</v>
      </c>
      <c r="Y360" s="408">
        <v>0</v>
      </c>
      <c r="Z360" s="408">
        <v>0</v>
      </c>
      <c r="AA360" s="408">
        <v>0</v>
      </c>
      <c r="AB360" s="408">
        <v>0</v>
      </c>
      <c r="AC360" s="408">
        <v>0</v>
      </c>
      <c r="AD360" s="408">
        <v>2015.76868981248</v>
      </c>
      <c r="AE360" s="408">
        <v>5962.8751589126168</v>
      </c>
      <c r="AF360" s="408"/>
      <c r="AG360" s="408"/>
      <c r="AH360" s="408"/>
      <c r="AI360" s="408">
        <v>0</v>
      </c>
      <c r="AJ360" s="408">
        <v>0</v>
      </c>
      <c r="AK360" s="408">
        <v>0</v>
      </c>
      <c r="AL360" s="408">
        <v>0</v>
      </c>
      <c r="AM360" s="408"/>
      <c r="AN360" s="408">
        <v>0</v>
      </c>
      <c r="AO360" s="408">
        <v>0</v>
      </c>
      <c r="AP360" s="408">
        <v>0</v>
      </c>
      <c r="AQ360" s="408">
        <v>0</v>
      </c>
      <c r="AR360" s="408">
        <v>0</v>
      </c>
      <c r="AS360" s="408"/>
      <c r="AT360" s="408"/>
      <c r="AU360" s="408">
        <v>0</v>
      </c>
      <c r="AV360" s="408">
        <v>0</v>
      </c>
      <c r="AW360" s="408">
        <v>0</v>
      </c>
      <c r="AX360" s="408"/>
      <c r="AY360" s="408"/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/>
      <c r="BG360" s="408">
        <v>0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>
        <v>172.68</v>
      </c>
      <c r="BS360" s="408"/>
      <c r="BT360" s="408"/>
      <c r="BU360" s="408"/>
      <c r="BV360" s="408">
        <v>0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4144.32</v>
      </c>
      <c r="CJ360" s="408">
        <v>-3515.0700000000006</v>
      </c>
      <c r="CK360" s="408"/>
      <c r="CL360" s="408"/>
      <c r="CM360" s="408"/>
      <c r="CN360" s="408"/>
      <c r="CO360" s="408">
        <v>-3661.4999999999995</v>
      </c>
      <c r="CP360" s="408">
        <v>0</v>
      </c>
      <c r="CQ360" s="408">
        <v>29</v>
      </c>
      <c r="CR360" s="408">
        <v>-5.1807030453073821</v>
      </c>
      <c r="CS360" s="408">
        <v>0</v>
      </c>
      <c r="CT360" s="408">
        <v>0</v>
      </c>
      <c r="CU360" s="408">
        <v>0</v>
      </c>
      <c r="CV360" s="408">
        <v>0</v>
      </c>
      <c r="CW360" s="408"/>
      <c r="CX360" s="408"/>
      <c r="CY360" s="408"/>
      <c r="CZ360" s="408">
        <v>-5.1807030453073821</v>
      </c>
      <c r="DA360" s="408">
        <v>0</v>
      </c>
      <c r="DB360" s="408">
        <v>0</v>
      </c>
      <c r="DC360" s="408"/>
      <c r="DD360" s="408"/>
      <c r="DE360" s="408">
        <v>0</v>
      </c>
      <c r="DF360" s="408">
        <v>0</v>
      </c>
      <c r="DG360" s="408">
        <v>0</v>
      </c>
      <c r="DH360" s="408">
        <v>0</v>
      </c>
      <c r="DI360" s="408">
        <v>0</v>
      </c>
      <c r="DJ360" s="408"/>
      <c r="DK360" s="408">
        <v>0</v>
      </c>
      <c r="DL360" s="408">
        <v>0</v>
      </c>
      <c r="DM360" s="408"/>
      <c r="DN360" s="408">
        <v>0</v>
      </c>
      <c r="DO360" s="408">
        <v>0</v>
      </c>
      <c r="DP360" s="408">
        <v>0</v>
      </c>
      <c r="DQ360" s="408">
        <v>0</v>
      </c>
      <c r="DR360" s="408">
        <v>0</v>
      </c>
      <c r="DS360" s="408"/>
      <c r="DT360" s="408"/>
      <c r="DU360" s="408">
        <v>5962.8751589126168</v>
      </c>
      <c r="DV360" s="408"/>
      <c r="DW360" s="408">
        <v>0</v>
      </c>
      <c r="DX360" s="408">
        <v>0</v>
      </c>
      <c r="DY360" s="408">
        <v>-3661.5</v>
      </c>
      <c r="DZ360" s="408"/>
      <c r="EA360" s="408">
        <v>0</v>
      </c>
      <c r="EB360" s="408"/>
      <c r="EC360" s="408">
        <v>-3656.1078156779918</v>
      </c>
      <c r="ED360" s="408"/>
      <c r="EE360" s="408">
        <v>0</v>
      </c>
      <c r="EF360" s="408">
        <v>0</v>
      </c>
      <c r="EG360" s="408"/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/>
      <c r="EN360" s="408"/>
      <c r="EO360" s="408">
        <v>0</v>
      </c>
      <c r="EP360" s="408">
        <v>0</v>
      </c>
      <c r="EQ360" s="408"/>
      <c r="ER360" s="408">
        <v>0</v>
      </c>
      <c r="ES360" s="408"/>
      <c r="ET360" s="408">
        <v>0</v>
      </c>
      <c r="EU360" s="408"/>
      <c r="EV360" s="408">
        <v>265</v>
      </c>
      <c r="EW360" s="408"/>
      <c r="EX360" s="408"/>
      <c r="EY360" s="408"/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367</v>
      </c>
      <c r="B361" s="408" t="s">
        <v>2230</v>
      </c>
      <c r="C361" s="408" t="s">
        <v>2239</v>
      </c>
      <c r="D361" s="408" t="s">
        <v>596</v>
      </c>
      <c r="E361" s="408" t="s">
        <v>969</v>
      </c>
      <c r="F361" s="408" t="s">
        <v>1317</v>
      </c>
      <c r="G361" s="408" t="s">
        <v>1317</v>
      </c>
      <c r="H361" s="408" t="s">
        <v>1317</v>
      </c>
      <c r="I361" s="408" t="s">
        <v>2236</v>
      </c>
      <c r="J361" s="408" t="s">
        <v>2228</v>
      </c>
      <c r="K361" s="828">
        <v>44593</v>
      </c>
      <c r="L361" s="408">
        <v>75</v>
      </c>
      <c r="M361" s="408">
        <v>72</v>
      </c>
      <c r="N361" s="408">
        <v>0</v>
      </c>
      <c r="O361" s="408">
        <v>0</v>
      </c>
      <c r="P361" s="408">
        <v>0</v>
      </c>
      <c r="Q361" s="408">
        <v>0</v>
      </c>
      <c r="R361" s="408">
        <v>74.44</v>
      </c>
      <c r="S361" s="408"/>
      <c r="T361" s="408"/>
      <c r="U361" s="408">
        <v>5583</v>
      </c>
      <c r="V361" s="408"/>
      <c r="W361" s="408">
        <v>5583</v>
      </c>
      <c r="X361" s="408">
        <v>3406.5</v>
      </c>
      <c r="Y361" s="408">
        <v>0</v>
      </c>
      <c r="Z361" s="408">
        <v>0</v>
      </c>
      <c r="AA361" s="408">
        <v>0</v>
      </c>
      <c r="AB361" s="408">
        <v>0</v>
      </c>
      <c r="AC361" s="408">
        <v>0</v>
      </c>
      <c r="AD361" s="408">
        <v>2041.281939783885</v>
      </c>
      <c r="AE361" s="408">
        <v>3541.6153450633651</v>
      </c>
      <c r="AF361" s="408"/>
      <c r="AG361" s="408"/>
      <c r="AH361" s="408"/>
      <c r="AI361" s="408">
        <v>0</v>
      </c>
      <c r="AJ361" s="408">
        <v>0</v>
      </c>
      <c r="AK361" s="408">
        <v>0</v>
      </c>
      <c r="AL361" s="408">
        <v>0</v>
      </c>
      <c r="AM361" s="408"/>
      <c r="AN361" s="408">
        <v>0</v>
      </c>
      <c r="AO361" s="408">
        <v>0</v>
      </c>
      <c r="AP361" s="408">
        <v>0</v>
      </c>
      <c r="AQ361" s="408">
        <v>0</v>
      </c>
      <c r="AR361" s="408">
        <v>0</v>
      </c>
      <c r="AS361" s="408"/>
      <c r="AT361" s="408"/>
      <c r="AU361" s="408">
        <v>0</v>
      </c>
      <c r="AV361" s="408">
        <v>0</v>
      </c>
      <c r="AW361" s="408">
        <v>0</v>
      </c>
      <c r="AX361" s="408"/>
      <c r="AY361" s="408"/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/>
      <c r="BG361" s="408">
        <v>0</v>
      </c>
      <c r="BH361" s="408">
        <v>0</v>
      </c>
      <c r="BI361" s="408">
        <v>0</v>
      </c>
      <c r="BJ361" s="408">
        <v>0</v>
      </c>
      <c r="BK361" s="408">
        <v>0</v>
      </c>
      <c r="BL361" s="408">
        <v>0</v>
      </c>
      <c r="BM361" s="408"/>
      <c r="BN361" s="408"/>
      <c r="BO361" s="408"/>
      <c r="BP361" s="408"/>
      <c r="BQ361" s="408"/>
      <c r="BR361" s="408">
        <v>136.26</v>
      </c>
      <c r="BS361" s="408"/>
      <c r="BT361" s="408"/>
      <c r="BU361" s="408"/>
      <c r="BV361" s="408">
        <v>0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3270.2400000000002</v>
      </c>
      <c r="CJ361" s="408">
        <v>-2089.4700000000007</v>
      </c>
      <c r="CK361" s="408"/>
      <c r="CL361" s="408"/>
      <c r="CM361" s="408"/>
      <c r="CN361" s="408"/>
      <c r="CO361" s="408">
        <v>-2176.4999999999995</v>
      </c>
      <c r="CP361" s="408">
        <v>0</v>
      </c>
      <c r="CQ361" s="408">
        <v>29</v>
      </c>
      <c r="CR361" s="408">
        <v>-5.2462743444825719</v>
      </c>
      <c r="CS361" s="408">
        <v>0</v>
      </c>
      <c r="CT361" s="408">
        <v>0</v>
      </c>
      <c r="CU361" s="408">
        <v>0</v>
      </c>
      <c r="CV361" s="408">
        <v>0</v>
      </c>
      <c r="CW361" s="408"/>
      <c r="CX361" s="408"/>
      <c r="CY361" s="408"/>
      <c r="CZ361" s="408">
        <v>-5.2462743444825719</v>
      </c>
      <c r="DA361" s="408">
        <v>0</v>
      </c>
      <c r="DB361" s="408">
        <v>0</v>
      </c>
      <c r="DC361" s="408"/>
      <c r="DD361" s="408"/>
      <c r="DE361" s="408">
        <v>0</v>
      </c>
      <c r="DF361" s="408">
        <v>0</v>
      </c>
      <c r="DG361" s="408">
        <v>0</v>
      </c>
      <c r="DH361" s="408">
        <v>0</v>
      </c>
      <c r="DI361" s="408">
        <v>0</v>
      </c>
      <c r="DJ361" s="408"/>
      <c r="DK361" s="408">
        <v>0</v>
      </c>
      <c r="DL361" s="408">
        <v>0</v>
      </c>
      <c r="DM361" s="408"/>
      <c r="DN361" s="408">
        <v>0</v>
      </c>
      <c r="DO361" s="408">
        <v>0</v>
      </c>
      <c r="DP361" s="408">
        <v>0</v>
      </c>
      <c r="DQ361" s="408">
        <v>0</v>
      </c>
      <c r="DR361" s="408">
        <v>0</v>
      </c>
      <c r="DS361" s="408"/>
      <c r="DT361" s="408"/>
      <c r="DU361" s="408">
        <v>3541.6153450633651</v>
      </c>
      <c r="DV361" s="408"/>
      <c r="DW361" s="408">
        <v>0</v>
      </c>
      <c r="DX361" s="408">
        <v>0</v>
      </c>
      <c r="DY361" s="408">
        <v>-2176.5</v>
      </c>
      <c r="DZ361" s="408"/>
      <c r="EA361" s="408">
        <v>0</v>
      </c>
      <c r="EB361" s="408"/>
      <c r="EC361" s="408">
        <v>-2171.5241721700877</v>
      </c>
      <c r="ED361" s="408"/>
      <c r="EE361" s="408">
        <v>0</v>
      </c>
      <c r="EF361" s="408">
        <v>0</v>
      </c>
      <c r="EG361" s="408"/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/>
      <c r="EN361" s="408"/>
      <c r="EO361" s="408">
        <v>0</v>
      </c>
      <c r="EP361" s="408">
        <v>0</v>
      </c>
      <c r="EQ361" s="408"/>
      <c r="ER361" s="408">
        <v>0</v>
      </c>
      <c r="ES361" s="408"/>
      <c r="ET361" s="408">
        <v>0</v>
      </c>
      <c r="EU361" s="408"/>
      <c r="EV361" s="408">
        <v>265</v>
      </c>
      <c r="EW361" s="408"/>
      <c r="EX361" s="408"/>
      <c r="EY361" s="408"/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368</v>
      </c>
      <c r="B362" s="408" t="s">
        <v>2230</v>
      </c>
      <c r="C362" s="408" t="s">
        <v>2239</v>
      </c>
      <c r="D362" s="408" t="s">
        <v>596</v>
      </c>
      <c r="E362" s="408" t="s">
        <v>969</v>
      </c>
      <c r="F362" s="408" t="s">
        <v>1317</v>
      </c>
      <c r="G362" s="408" t="s">
        <v>1317</v>
      </c>
      <c r="H362" s="408" t="s">
        <v>1317</v>
      </c>
      <c r="I362" s="408" t="s">
        <v>1317</v>
      </c>
      <c r="J362" s="408" t="s">
        <v>2228</v>
      </c>
      <c r="K362" s="828">
        <v>44593</v>
      </c>
      <c r="L362" s="408">
        <v>0</v>
      </c>
      <c r="M362" s="408">
        <v>0</v>
      </c>
      <c r="N362" s="408">
        <v>0</v>
      </c>
      <c r="O362" s="408">
        <v>0</v>
      </c>
      <c r="P362" s="408">
        <v>0</v>
      </c>
      <c r="Q362" s="408">
        <v>0</v>
      </c>
      <c r="R362" s="408"/>
      <c r="S362" s="408"/>
      <c r="T362" s="408"/>
      <c r="U362" s="408"/>
      <c r="V362" s="408"/>
      <c r="W362" s="408"/>
      <c r="X362" s="408"/>
      <c r="Y362" s="408"/>
      <c r="Z362" s="408"/>
      <c r="AA362" s="408">
        <v>0</v>
      </c>
      <c r="AB362" s="408"/>
      <c r="AC362" s="408"/>
      <c r="AD362" s="408"/>
      <c r="AE362" s="408"/>
      <c r="AF362" s="408"/>
      <c r="AG362" s="408"/>
      <c r="AH362" s="408"/>
      <c r="AI362" s="408"/>
      <c r="AJ362" s="408"/>
      <c r="AK362" s="408"/>
      <c r="AL362" s="408"/>
      <c r="AM362" s="408"/>
      <c r="AN362" s="408"/>
      <c r="AO362" s="408"/>
      <c r="AP362" s="408"/>
      <c r="AQ362" s="408"/>
      <c r="AR362" s="408"/>
      <c r="AS362" s="408"/>
      <c r="AT362" s="408"/>
      <c r="AU362" s="408"/>
      <c r="AV362" s="408"/>
      <c r="AW362" s="408"/>
      <c r="AX362" s="408"/>
      <c r="AY362" s="408"/>
      <c r="AZ362" s="408">
        <v>0</v>
      </c>
      <c r="BA362" s="408"/>
      <c r="BB362" s="408"/>
      <c r="BC362" s="408"/>
      <c r="BD362" s="408"/>
      <c r="BE362" s="408"/>
      <c r="BF362" s="408"/>
      <c r="BG362" s="408"/>
      <c r="BH362" s="408"/>
      <c r="BI362" s="408">
        <v>0</v>
      </c>
      <c r="BJ362" s="408">
        <v>0</v>
      </c>
      <c r="BK362" s="408">
        <v>1.32</v>
      </c>
      <c r="BL362" s="408">
        <v>1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/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/>
      <c r="CJ362" s="408">
        <v>-0.03</v>
      </c>
      <c r="CK362" s="408"/>
      <c r="CL362" s="408"/>
      <c r="CM362" s="408"/>
      <c r="CN362" s="408"/>
      <c r="CO362" s="408">
        <v>0</v>
      </c>
      <c r="CP362" s="408">
        <v>0</v>
      </c>
      <c r="CQ362" s="408">
        <v>29</v>
      </c>
      <c r="CR362" s="408"/>
      <c r="CS362" s="408"/>
      <c r="CT362" s="408"/>
      <c r="CU362" s="408"/>
      <c r="CV362" s="408"/>
      <c r="CW362" s="408"/>
      <c r="CX362" s="408"/>
      <c r="CY362" s="408"/>
      <c r="CZ362" s="408"/>
      <c r="DA362" s="408"/>
      <c r="DB362" s="408"/>
      <c r="DC362" s="408"/>
      <c r="DD362" s="408"/>
      <c r="DE362" s="408"/>
      <c r="DF362" s="408"/>
      <c r="DG362" s="408"/>
      <c r="DH362" s="408"/>
      <c r="DI362" s="408"/>
      <c r="DJ362" s="408"/>
      <c r="DK362" s="408">
        <v>0</v>
      </c>
      <c r="DL362" s="408"/>
      <c r="DM362" s="408"/>
      <c r="DN362" s="408"/>
      <c r="DO362" s="408"/>
      <c r="DP362" s="408"/>
      <c r="DQ362" s="408"/>
      <c r="DR362" s="408"/>
      <c r="DS362" s="408"/>
      <c r="DT362" s="408"/>
      <c r="DU362" s="408"/>
      <c r="DV362" s="408"/>
      <c r="DW362" s="408"/>
      <c r="DX362" s="408"/>
      <c r="DY362" s="408"/>
      <c r="DZ362" s="408"/>
      <c r="EA362" s="408"/>
      <c r="EB362" s="408"/>
      <c r="EC362" s="408"/>
      <c r="ED362" s="408"/>
      <c r="EE362" s="408"/>
      <c r="EF362" s="408"/>
      <c r="EG362" s="408"/>
      <c r="EH362" s="408"/>
      <c r="EI362" s="408"/>
      <c r="EJ362" s="408"/>
      <c r="EK362" s="408"/>
      <c r="EL362" s="408"/>
      <c r="EM362" s="408"/>
      <c r="EN362" s="408"/>
      <c r="EO362" s="408"/>
      <c r="EP362" s="408"/>
      <c r="EQ362" s="408"/>
      <c r="ER362" s="408"/>
      <c r="ES362" s="408"/>
      <c r="ET362" s="408"/>
      <c r="EU362" s="408"/>
      <c r="EV362" s="408">
        <v>265</v>
      </c>
      <c r="EW362" s="408"/>
      <c r="EX362" s="408"/>
      <c r="EY362" s="408"/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369</v>
      </c>
      <c r="B363" s="408" t="s">
        <v>1031</v>
      </c>
      <c r="C363" s="408" t="s">
        <v>2235</v>
      </c>
      <c r="D363" s="408" t="s">
        <v>596</v>
      </c>
      <c r="E363" s="408" t="s">
        <v>969</v>
      </c>
      <c r="F363" s="408" t="s">
        <v>1317</v>
      </c>
      <c r="G363" s="408" t="s">
        <v>1317</v>
      </c>
      <c r="H363" s="408" t="s">
        <v>1317</v>
      </c>
      <c r="I363" s="408" t="s">
        <v>968</v>
      </c>
      <c r="J363" s="408" t="s">
        <v>2228</v>
      </c>
      <c r="K363" s="828">
        <v>44593</v>
      </c>
      <c r="L363" s="408">
        <v>0</v>
      </c>
      <c r="M363" s="408">
        <v>0</v>
      </c>
      <c r="N363" s="408">
        <v>3.2709999999999999</v>
      </c>
      <c r="O363" s="408">
        <v>3.1401599999999998</v>
      </c>
      <c r="P363" s="408">
        <v>3.2709999999999999</v>
      </c>
      <c r="Q363" s="408">
        <v>3.1401599999999998</v>
      </c>
      <c r="R363" s="408"/>
      <c r="S363" s="408">
        <v>2641.06</v>
      </c>
      <c r="T363" s="408">
        <v>252.22</v>
      </c>
      <c r="U363" s="408"/>
      <c r="V363" s="408">
        <v>9463.9188799999993</v>
      </c>
      <c r="W363" s="408">
        <v>9463.9188799999993</v>
      </c>
      <c r="X363" s="408">
        <v>5617.41914</v>
      </c>
      <c r="Y363" s="408">
        <v>0</v>
      </c>
      <c r="Z363" s="408">
        <v>176.01985752419037</v>
      </c>
      <c r="AA363" s="408">
        <v>0</v>
      </c>
      <c r="AB363" s="408">
        <v>0</v>
      </c>
      <c r="AC363" s="408">
        <v>0</v>
      </c>
      <c r="AD363" s="408">
        <v>2118.8458260538441</v>
      </c>
      <c r="AE363" s="408">
        <v>6254.4475044304845</v>
      </c>
      <c r="AF363" s="408">
        <v>825.02067241713291</v>
      </c>
      <c r="AG363" s="408">
        <v>0</v>
      </c>
      <c r="AH363" s="408">
        <v>0</v>
      </c>
      <c r="AI363" s="408">
        <v>0</v>
      </c>
      <c r="AJ363" s="408">
        <v>0</v>
      </c>
      <c r="AK363" s="408">
        <v>0</v>
      </c>
      <c r="AL363" s="408">
        <v>31.274126460861613</v>
      </c>
      <c r="AM363" s="408"/>
      <c r="AN363" s="408">
        <v>7.8697189762170048</v>
      </c>
      <c r="AO363" s="408">
        <v>0</v>
      </c>
      <c r="AP363" s="408">
        <v>0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50.448113802142082</v>
      </c>
      <c r="BH363" s="408">
        <v>0</v>
      </c>
      <c r="BI363" s="408">
        <v>0</v>
      </c>
      <c r="BJ363" s="408">
        <v>0</v>
      </c>
      <c r="BK363" s="408">
        <v>0</v>
      </c>
      <c r="BL363" s="408">
        <v>0</v>
      </c>
      <c r="BM363" s="408"/>
      <c r="BN363" s="408"/>
      <c r="BO363" s="408"/>
      <c r="BP363" s="408"/>
      <c r="BQ363" s="408"/>
      <c r="BR363" s="408">
        <v>224.69676560000011</v>
      </c>
      <c r="BS363" s="408"/>
      <c r="BT363" s="408"/>
      <c r="BU363" s="408"/>
      <c r="BV363" s="408">
        <v>875.46878621927499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5392.4475999999995</v>
      </c>
      <c r="CJ363" s="408">
        <v>-3692.9445248000011</v>
      </c>
      <c r="CK363" s="408"/>
      <c r="CL363" s="408"/>
      <c r="CM363" s="408"/>
      <c r="CN363" s="408"/>
      <c r="CO363" s="408">
        <v>-3846.4997400000002</v>
      </c>
      <c r="CP363" s="408">
        <v>0</v>
      </c>
      <c r="CQ363" s="408">
        <v>29</v>
      </c>
      <c r="CR363" s="408">
        <v>-11.604992084892274</v>
      </c>
      <c r="CS363" s="408">
        <v>0</v>
      </c>
      <c r="CT363" s="408">
        <v>0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-5.4456203626232309</v>
      </c>
      <c r="DA363" s="408">
        <v>0</v>
      </c>
      <c r="DB363" s="408">
        <v>0</v>
      </c>
      <c r="DC363" s="408">
        <v>-1.1566260127437999E-7</v>
      </c>
      <c r="DD363" s="408">
        <v>0</v>
      </c>
      <c r="DE363" s="408">
        <v>0</v>
      </c>
      <c r="DF363" s="408">
        <v>0</v>
      </c>
      <c r="DG363" s="408">
        <v>-7.0725576506447396E-9</v>
      </c>
      <c r="DH363" s="408">
        <v>0</v>
      </c>
      <c r="DI363" s="408">
        <v>-5.1181450695308968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-0.78567217324108185</v>
      </c>
      <c r="DP363" s="408">
        <v>-0.2555543567616354</v>
      </c>
      <c r="DQ363" s="408">
        <v>0</v>
      </c>
      <c r="DR363" s="408">
        <v>0</v>
      </c>
      <c r="DS363" s="408"/>
      <c r="DT363" s="408"/>
      <c r="DU363" s="408"/>
      <c r="DV363" s="408">
        <v>6254.4475044304845</v>
      </c>
      <c r="DW363" s="408">
        <v>0</v>
      </c>
      <c r="DX363" s="408">
        <v>0</v>
      </c>
      <c r="DY363" s="408">
        <v>-3846.4997400000002</v>
      </c>
      <c r="DZ363" s="408">
        <v>0</v>
      </c>
      <c r="EA363" s="408">
        <v>0</v>
      </c>
      <c r="EB363" s="408">
        <v>0</v>
      </c>
      <c r="EC363" s="408">
        <v>-3834.8839769883762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265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370</v>
      </c>
      <c r="B364" s="408" t="s">
        <v>1031</v>
      </c>
      <c r="C364" s="408" t="s">
        <v>2235</v>
      </c>
      <c r="D364" s="408" t="s">
        <v>596</v>
      </c>
      <c r="E364" s="408" t="s">
        <v>969</v>
      </c>
      <c r="F364" s="408" t="s">
        <v>1317</v>
      </c>
      <c r="G364" s="408" t="s">
        <v>1317</v>
      </c>
      <c r="H364" s="408" t="s">
        <v>1317</v>
      </c>
      <c r="I364" s="408" t="s">
        <v>2236</v>
      </c>
      <c r="J364" s="408" t="s">
        <v>2228</v>
      </c>
      <c r="K364" s="828">
        <v>44593</v>
      </c>
      <c r="L364" s="408">
        <v>0</v>
      </c>
      <c r="M364" s="408">
        <v>0</v>
      </c>
      <c r="N364" s="408">
        <v>32.28</v>
      </c>
      <c r="O364" s="408">
        <v>30.988800000000001</v>
      </c>
      <c r="P364" s="408">
        <v>32.28</v>
      </c>
      <c r="Q364" s="408">
        <v>30.988800000000001</v>
      </c>
      <c r="R364" s="408"/>
      <c r="S364" s="408">
        <v>81.2</v>
      </c>
      <c r="T364" s="408">
        <v>252.22</v>
      </c>
      <c r="U364" s="408"/>
      <c r="V364" s="408">
        <v>10762.7976</v>
      </c>
      <c r="W364" s="408">
        <v>10762.7976</v>
      </c>
      <c r="X364" s="408">
        <v>10702.111199999999</v>
      </c>
      <c r="Y364" s="408">
        <v>0</v>
      </c>
      <c r="Z364" s="408">
        <v>1737.0593093490875</v>
      </c>
      <c r="AA364" s="408">
        <v>0</v>
      </c>
      <c r="AB364" s="408">
        <v>0</v>
      </c>
      <c r="AC364" s="408">
        <v>0</v>
      </c>
      <c r="AD364" s="408">
        <v>0</v>
      </c>
      <c r="AE364" s="408">
        <v>0</v>
      </c>
      <c r="AF364" s="408">
        <v>8141.7509341562372</v>
      </c>
      <c r="AG364" s="408">
        <v>0</v>
      </c>
      <c r="AH364" s="408">
        <v>0</v>
      </c>
      <c r="AI364" s="408">
        <v>0</v>
      </c>
      <c r="AJ364" s="408">
        <v>0</v>
      </c>
      <c r="AK364" s="408">
        <v>0</v>
      </c>
      <c r="AL364" s="408">
        <v>308.63002205949647</v>
      </c>
      <c r="AM364" s="408"/>
      <c r="AN364" s="408">
        <v>77.662650122985312</v>
      </c>
      <c r="AO364" s="408">
        <v>0</v>
      </c>
      <c r="AP364" s="408">
        <v>0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>
        <v>0</v>
      </c>
      <c r="BG364" s="408">
        <v>497.84931627427284</v>
      </c>
      <c r="BH364" s="408">
        <v>0</v>
      </c>
      <c r="BI364" s="408">
        <v>0</v>
      </c>
      <c r="BJ364" s="408">
        <v>0</v>
      </c>
      <c r="BK364" s="408">
        <v>0</v>
      </c>
      <c r="BL364" s="408">
        <v>0</v>
      </c>
      <c r="BM364" s="408"/>
      <c r="BN364" s="408"/>
      <c r="BO364" s="408"/>
      <c r="BP364" s="408"/>
      <c r="BQ364" s="408"/>
      <c r="BR364" s="408">
        <v>428.08444799999995</v>
      </c>
      <c r="BS364" s="408"/>
      <c r="BT364" s="408"/>
      <c r="BU364" s="408"/>
      <c r="BV364" s="408">
        <v>8639.6002504305106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10274.424599999998</v>
      </c>
      <c r="CJ364" s="408">
        <v>-57.891096000003017</v>
      </c>
      <c r="CK364" s="408"/>
      <c r="CL364" s="408"/>
      <c r="CM364" s="408"/>
      <c r="CN364" s="408"/>
      <c r="CO364" s="408">
        <v>-60.686400000000312</v>
      </c>
      <c r="CP364" s="408">
        <v>0</v>
      </c>
      <c r="CQ364" s="408">
        <v>29</v>
      </c>
      <c r="CR364" s="408">
        <v>-60.784016873993096</v>
      </c>
      <c r="CS364" s="408">
        <v>0</v>
      </c>
      <c r="CT364" s="408">
        <v>0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0</v>
      </c>
      <c r="DA364" s="408">
        <v>0</v>
      </c>
      <c r="DB364" s="408">
        <v>0</v>
      </c>
      <c r="DC364" s="408">
        <v>-1.1414213076932356E-6</v>
      </c>
      <c r="DD364" s="408">
        <v>0</v>
      </c>
      <c r="DE364" s="408">
        <v>0</v>
      </c>
      <c r="DF364" s="408">
        <v>0</v>
      </c>
      <c r="DG364" s="408">
        <v>-6.979581712585059E-8</v>
      </c>
      <c r="DH364" s="408">
        <v>0</v>
      </c>
      <c r="DI364" s="408">
        <v>-50.508628200689827</v>
      </c>
      <c r="DJ364" s="408"/>
      <c r="DK364" s="408">
        <v>0</v>
      </c>
      <c r="DL364" s="408">
        <v>0</v>
      </c>
      <c r="DM364" s="408">
        <v>0</v>
      </c>
      <c r="DN364" s="408">
        <v>0</v>
      </c>
      <c r="DO364" s="408">
        <v>-7.7534386280104286</v>
      </c>
      <c r="DP364" s="408">
        <v>-2.5219488340769232</v>
      </c>
      <c r="DQ364" s="408">
        <v>0</v>
      </c>
      <c r="DR364" s="408">
        <v>0</v>
      </c>
      <c r="DS364" s="408"/>
      <c r="DT364" s="408"/>
      <c r="DU364" s="408"/>
      <c r="DV364" s="408">
        <v>0</v>
      </c>
      <c r="DW364" s="408">
        <v>0</v>
      </c>
      <c r="DX364" s="408">
        <v>0</v>
      </c>
      <c r="DY364" s="408">
        <v>-60.686400000000049</v>
      </c>
      <c r="DZ364" s="408">
        <v>0</v>
      </c>
      <c r="EA364" s="408">
        <v>0</v>
      </c>
      <c r="EB364" s="408">
        <v>0</v>
      </c>
      <c r="EC364" s="408">
        <v>0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265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371</v>
      </c>
      <c r="B365" s="408" t="s">
        <v>1031</v>
      </c>
      <c r="C365" s="408" t="s">
        <v>2235</v>
      </c>
      <c r="D365" s="408" t="s">
        <v>596</v>
      </c>
      <c r="E365" s="408" t="s">
        <v>969</v>
      </c>
      <c r="F365" s="408" t="s">
        <v>1317</v>
      </c>
      <c r="G365" s="408" t="s">
        <v>1317</v>
      </c>
      <c r="H365" s="408" t="s">
        <v>1317</v>
      </c>
      <c r="I365" s="408" t="s">
        <v>1317</v>
      </c>
      <c r="J365" s="408" t="s">
        <v>2228</v>
      </c>
      <c r="K365" s="828">
        <v>44593</v>
      </c>
      <c r="L365" s="408">
        <v>106</v>
      </c>
      <c r="M365" s="408">
        <v>101.76</v>
      </c>
      <c r="N365" s="408">
        <v>0</v>
      </c>
      <c r="O365" s="408">
        <v>0</v>
      </c>
      <c r="P365" s="408">
        <v>0</v>
      </c>
      <c r="Q365" s="408">
        <v>0</v>
      </c>
      <c r="R365" s="408">
        <v>74.44</v>
      </c>
      <c r="S365" s="408"/>
      <c r="T365" s="408"/>
      <c r="U365" s="408">
        <v>7890.6399999999994</v>
      </c>
      <c r="V365" s="408"/>
      <c r="W365" s="408">
        <v>7890.6399999999994</v>
      </c>
      <c r="X365" s="408">
        <v>4814.5200000000004</v>
      </c>
      <c r="Y365" s="408">
        <v>0</v>
      </c>
      <c r="Z365" s="408">
        <v>0</v>
      </c>
      <c r="AA365" s="408">
        <v>0</v>
      </c>
      <c r="AB365" s="408">
        <v>0</v>
      </c>
      <c r="AC365" s="408">
        <v>0</v>
      </c>
      <c r="AD365" s="408">
        <v>2885.0118082278909</v>
      </c>
      <c r="AE365" s="408">
        <v>5005.4830210228893</v>
      </c>
      <c r="AF365" s="408"/>
      <c r="AG365" s="408"/>
      <c r="AH365" s="408"/>
      <c r="AI365" s="408">
        <v>0</v>
      </c>
      <c r="AJ365" s="408">
        <v>0</v>
      </c>
      <c r="AK365" s="408">
        <v>0</v>
      </c>
      <c r="AL365" s="408">
        <v>0</v>
      </c>
      <c r="AM365" s="408"/>
      <c r="AN365" s="408">
        <v>0</v>
      </c>
      <c r="AO365" s="408">
        <v>0</v>
      </c>
      <c r="AP365" s="408">
        <v>0</v>
      </c>
      <c r="AQ365" s="408">
        <v>0</v>
      </c>
      <c r="AR365" s="408">
        <v>0</v>
      </c>
      <c r="AS365" s="408"/>
      <c r="AT365" s="408"/>
      <c r="AU365" s="408">
        <v>0</v>
      </c>
      <c r="AV365" s="408">
        <v>0</v>
      </c>
      <c r="AW365" s="408">
        <v>0</v>
      </c>
      <c r="AX365" s="408"/>
      <c r="AY365" s="408"/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0</v>
      </c>
      <c r="BF365" s="408"/>
      <c r="BG365" s="408">
        <v>0</v>
      </c>
      <c r="BH365" s="408">
        <v>0</v>
      </c>
      <c r="BI365" s="408">
        <v>0</v>
      </c>
      <c r="BJ365" s="408">
        <v>0</v>
      </c>
      <c r="BK365" s="408">
        <v>16.489999999999998</v>
      </c>
      <c r="BL365" s="408">
        <v>2</v>
      </c>
      <c r="BM365" s="408"/>
      <c r="BN365" s="408"/>
      <c r="BO365" s="408"/>
      <c r="BP365" s="408"/>
      <c r="BQ365" s="408"/>
      <c r="BR365" s="408">
        <v>192.58079999999978</v>
      </c>
      <c r="BS365" s="408"/>
      <c r="BT365" s="408"/>
      <c r="BU365" s="408"/>
      <c r="BV365" s="408">
        <v>0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4621.9392000000007</v>
      </c>
      <c r="CJ365" s="408">
        <v>-2953.1052</v>
      </c>
      <c r="CK365" s="408"/>
      <c r="CL365" s="408"/>
      <c r="CM365" s="408"/>
      <c r="CN365" s="408"/>
      <c r="CO365" s="408">
        <v>-3076.1199999999994</v>
      </c>
      <c r="CP365" s="408">
        <v>0</v>
      </c>
      <c r="CQ365" s="408">
        <v>29</v>
      </c>
      <c r="CR365" s="408">
        <v>-7.4147344068687744</v>
      </c>
      <c r="CS365" s="408">
        <v>0</v>
      </c>
      <c r="CT365" s="408">
        <v>0</v>
      </c>
      <c r="CU365" s="408">
        <v>0</v>
      </c>
      <c r="CV365" s="408">
        <v>0</v>
      </c>
      <c r="CW365" s="408"/>
      <c r="CX365" s="408"/>
      <c r="CY365" s="408"/>
      <c r="CZ365" s="408">
        <v>-7.4147344068687744</v>
      </c>
      <c r="DA365" s="408">
        <v>0</v>
      </c>
      <c r="DB365" s="408">
        <v>0</v>
      </c>
      <c r="DC365" s="408"/>
      <c r="DD365" s="408"/>
      <c r="DE365" s="408">
        <v>0</v>
      </c>
      <c r="DF365" s="408">
        <v>0</v>
      </c>
      <c r="DG365" s="408">
        <v>0</v>
      </c>
      <c r="DH365" s="408">
        <v>0</v>
      </c>
      <c r="DI365" s="408">
        <v>0</v>
      </c>
      <c r="DJ365" s="408"/>
      <c r="DK365" s="408">
        <v>0</v>
      </c>
      <c r="DL365" s="408">
        <v>0</v>
      </c>
      <c r="DM365" s="408"/>
      <c r="DN365" s="408">
        <v>0</v>
      </c>
      <c r="DO365" s="408">
        <v>0</v>
      </c>
      <c r="DP365" s="408">
        <v>0</v>
      </c>
      <c r="DQ365" s="408">
        <v>0</v>
      </c>
      <c r="DR365" s="408">
        <v>0</v>
      </c>
      <c r="DS365" s="408"/>
      <c r="DT365" s="408"/>
      <c r="DU365" s="408">
        <v>5005.4830210228893</v>
      </c>
      <c r="DV365" s="408"/>
      <c r="DW365" s="408">
        <v>0</v>
      </c>
      <c r="DX365" s="408">
        <v>0</v>
      </c>
      <c r="DY365" s="408">
        <v>-3076.119999999999</v>
      </c>
      <c r="DZ365" s="408"/>
      <c r="EA365" s="408">
        <v>0</v>
      </c>
      <c r="EB365" s="408"/>
      <c r="EC365" s="408">
        <v>-3069.0874966670572</v>
      </c>
      <c r="ED365" s="408"/>
      <c r="EE365" s="408">
        <v>0</v>
      </c>
      <c r="EF365" s="408">
        <v>0</v>
      </c>
      <c r="EG365" s="408"/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/>
      <c r="EN365" s="408"/>
      <c r="EO365" s="408">
        <v>0</v>
      </c>
      <c r="EP365" s="408">
        <v>0</v>
      </c>
      <c r="EQ365" s="408"/>
      <c r="ER365" s="408">
        <v>0</v>
      </c>
      <c r="ES365" s="408"/>
      <c r="ET365" s="408">
        <v>0</v>
      </c>
      <c r="EU365" s="408"/>
      <c r="EV365" s="408">
        <v>265</v>
      </c>
      <c r="EW365" s="408"/>
      <c r="EX365" s="408"/>
      <c r="EY365" s="408"/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372</v>
      </c>
      <c r="B366" s="408" t="s">
        <v>2230</v>
      </c>
      <c r="C366" s="408" t="s">
        <v>2235</v>
      </c>
      <c r="D366" s="408" t="s">
        <v>596</v>
      </c>
      <c r="E366" s="408" t="s">
        <v>969</v>
      </c>
      <c r="F366" s="408" t="s">
        <v>1317</v>
      </c>
      <c r="G366" s="408" t="s">
        <v>1317</v>
      </c>
      <c r="H366" s="408" t="s">
        <v>1317</v>
      </c>
      <c r="I366" s="408" t="s">
        <v>1317</v>
      </c>
      <c r="J366" s="408" t="s">
        <v>2228</v>
      </c>
      <c r="K366" s="828">
        <v>44593</v>
      </c>
      <c r="L366" s="408">
        <v>333</v>
      </c>
      <c r="M366" s="408">
        <v>319.68</v>
      </c>
      <c r="N366" s="408">
        <v>0</v>
      </c>
      <c r="O366" s="408">
        <v>0</v>
      </c>
      <c r="P366" s="408">
        <v>0</v>
      </c>
      <c r="Q366" s="408">
        <v>0</v>
      </c>
      <c r="R366" s="408">
        <v>74.44</v>
      </c>
      <c r="S366" s="408"/>
      <c r="T366" s="408"/>
      <c r="U366" s="408">
        <v>24788.52</v>
      </c>
      <c r="V366" s="408"/>
      <c r="W366" s="408">
        <v>24788.52</v>
      </c>
      <c r="X366" s="408">
        <v>15124.86</v>
      </c>
      <c r="Y366" s="408">
        <v>0</v>
      </c>
      <c r="Z366" s="408">
        <v>0</v>
      </c>
      <c r="AA366" s="408">
        <v>0</v>
      </c>
      <c r="AB366" s="408">
        <v>0</v>
      </c>
      <c r="AC366" s="408">
        <v>0</v>
      </c>
      <c r="AD366" s="408">
        <v>9063.2918126404493</v>
      </c>
      <c r="AE366" s="408">
        <v>15724.772132081342</v>
      </c>
      <c r="AF366" s="408"/>
      <c r="AG366" s="408"/>
      <c r="AH366" s="408"/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0</v>
      </c>
      <c r="AO366" s="408">
        <v>0</v>
      </c>
      <c r="AP366" s="408">
        <v>0</v>
      </c>
      <c r="AQ366" s="408">
        <v>0</v>
      </c>
      <c r="AR366" s="408">
        <v>0</v>
      </c>
      <c r="AS366" s="408"/>
      <c r="AT366" s="408"/>
      <c r="AU366" s="408">
        <v>0</v>
      </c>
      <c r="AV366" s="408">
        <v>0</v>
      </c>
      <c r="AW366" s="408">
        <v>0</v>
      </c>
      <c r="AX366" s="408"/>
      <c r="AY366" s="408"/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/>
      <c r="BG366" s="408">
        <v>0</v>
      </c>
      <c r="BH366" s="408">
        <v>0</v>
      </c>
      <c r="BI366" s="408">
        <v>0</v>
      </c>
      <c r="BJ366" s="408">
        <v>0</v>
      </c>
      <c r="BK366" s="408">
        <v>9.74</v>
      </c>
      <c r="BL366" s="408">
        <v>3</v>
      </c>
      <c r="BM366" s="408"/>
      <c r="BN366" s="408"/>
      <c r="BO366" s="408"/>
      <c r="BP366" s="408"/>
      <c r="BQ366" s="408"/>
      <c r="BR366" s="408">
        <v>604.9943999999997</v>
      </c>
      <c r="BS366" s="408"/>
      <c r="BT366" s="408"/>
      <c r="BU366" s="408"/>
      <c r="BV366" s="408">
        <v>0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14519.865600000001</v>
      </c>
      <c r="CJ366" s="408">
        <v>-9277.1435999999958</v>
      </c>
      <c r="CK366" s="408"/>
      <c r="CL366" s="408"/>
      <c r="CM366" s="408"/>
      <c r="CN366" s="408"/>
      <c r="CO366" s="408">
        <v>-9663.659999999998</v>
      </c>
      <c r="CP366" s="408">
        <v>0</v>
      </c>
      <c r="CQ366" s="408">
        <v>29</v>
      </c>
      <c r="CR366" s="408">
        <v>-23.293458089501655</v>
      </c>
      <c r="CS366" s="408">
        <v>0</v>
      </c>
      <c r="CT366" s="408">
        <v>0</v>
      </c>
      <c r="CU366" s="408">
        <v>0</v>
      </c>
      <c r="CV366" s="408">
        <v>0</v>
      </c>
      <c r="CW366" s="408"/>
      <c r="CX366" s="408"/>
      <c r="CY366" s="408"/>
      <c r="CZ366" s="408">
        <v>-23.293458089501655</v>
      </c>
      <c r="DA366" s="408">
        <v>0</v>
      </c>
      <c r="DB366" s="408">
        <v>0</v>
      </c>
      <c r="DC366" s="408"/>
      <c r="DD366" s="408"/>
      <c r="DE366" s="408">
        <v>0</v>
      </c>
      <c r="DF366" s="408">
        <v>0</v>
      </c>
      <c r="DG366" s="408">
        <v>0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/>
      <c r="DN366" s="408">
        <v>0</v>
      </c>
      <c r="DO366" s="408">
        <v>0</v>
      </c>
      <c r="DP366" s="408">
        <v>0</v>
      </c>
      <c r="DQ366" s="408">
        <v>0</v>
      </c>
      <c r="DR366" s="408">
        <v>0</v>
      </c>
      <c r="DS366" s="408"/>
      <c r="DT366" s="408"/>
      <c r="DU366" s="408">
        <v>15724.772132081342</v>
      </c>
      <c r="DV366" s="408"/>
      <c r="DW366" s="408">
        <v>0</v>
      </c>
      <c r="DX366" s="408">
        <v>0</v>
      </c>
      <c r="DY366" s="408">
        <v>-9663.66</v>
      </c>
      <c r="DZ366" s="408"/>
      <c r="EA366" s="408">
        <v>0</v>
      </c>
      <c r="EB366" s="408"/>
      <c r="EC366" s="408">
        <v>-9641.5673244351892</v>
      </c>
      <c r="ED366" s="408"/>
      <c r="EE366" s="408">
        <v>0</v>
      </c>
      <c r="EF366" s="408">
        <v>0</v>
      </c>
      <c r="EG366" s="408"/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/>
      <c r="EN366" s="408"/>
      <c r="EO366" s="408">
        <v>0</v>
      </c>
      <c r="EP366" s="408">
        <v>0</v>
      </c>
      <c r="EQ366" s="408"/>
      <c r="ER366" s="408">
        <v>0</v>
      </c>
      <c r="ES366" s="408"/>
      <c r="ET366" s="408">
        <v>0</v>
      </c>
      <c r="EU366" s="408"/>
      <c r="EV366" s="408">
        <v>265</v>
      </c>
      <c r="EW366" s="408"/>
      <c r="EX366" s="408"/>
      <c r="EY366" s="408"/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373</v>
      </c>
      <c r="B367" s="408" t="s">
        <v>1031</v>
      </c>
      <c r="C367" s="408" t="s">
        <v>2227</v>
      </c>
      <c r="D367" s="408" t="s">
        <v>1952</v>
      </c>
      <c r="E367" s="408" t="s">
        <v>2238</v>
      </c>
      <c r="F367" s="408" t="s">
        <v>1317</v>
      </c>
      <c r="G367" s="408" t="s">
        <v>1317</v>
      </c>
      <c r="H367" s="408" t="s">
        <v>1317</v>
      </c>
      <c r="I367" s="408" t="s">
        <v>1317</v>
      </c>
      <c r="J367" s="408" t="s">
        <v>2228</v>
      </c>
      <c r="K367" s="828">
        <v>44593</v>
      </c>
      <c r="L367" s="408">
        <v>0</v>
      </c>
      <c r="M367" s="408">
        <v>0</v>
      </c>
      <c r="N367" s="408">
        <v>225.506</v>
      </c>
      <c r="O367" s="408">
        <v>225.506</v>
      </c>
      <c r="P367" s="408">
        <v>225.506</v>
      </c>
      <c r="Q367" s="408">
        <v>225.506</v>
      </c>
      <c r="R367" s="408"/>
      <c r="S367" s="408">
        <v>739.04</v>
      </c>
      <c r="T367" s="408">
        <v>252.22</v>
      </c>
      <c r="U367" s="408"/>
      <c r="V367" s="408">
        <v>223535.07756000001</v>
      </c>
      <c r="W367" s="408">
        <v>223535.07756000001</v>
      </c>
      <c r="X367" s="408">
        <v>152886.30281999998</v>
      </c>
      <c r="Y367" s="408">
        <v>0</v>
      </c>
      <c r="Z367" s="408">
        <v>13948.257937517816</v>
      </c>
      <c r="AA367" s="408">
        <v>0</v>
      </c>
      <c r="AB367" s="408">
        <v>0</v>
      </c>
      <c r="AC367" s="408">
        <v>0</v>
      </c>
      <c r="AD367" s="408">
        <v>27849.445477586367</v>
      </c>
      <c r="AE367" s="408">
        <v>114328.78407369112</v>
      </c>
      <c r="AF367" s="408">
        <v>56877.747402659115</v>
      </c>
      <c r="AG367" s="408">
        <v>0</v>
      </c>
      <c r="AH367" s="408">
        <v>0</v>
      </c>
      <c r="AI367" s="408">
        <v>0</v>
      </c>
      <c r="AJ367" s="408">
        <v>0</v>
      </c>
      <c r="AK367" s="408">
        <v>0</v>
      </c>
      <c r="AL367" s="408">
        <v>2156.0694471669394</v>
      </c>
      <c r="AM367" s="408"/>
      <c r="AN367" s="408">
        <v>528.42788037703315</v>
      </c>
      <c r="AO367" s="408">
        <v>0</v>
      </c>
      <c r="AP367" s="408">
        <v>0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>
        <v>0</v>
      </c>
      <c r="BG367" s="408">
        <v>7846.311680821399</v>
      </c>
      <c r="BH367" s="408">
        <v>0</v>
      </c>
      <c r="BI367" s="408">
        <v>0</v>
      </c>
      <c r="BJ367" s="408">
        <v>0</v>
      </c>
      <c r="BK367" s="408">
        <v>57909.440000000002</v>
      </c>
      <c r="BL367" s="408">
        <v>372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64724.059083480512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152889.0147</v>
      </c>
      <c r="CJ367" s="408">
        <v>-70646.092860000033</v>
      </c>
      <c r="CK367" s="408"/>
      <c r="CL367" s="408"/>
      <c r="CM367" s="408"/>
      <c r="CN367" s="408"/>
      <c r="CO367" s="408">
        <v>-70648.774739999993</v>
      </c>
      <c r="CP367" s="408">
        <v>0</v>
      </c>
      <c r="CQ367" s="408">
        <v>29</v>
      </c>
      <c r="CR367" s="408">
        <v>-548.47500089876121</v>
      </c>
      <c r="CS367" s="408">
        <v>0</v>
      </c>
      <c r="CT367" s="408">
        <v>0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-71.575527353394136</v>
      </c>
      <c r="DA367" s="408">
        <v>0</v>
      </c>
      <c r="DB367" s="408">
        <v>0</v>
      </c>
      <c r="DC367" s="408">
        <v>-7.9738965723663568E-6</v>
      </c>
      <c r="DD367" s="408">
        <v>0</v>
      </c>
      <c r="DE367" s="408">
        <v>0</v>
      </c>
      <c r="DF367" s="408">
        <v>0</v>
      </c>
      <c r="DG367" s="408">
        <v>-1.099996552511584E-6</v>
      </c>
      <c r="DH367" s="408">
        <v>0</v>
      </c>
      <c r="DI367" s="408">
        <v>-405.57473796182785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-54.165022653287451</v>
      </c>
      <c r="DP367" s="408">
        <v>-17.159703856359386</v>
      </c>
      <c r="DQ367" s="408">
        <v>0</v>
      </c>
      <c r="DR367" s="408">
        <v>0</v>
      </c>
      <c r="DS367" s="408"/>
      <c r="DT367" s="408"/>
      <c r="DU367" s="408"/>
      <c r="DV367" s="408">
        <v>114328.78407369112</v>
      </c>
      <c r="DW367" s="408">
        <v>0</v>
      </c>
      <c r="DX367" s="408">
        <v>0</v>
      </c>
      <c r="DY367" s="408">
        <v>-70648.774739999993</v>
      </c>
      <c r="DZ367" s="408">
        <v>0</v>
      </c>
      <c r="EA367" s="408">
        <v>0</v>
      </c>
      <c r="EB367" s="408">
        <v>0</v>
      </c>
      <c r="EC367" s="408">
        <v>-70100.136237802682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265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374</v>
      </c>
      <c r="B368" s="408" t="s">
        <v>2230</v>
      </c>
      <c r="C368" s="408" t="s">
        <v>2227</v>
      </c>
      <c r="D368" s="408" t="s">
        <v>1952</v>
      </c>
      <c r="E368" s="408" t="s">
        <v>2238</v>
      </c>
      <c r="F368" s="408" t="s">
        <v>1317</v>
      </c>
      <c r="G368" s="408" t="s">
        <v>1317</v>
      </c>
      <c r="H368" s="408" t="s">
        <v>1317</v>
      </c>
      <c r="I368" s="408" t="s">
        <v>1317</v>
      </c>
      <c r="J368" s="408" t="s">
        <v>2228</v>
      </c>
      <c r="K368" s="828">
        <v>44593</v>
      </c>
      <c r="L368" s="408">
        <v>0</v>
      </c>
      <c r="M368" s="408">
        <v>0</v>
      </c>
      <c r="N368" s="408">
        <v>0.247</v>
      </c>
      <c r="O368" s="408">
        <v>0.247</v>
      </c>
      <c r="P368" s="408">
        <v>0.247</v>
      </c>
      <c r="Q368" s="408">
        <v>0.247</v>
      </c>
      <c r="R368" s="408"/>
      <c r="S368" s="408">
        <v>739.04</v>
      </c>
      <c r="T368" s="408">
        <v>252.22</v>
      </c>
      <c r="U368" s="408"/>
      <c r="V368" s="408">
        <v>244.84121999999999</v>
      </c>
      <c r="W368" s="408">
        <v>244.84121999999999</v>
      </c>
      <c r="X368" s="408">
        <v>167.45859000000002</v>
      </c>
      <c r="Y368" s="408">
        <v>0</v>
      </c>
      <c r="Z368" s="408">
        <v>15.277729685981306</v>
      </c>
      <c r="AA368" s="408">
        <v>0</v>
      </c>
      <c r="AB368" s="408">
        <v>0</v>
      </c>
      <c r="AC368" s="408">
        <v>0</v>
      </c>
      <c r="AD368" s="408">
        <v>30.503902481370044</v>
      </c>
      <c r="AE368" s="408">
        <v>125.22597920322167</v>
      </c>
      <c r="AF368" s="408">
        <v>62.299023566808877</v>
      </c>
      <c r="AG368" s="408">
        <v>0</v>
      </c>
      <c r="AH368" s="408">
        <v>0</v>
      </c>
      <c r="AI368" s="408">
        <v>0</v>
      </c>
      <c r="AJ368" s="408">
        <v>0</v>
      </c>
      <c r="AK368" s="408">
        <v>0</v>
      </c>
      <c r="AL368" s="408">
        <v>2.36157420844782</v>
      </c>
      <c r="AM368" s="408"/>
      <c r="AN368" s="408">
        <v>0.57879473917823554</v>
      </c>
      <c r="AO368" s="408">
        <v>0</v>
      </c>
      <c r="AP368" s="408">
        <v>0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8.5941792465073465</v>
      </c>
      <c r="BH368" s="408">
        <v>0</v>
      </c>
      <c r="BI368" s="408">
        <v>0</v>
      </c>
      <c r="BJ368" s="408">
        <v>0</v>
      </c>
      <c r="BK368" s="408">
        <v>181.45</v>
      </c>
      <c r="BL368" s="408">
        <v>2</v>
      </c>
      <c r="BM368" s="408"/>
      <c r="BN368" s="408"/>
      <c r="BO368" s="408"/>
      <c r="BP368" s="408"/>
      <c r="BQ368" s="408"/>
      <c r="BR368" s="408"/>
      <c r="BS368" s="408"/>
      <c r="BT368" s="408"/>
      <c r="BU368" s="408"/>
      <c r="BV368" s="408">
        <v>70.893202813316222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169.49250000000001</v>
      </c>
      <c r="CJ368" s="408">
        <v>-75.378719999999959</v>
      </c>
      <c r="CK368" s="408"/>
      <c r="CL368" s="408"/>
      <c r="CM368" s="408"/>
      <c r="CN368" s="408"/>
      <c r="CO368" s="408">
        <v>-77.382629999999992</v>
      </c>
      <c r="CP368" s="408">
        <v>0</v>
      </c>
      <c r="CQ368" s="408">
        <v>29</v>
      </c>
      <c r="CR368" s="408">
        <v>-0.60075264171241827</v>
      </c>
      <c r="CS368" s="408">
        <v>0</v>
      </c>
      <c r="CT368" s="408">
        <v>0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-7.8397715609735741E-2</v>
      </c>
      <c r="DA368" s="408">
        <v>0</v>
      </c>
      <c r="DB368" s="408">
        <v>0</v>
      </c>
      <c r="DC368" s="408">
        <v>-8.7339273591169331E-9</v>
      </c>
      <c r="DD368" s="408">
        <v>0</v>
      </c>
      <c r="DE368" s="408">
        <v>0</v>
      </c>
      <c r="DF368" s="408">
        <v>0</v>
      </c>
      <c r="DG368" s="408">
        <v>-1.2048424480326503E-9</v>
      </c>
      <c r="DH368" s="408">
        <v>0</v>
      </c>
      <c r="DI368" s="408">
        <v>-0.44423190636422838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-5.932773671371061E-2</v>
      </c>
      <c r="DP368" s="408">
        <v>-1.8795273085952302E-2</v>
      </c>
      <c r="DQ368" s="408">
        <v>0</v>
      </c>
      <c r="DR368" s="408">
        <v>0</v>
      </c>
      <c r="DS368" s="408"/>
      <c r="DT368" s="408"/>
      <c r="DU368" s="408"/>
      <c r="DV368" s="408">
        <v>125.22597920322167</v>
      </c>
      <c r="DW368" s="408">
        <v>0</v>
      </c>
      <c r="DX368" s="408">
        <v>0</v>
      </c>
      <c r="DY368" s="408">
        <v>-77.382629999999992</v>
      </c>
      <c r="DZ368" s="408">
        <v>0</v>
      </c>
      <c r="EA368" s="408">
        <v>0</v>
      </c>
      <c r="EB368" s="408">
        <v>0</v>
      </c>
      <c r="EC368" s="408">
        <v>-76.781698272938485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265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375</v>
      </c>
      <c r="B369" s="408" t="s">
        <v>1031</v>
      </c>
      <c r="C369" s="408" t="s">
        <v>2227</v>
      </c>
      <c r="D369" s="408" t="s">
        <v>2240</v>
      </c>
      <c r="E369" s="408" t="s">
        <v>2241</v>
      </c>
      <c r="F369" s="408" t="s">
        <v>2242</v>
      </c>
      <c r="G369" s="408" t="s">
        <v>1317</v>
      </c>
      <c r="H369" s="408" t="s">
        <v>1317</v>
      </c>
      <c r="I369" s="408" t="s">
        <v>1317</v>
      </c>
      <c r="J369" s="408" t="s">
        <v>2228</v>
      </c>
      <c r="K369" s="828">
        <v>44593</v>
      </c>
      <c r="L369" s="408">
        <v>0</v>
      </c>
      <c r="M369" s="408">
        <v>0</v>
      </c>
      <c r="N369" s="408">
        <v>416.22199999999998</v>
      </c>
      <c r="O369" s="408">
        <v>416.22199999999998</v>
      </c>
      <c r="P369" s="408">
        <v>416.22199999999998</v>
      </c>
      <c r="Q369" s="408">
        <v>416.22199999999998</v>
      </c>
      <c r="R369" s="408"/>
      <c r="S369" s="408">
        <v>406.47</v>
      </c>
      <c r="T369" s="408">
        <v>138.72</v>
      </c>
      <c r="U369" s="408"/>
      <c r="V369" s="408">
        <v>226920.07217999999</v>
      </c>
      <c r="W369" s="408">
        <v>226920.07217999999</v>
      </c>
      <c r="X369" s="408">
        <v>155200.85936</v>
      </c>
      <c r="Y369" s="408">
        <v>0</v>
      </c>
      <c r="Z369" s="408">
        <v>14159.554505859009</v>
      </c>
      <c r="AA369" s="408">
        <v>0</v>
      </c>
      <c r="AB369" s="408">
        <v>0</v>
      </c>
      <c r="AC369" s="408">
        <v>0</v>
      </c>
      <c r="AD369" s="408">
        <v>28271.325563686103</v>
      </c>
      <c r="AE369" s="408">
        <v>116060.70499497098</v>
      </c>
      <c r="AF369" s="408">
        <v>57739.365598636963</v>
      </c>
      <c r="AG369" s="408">
        <v>0</v>
      </c>
      <c r="AH369" s="408">
        <v>0</v>
      </c>
      <c r="AI369" s="408">
        <v>0</v>
      </c>
      <c r="AJ369" s="408">
        <v>0</v>
      </c>
      <c r="AK369" s="408">
        <v>0</v>
      </c>
      <c r="AL369" s="408">
        <v>2188.7308789623999</v>
      </c>
      <c r="AM369" s="408"/>
      <c r="AN369" s="408">
        <v>536.43282251673793</v>
      </c>
      <c r="AO369" s="408">
        <v>0</v>
      </c>
      <c r="AP369" s="408">
        <v>0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0</v>
      </c>
      <c r="BE369" s="408">
        <v>0</v>
      </c>
      <c r="BF369" s="408">
        <v>0</v>
      </c>
      <c r="BG369" s="408">
        <v>7965.1723112829077</v>
      </c>
      <c r="BH369" s="408">
        <v>0</v>
      </c>
      <c r="BI369" s="408">
        <v>0</v>
      </c>
      <c r="BJ369" s="408">
        <v>0</v>
      </c>
      <c r="BK369" s="408">
        <v>53575.79</v>
      </c>
      <c r="BL369" s="408">
        <v>38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>
        <v>65704.537909919876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155200.11360000001</v>
      </c>
      <c r="CJ369" s="408">
        <v>-71719.988580000005</v>
      </c>
      <c r="CK369" s="408"/>
      <c r="CL369" s="408"/>
      <c r="CM369" s="408"/>
      <c r="CN369" s="408"/>
      <c r="CO369" s="408">
        <v>-71719.212820000015</v>
      </c>
      <c r="CP369" s="408">
        <v>0</v>
      </c>
      <c r="CQ369" s="408">
        <v>29</v>
      </c>
      <c r="CR369" s="408">
        <v>-556.7836288309918</v>
      </c>
      <c r="CS369" s="408">
        <v>0</v>
      </c>
      <c r="CT369" s="408">
        <v>0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-72.659796326308424</v>
      </c>
      <c r="DA369" s="408">
        <v>0</v>
      </c>
      <c r="DB369" s="408">
        <v>0</v>
      </c>
      <c r="DC369" s="408">
        <v>-8.0942627391777933E-6</v>
      </c>
      <c r="DD369" s="408">
        <v>0</v>
      </c>
      <c r="DE369" s="408">
        <v>0</v>
      </c>
      <c r="DF369" s="408">
        <v>0</v>
      </c>
      <c r="DG369" s="408">
        <v>-1.1166403055540286E-6</v>
      </c>
      <c r="DH369" s="408">
        <v>0</v>
      </c>
      <c r="DI369" s="408">
        <v>-411.71862709271772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-54.98554686943362</v>
      </c>
      <c r="DP369" s="408">
        <v>-17.419649331619212</v>
      </c>
      <c r="DQ369" s="408">
        <v>0</v>
      </c>
      <c r="DR369" s="408">
        <v>0</v>
      </c>
      <c r="DS369" s="408"/>
      <c r="DT369" s="408"/>
      <c r="DU369" s="408"/>
      <c r="DV369" s="408">
        <v>116060.70499497098</v>
      </c>
      <c r="DW369" s="408">
        <v>0</v>
      </c>
      <c r="DX369" s="408">
        <v>0</v>
      </c>
      <c r="DY369" s="408">
        <v>-71719.212820000001</v>
      </c>
      <c r="DZ369" s="408">
        <v>0</v>
      </c>
      <c r="EA369" s="408">
        <v>0</v>
      </c>
      <c r="EB369" s="408">
        <v>0</v>
      </c>
      <c r="EC369" s="408">
        <v>-71162.055102054408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265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376</v>
      </c>
      <c r="B370" s="408" t="s">
        <v>1031</v>
      </c>
      <c r="C370" s="408" t="s">
        <v>2227</v>
      </c>
      <c r="D370" s="408" t="s">
        <v>1952</v>
      </c>
      <c r="E370" s="408" t="s">
        <v>996</v>
      </c>
      <c r="F370" s="408" t="s">
        <v>2243</v>
      </c>
      <c r="G370" s="408" t="s">
        <v>1317</v>
      </c>
      <c r="H370" s="408" t="s">
        <v>1317</v>
      </c>
      <c r="I370" s="408" t="s">
        <v>1317</v>
      </c>
      <c r="J370" s="408" t="s">
        <v>2228</v>
      </c>
      <c r="K370" s="828">
        <v>44593</v>
      </c>
      <c r="L370" s="408">
        <v>0</v>
      </c>
      <c r="M370" s="408">
        <v>0</v>
      </c>
      <c r="N370" s="408">
        <v>93.42</v>
      </c>
      <c r="O370" s="408">
        <v>87.814800000000005</v>
      </c>
      <c r="P370" s="408">
        <v>93.42</v>
      </c>
      <c r="Q370" s="408">
        <v>87.814800000000005</v>
      </c>
      <c r="R370" s="408"/>
      <c r="S370" s="408">
        <v>739.04</v>
      </c>
      <c r="T370" s="408">
        <v>252.22</v>
      </c>
      <c r="U370" s="408"/>
      <c r="V370" s="408">
        <v>92603.5092</v>
      </c>
      <c r="W370" s="408">
        <v>92603.5092</v>
      </c>
      <c r="X370" s="408">
        <v>63335.957399999999</v>
      </c>
      <c r="Y370" s="408">
        <v>0</v>
      </c>
      <c r="Z370" s="408">
        <v>5778.3218917585982</v>
      </c>
      <c r="AA370" s="408">
        <v>0</v>
      </c>
      <c r="AB370" s="408">
        <v>0</v>
      </c>
      <c r="AC370" s="408">
        <v>0</v>
      </c>
      <c r="AD370" s="408">
        <v>11537.144007326273</v>
      </c>
      <c r="AE370" s="408">
        <v>47362.79747840068</v>
      </c>
      <c r="AF370" s="408">
        <v>23562.650937697512</v>
      </c>
      <c r="AG370" s="408">
        <v>0</v>
      </c>
      <c r="AH370" s="408">
        <v>0</v>
      </c>
      <c r="AI370" s="408">
        <v>0</v>
      </c>
      <c r="AJ370" s="408">
        <v>0</v>
      </c>
      <c r="AK370" s="408">
        <v>0</v>
      </c>
      <c r="AL370" s="408">
        <v>893.19134636921183</v>
      </c>
      <c r="AM370" s="408"/>
      <c r="AN370" s="408">
        <v>218.91094953048892</v>
      </c>
      <c r="AO370" s="408">
        <v>0</v>
      </c>
      <c r="AP370" s="408">
        <v>0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3250.4786445697018</v>
      </c>
      <c r="BH370" s="408">
        <v>0</v>
      </c>
      <c r="BI370" s="408">
        <v>0</v>
      </c>
      <c r="BJ370" s="408">
        <v>0</v>
      </c>
      <c r="BK370" s="408">
        <v>25527.200000000001</v>
      </c>
      <c r="BL370" s="408">
        <v>28</v>
      </c>
      <c r="BM370" s="408"/>
      <c r="BN370" s="408"/>
      <c r="BO370" s="408"/>
      <c r="BP370" s="408"/>
      <c r="BQ370" s="408">
        <v>3800.1574439999977</v>
      </c>
      <c r="BR370" s="408"/>
      <c r="BS370" s="408"/>
      <c r="BT370" s="408"/>
      <c r="BU370" s="408"/>
      <c r="BV370" s="408">
        <v>26813.129582267215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59532.545700000002</v>
      </c>
      <c r="CJ370" s="408">
        <v>-27514.782948000007</v>
      </c>
      <c r="CK370" s="408"/>
      <c r="CL370" s="408"/>
      <c r="CM370" s="408"/>
      <c r="CN370" s="408"/>
      <c r="CO370" s="408">
        <v>-29267.551799999997</v>
      </c>
      <c r="CP370" s="408">
        <v>0</v>
      </c>
      <c r="CQ370" s="408">
        <v>29</v>
      </c>
      <c r="CR370" s="408">
        <v>-227.21583720150375</v>
      </c>
      <c r="CS370" s="408">
        <v>0</v>
      </c>
      <c r="CT370" s="408">
        <v>0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-29.651476082028239</v>
      </c>
      <c r="DA370" s="408">
        <v>0</v>
      </c>
      <c r="DB370" s="408">
        <v>0</v>
      </c>
      <c r="DC370" s="408">
        <v>-3.3033320505637676E-6</v>
      </c>
      <c r="DD370" s="408">
        <v>0</v>
      </c>
      <c r="DE370" s="408">
        <v>0</v>
      </c>
      <c r="DF370" s="408">
        <v>0</v>
      </c>
      <c r="DG370" s="408">
        <v>-4.5569413487100974E-7</v>
      </c>
      <c r="DH370" s="408">
        <v>0</v>
      </c>
      <c r="DI370" s="408">
        <v>-168.01678013176661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-22.438854914149147</v>
      </c>
      <c r="DP370" s="408">
        <v>-7.108722314533054</v>
      </c>
      <c r="DQ370" s="408">
        <v>0</v>
      </c>
      <c r="DR370" s="408">
        <v>0</v>
      </c>
      <c r="DS370" s="408"/>
      <c r="DT370" s="408"/>
      <c r="DU370" s="408"/>
      <c r="DV370" s="408">
        <v>47362.79747840068</v>
      </c>
      <c r="DW370" s="408">
        <v>0</v>
      </c>
      <c r="DX370" s="408">
        <v>0</v>
      </c>
      <c r="DY370" s="408">
        <v>-29267.551800000001</v>
      </c>
      <c r="DZ370" s="408">
        <v>0</v>
      </c>
      <c r="EA370" s="408">
        <v>0</v>
      </c>
      <c r="EB370" s="408">
        <v>0</v>
      </c>
      <c r="EC370" s="408">
        <v>-29040.268229384263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265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377</v>
      </c>
      <c r="B371" s="408" t="s">
        <v>1031</v>
      </c>
      <c r="C371" s="408" t="s">
        <v>2227</v>
      </c>
      <c r="D371" s="408" t="s">
        <v>1952</v>
      </c>
      <c r="E371" s="408" t="s">
        <v>2244</v>
      </c>
      <c r="F371" s="408" t="s">
        <v>1317</v>
      </c>
      <c r="G371" s="408" t="s">
        <v>1317</v>
      </c>
      <c r="H371" s="408" t="s">
        <v>1317</v>
      </c>
      <c r="I371" s="408" t="s">
        <v>1317</v>
      </c>
      <c r="J371" s="408" t="s">
        <v>2228</v>
      </c>
      <c r="K371" s="828">
        <v>44593</v>
      </c>
      <c r="L371" s="408">
        <v>0</v>
      </c>
      <c r="M371" s="408">
        <v>0</v>
      </c>
      <c r="N371" s="408">
        <v>9.9870000000000001</v>
      </c>
      <c r="O371" s="408">
        <v>9.9870000000000001</v>
      </c>
      <c r="P371" s="408">
        <v>9.9870000000000001</v>
      </c>
      <c r="Q371" s="408">
        <v>9.9870000000000001</v>
      </c>
      <c r="R371" s="408"/>
      <c r="S371" s="408">
        <v>739.04</v>
      </c>
      <c r="T371" s="408">
        <v>252.22</v>
      </c>
      <c r="U371" s="408"/>
      <c r="V371" s="408">
        <v>9899.7136200000004</v>
      </c>
      <c r="W371" s="408">
        <v>9899.7136200000004</v>
      </c>
      <c r="X371" s="408">
        <v>6770.8863899999997</v>
      </c>
      <c r="Y371" s="408">
        <v>0</v>
      </c>
      <c r="Z371" s="408">
        <v>617.72747519795678</v>
      </c>
      <c r="AA371" s="408">
        <v>0</v>
      </c>
      <c r="AB371" s="408">
        <v>0</v>
      </c>
      <c r="AC371" s="408">
        <v>0</v>
      </c>
      <c r="AD371" s="408">
        <v>1233.3703404106989</v>
      </c>
      <c r="AE371" s="408">
        <v>5063.2868595245945</v>
      </c>
      <c r="AF371" s="408">
        <v>2518.9487787923895</v>
      </c>
      <c r="AG371" s="408">
        <v>0</v>
      </c>
      <c r="AH371" s="408">
        <v>0</v>
      </c>
      <c r="AI371" s="408">
        <v>0</v>
      </c>
      <c r="AJ371" s="408">
        <v>0</v>
      </c>
      <c r="AK371" s="408">
        <v>0</v>
      </c>
      <c r="AL371" s="408">
        <v>95.485998460600712</v>
      </c>
      <c r="AM371" s="408"/>
      <c r="AN371" s="408">
        <v>23.402522510822017</v>
      </c>
      <c r="AO371" s="408">
        <v>0</v>
      </c>
      <c r="AP371" s="408">
        <v>0</v>
      </c>
      <c r="AQ371" s="408">
        <v>0</v>
      </c>
      <c r="AR371" s="408">
        <v>0</v>
      </c>
      <c r="AS371" s="408">
        <v>0</v>
      </c>
      <c r="AT371" s="408">
        <v>0</v>
      </c>
      <c r="AU371" s="408">
        <v>0</v>
      </c>
      <c r="AV371" s="408">
        <v>0</v>
      </c>
      <c r="AW371" s="408">
        <v>0</v>
      </c>
      <c r="AX371" s="408">
        <v>0</v>
      </c>
      <c r="AY371" s="408">
        <v>0</v>
      </c>
      <c r="AZ371" s="408">
        <v>0</v>
      </c>
      <c r="BA371" s="408"/>
      <c r="BB371" s="408">
        <v>0</v>
      </c>
      <c r="BC371" s="408">
        <v>0</v>
      </c>
      <c r="BD371" s="408">
        <v>0</v>
      </c>
      <c r="BE371" s="408">
        <v>0</v>
      </c>
      <c r="BF371" s="408">
        <v>0</v>
      </c>
      <c r="BG371" s="408">
        <v>347.49015439218164</v>
      </c>
      <c r="BH371" s="408">
        <v>0</v>
      </c>
      <c r="BI371" s="408">
        <v>0</v>
      </c>
      <c r="BJ371" s="408">
        <v>0</v>
      </c>
      <c r="BK371" s="408">
        <v>2729.59</v>
      </c>
      <c r="BL371" s="408">
        <v>11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>
        <v>2866.4389331845709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6772.9202999999998</v>
      </c>
      <c r="CJ371" s="408">
        <v>-3126.8233200000013</v>
      </c>
      <c r="CK371" s="408"/>
      <c r="CL371" s="408"/>
      <c r="CM371" s="408"/>
      <c r="CN371" s="408"/>
      <c r="CO371" s="408">
        <v>-3128.8272299999999</v>
      </c>
      <c r="CP371" s="408">
        <v>0</v>
      </c>
      <c r="CQ371" s="408">
        <v>29</v>
      </c>
      <c r="CR371" s="408">
        <v>-24.290350740006033</v>
      </c>
      <c r="CS371" s="408">
        <v>0</v>
      </c>
      <c r="CT371" s="408">
        <v>0</v>
      </c>
      <c r="CU371" s="408">
        <v>0</v>
      </c>
      <c r="CV371" s="408">
        <v>0</v>
      </c>
      <c r="CW371" s="408">
        <v>0</v>
      </c>
      <c r="CX371" s="408">
        <v>0</v>
      </c>
      <c r="CY371" s="408">
        <v>0</v>
      </c>
      <c r="CZ371" s="408">
        <v>-3.1698703878316792</v>
      </c>
      <c r="DA371" s="408">
        <v>0</v>
      </c>
      <c r="DB371" s="408">
        <v>0</v>
      </c>
      <c r="DC371" s="408">
        <v>-3.5314042179379612E-7</v>
      </c>
      <c r="DD371" s="408">
        <v>0</v>
      </c>
      <c r="DE371" s="408">
        <v>0</v>
      </c>
      <c r="DF371" s="408">
        <v>0</v>
      </c>
      <c r="DG371" s="408">
        <v>-4.871560577157652E-8</v>
      </c>
      <c r="DH371" s="408">
        <v>0</v>
      </c>
      <c r="DI371" s="408">
        <v>-17.961716797002282</v>
      </c>
      <c r="DJ371" s="408"/>
      <c r="DK371" s="408">
        <v>0</v>
      </c>
      <c r="DL371" s="408">
        <v>0</v>
      </c>
      <c r="DM371" s="408">
        <v>0</v>
      </c>
      <c r="DN371" s="408">
        <v>0</v>
      </c>
      <c r="DO371" s="408">
        <v>-2.3988101480154995</v>
      </c>
      <c r="DP371" s="408">
        <v>-0.75995300530123799</v>
      </c>
      <c r="DQ371" s="408">
        <v>0</v>
      </c>
      <c r="DR371" s="408">
        <v>0</v>
      </c>
      <c r="DS371" s="408"/>
      <c r="DT371" s="408"/>
      <c r="DU371" s="408"/>
      <c r="DV371" s="408">
        <v>5063.2868595245945</v>
      </c>
      <c r="DW371" s="408">
        <v>0</v>
      </c>
      <c r="DX371" s="408">
        <v>0</v>
      </c>
      <c r="DY371" s="408">
        <v>-3128.8272299999999</v>
      </c>
      <c r="DZ371" s="408">
        <v>0</v>
      </c>
      <c r="EA371" s="408">
        <v>0</v>
      </c>
      <c r="EB371" s="408">
        <v>0</v>
      </c>
      <c r="EC371" s="408">
        <v>-3104.5296382665451</v>
      </c>
      <c r="ED371" s="408">
        <v>0</v>
      </c>
      <c r="EE371" s="408">
        <v>0</v>
      </c>
      <c r="EF371" s="408">
        <v>0</v>
      </c>
      <c r="EG371" s="408">
        <v>0</v>
      </c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>
        <v>0</v>
      </c>
      <c r="EN371" s="408">
        <v>0</v>
      </c>
      <c r="EO371" s="408">
        <v>0</v>
      </c>
      <c r="EP371" s="408">
        <v>0</v>
      </c>
      <c r="EQ371" s="408">
        <v>0</v>
      </c>
      <c r="ER371" s="408">
        <v>0</v>
      </c>
      <c r="ES371" s="408">
        <v>0</v>
      </c>
      <c r="ET371" s="408">
        <v>0</v>
      </c>
      <c r="EU371" s="408">
        <v>0</v>
      </c>
      <c r="EV371" s="408">
        <v>265</v>
      </c>
      <c r="EW371" s="408">
        <v>0</v>
      </c>
      <c r="EX371" s="408">
        <v>0</v>
      </c>
      <c r="EY371" s="408">
        <v>0</v>
      </c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378</v>
      </c>
      <c r="B372" s="408" t="s">
        <v>1031</v>
      </c>
      <c r="C372" s="408" t="s">
        <v>2227</v>
      </c>
      <c r="D372" s="408" t="s">
        <v>2237</v>
      </c>
      <c r="E372" s="408" t="s">
        <v>969</v>
      </c>
      <c r="F372" s="408" t="s">
        <v>2245</v>
      </c>
      <c r="G372" s="408" t="s">
        <v>2246</v>
      </c>
      <c r="H372" s="408" t="s">
        <v>1317</v>
      </c>
      <c r="I372" s="408" t="s">
        <v>1317</v>
      </c>
      <c r="J372" s="408" t="s">
        <v>2228</v>
      </c>
      <c r="K372" s="828">
        <v>44593</v>
      </c>
      <c r="L372" s="408">
        <v>0</v>
      </c>
      <c r="M372" s="408">
        <v>0</v>
      </c>
      <c r="N372" s="408">
        <v>0</v>
      </c>
      <c r="O372" s="408">
        <v>0</v>
      </c>
      <c r="P372" s="408">
        <v>0</v>
      </c>
      <c r="Q372" s="408">
        <v>0</v>
      </c>
      <c r="R372" s="408"/>
      <c r="S372" s="408"/>
      <c r="T372" s="408"/>
      <c r="U372" s="408"/>
      <c r="V372" s="408"/>
      <c r="W372" s="408"/>
      <c r="X372" s="408"/>
      <c r="Y372" s="408"/>
      <c r="Z372" s="408"/>
      <c r="AA372" s="408">
        <v>0</v>
      </c>
      <c r="AB372" s="408"/>
      <c r="AC372" s="408"/>
      <c r="AD372" s="408"/>
      <c r="AE372" s="408"/>
      <c r="AF372" s="408"/>
      <c r="AG372" s="408"/>
      <c r="AH372" s="408"/>
      <c r="AI372" s="408"/>
      <c r="AJ372" s="408"/>
      <c r="AK372" s="408"/>
      <c r="AL372" s="408"/>
      <c r="AM372" s="408"/>
      <c r="AN372" s="408"/>
      <c r="AO372" s="408"/>
      <c r="AP372" s="408"/>
      <c r="AQ372" s="408"/>
      <c r="AR372" s="408"/>
      <c r="AS372" s="408"/>
      <c r="AT372" s="408"/>
      <c r="AU372" s="408"/>
      <c r="AV372" s="408"/>
      <c r="AW372" s="408"/>
      <c r="AX372" s="408"/>
      <c r="AY372" s="408"/>
      <c r="AZ372" s="408">
        <v>0</v>
      </c>
      <c r="BA372" s="408"/>
      <c r="BB372" s="408"/>
      <c r="BC372" s="408"/>
      <c r="BD372" s="408"/>
      <c r="BE372" s="408"/>
      <c r="BF372" s="408"/>
      <c r="BG372" s="408"/>
      <c r="BH372" s="408"/>
      <c r="BI372" s="408">
        <v>0</v>
      </c>
      <c r="BJ372" s="408">
        <v>0</v>
      </c>
      <c r="BK372" s="408">
        <v>413.29</v>
      </c>
      <c r="BL372" s="408">
        <v>37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/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/>
      <c r="CJ372" s="408">
        <v>-0.03</v>
      </c>
      <c r="CK372" s="408"/>
      <c r="CL372" s="408"/>
      <c r="CM372" s="408"/>
      <c r="CN372" s="408"/>
      <c r="CO372" s="408">
        <v>0</v>
      </c>
      <c r="CP372" s="408">
        <v>0</v>
      </c>
      <c r="CQ372" s="408">
        <v>29</v>
      </c>
      <c r="CR372" s="408"/>
      <c r="CS372" s="408"/>
      <c r="CT372" s="408"/>
      <c r="CU372" s="408"/>
      <c r="CV372" s="408"/>
      <c r="CW372" s="408"/>
      <c r="CX372" s="408"/>
      <c r="CY372" s="408"/>
      <c r="CZ372" s="408"/>
      <c r="DA372" s="408"/>
      <c r="DB372" s="408"/>
      <c r="DC372" s="408"/>
      <c r="DD372" s="408"/>
      <c r="DE372" s="408"/>
      <c r="DF372" s="408"/>
      <c r="DG372" s="408"/>
      <c r="DH372" s="408"/>
      <c r="DI372" s="408"/>
      <c r="DJ372" s="408"/>
      <c r="DK372" s="408">
        <v>0</v>
      </c>
      <c r="DL372" s="408"/>
      <c r="DM372" s="408"/>
      <c r="DN372" s="408"/>
      <c r="DO372" s="408"/>
      <c r="DP372" s="408"/>
      <c r="DQ372" s="408"/>
      <c r="DR372" s="408"/>
      <c r="DS372" s="408"/>
      <c r="DT372" s="408"/>
      <c r="DU372" s="408"/>
      <c r="DV372" s="408"/>
      <c r="DW372" s="408"/>
      <c r="DX372" s="408"/>
      <c r="DY372" s="408"/>
      <c r="DZ372" s="408"/>
      <c r="EA372" s="408"/>
      <c r="EB372" s="408"/>
      <c r="EC372" s="408"/>
      <c r="ED372" s="408"/>
      <c r="EE372" s="408"/>
      <c r="EF372" s="408"/>
      <c r="EG372" s="408"/>
      <c r="EH372" s="408"/>
      <c r="EI372" s="408"/>
      <c r="EJ372" s="408"/>
      <c r="EK372" s="408"/>
      <c r="EL372" s="408"/>
      <c r="EM372" s="408"/>
      <c r="EN372" s="408"/>
      <c r="EO372" s="408"/>
      <c r="EP372" s="408"/>
      <c r="EQ372" s="408"/>
      <c r="ER372" s="408"/>
      <c r="ES372" s="408"/>
      <c r="ET372" s="408"/>
      <c r="EU372" s="408"/>
      <c r="EV372" s="408">
        <v>265</v>
      </c>
      <c r="EW372" s="408"/>
      <c r="EX372" s="408"/>
      <c r="EY372" s="408"/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379</v>
      </c>
      <c r="B373" s="408" t="s">
        <v>2230</v>
      </c>
      <c r="C373" s="408" t="s">
        <v>2227</v>
      </c>
      <c r="D373" s="408" t="s">
        <v>2237</v>
      </c>
      <c r="E373" s="408" t="s">
        <v>969</v>
      </c>
      <c r="F373" s="408" t="s">
        <v>2245</v>
      </c>
      <c r="G373" s="408" t="s">
        <v>2246</v>
      </c>
      <c r="H373" s="408" t="s">
        <v>1317</v>
      </c>
      <c r="I373" s="408" t="s">
        <v>1317</v>
      </c>
      <c r="J373" s="408" t="s">
        <v>2228</v>
      </c>
      <c r="K373" s="828">
        <v>44593</v>
      </c>
      <c r="L373" s="408">
        <v>0</v>
      </c>
      <c r="M373" s="408">
        <v>0</v>
      </c>
      <c r="N373" s="408">
        <v>0</v>
      </c>
      <c r="O373" s="408">
        <v>0</v>
      </c>
      <c r="P373" s="408">
        <v>0</v>
      </c>
      <c r="Q373" s="408">
        <v>0</v>
      </c>
      <c r="R373" s="408"/>
      <c r="S373" s="408"/>
      <c r="T373" s="408"/>
      <c r="U373" s="408"/>
      <c r="V373" s="408"/>
      <c r="W373" s="408"/>
      <c r="X373" s="408"/>
      <c r="Y373" s="408"/>
      <c r="Z373" s="408"/>
      <c r="AA373" s="408">
        <v>0</v>
      </c>
      <c r="AB373" s="408"/>
      <c r="AC373" s="408"/>
      <c r="AD373" s="408"/>
      <c r="AE373" s="408"/>
      <c r="AF373" s="408"/>
      <c r="AG373" s="408"/>
      <c r="AH373" s="408"/>
      <c r="AI373" s="408"/>
      <c r="AJ373" s="408"/>
      <c r="AK373" s="408"/>
      <c r="AL373" s="408"/>
      <c r="AM373" s="408"/>
      <c r="AN373" s="408"/>
      <c r="AO373" s="408"/>
      <c r="AP373" s="408"/>
      <c r="AQ373" s="408"/>
      <c r="AR373" s="408"/>
      <c r="AS373" s="408"/>
      <c r="AT373" s="408"/>
      <c r="AU373" s="408"/>
      <c r="AV373" s="408"/>
      <c r="AW373" s="408"/>
      <c r="AX373" s="408"/>
      <c r="AY373" s="408"/>
      <c r="AZ373" s="408">
        <v>0</v>
      </c>
      <c r="BA373" s="408"/>
      <c r="BB373" s="408"/>
      <c r="BC373" s="408"/>
      <c r="BD373" s="408"/>
      <c r="BE373" s="408"/>
      <c r="BF373" s="408"/>
      <c r="BG373" s="408"/>
      <c r="BH373" s="408"/>
      <c r="BI373" s="408">
        <v>0</v>
      </c>
      <c r="BJ373" s="408">
        <v>0</v>
      </c>
      <c r="BK373" s="408">
        <v>10.210000000000001</v>
      </c>
      <c r="BL373" s="408">
        <v>1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/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/>
      <c r="CJ373" s="408">
        <v>-0.03</v>
      </c>
      <c r="CK373" s="408"/>
      <c r="CL373" s="408"/>
      <c r="CM373" s="408"/>
      <c r="CN373" s="408"/>
      <c r="CO373" s="408">
        <v>0</v>
      </c>
      <c r="CP373" s="408">
        <v>0</v>
      </c>
      <c r="CQ373" s="408">
        <v>29</v>
      </c>
      <c r="CR373" s="408"/>
      <c r="CS373" s="408"/>
      <c r="CT373" s="408"/>
      <c r="CU373" s="408"/>
      <c r="CV373" s="408"/>
      <c r="CW373" s="408"/>
      <c r="CX373" s="408"/>
      <c r="CY373" s="408"/>
      <c r="CZ373" s="408"/>
      <c r="DA373" s="408"/>
      <c r="DB373" s="408"/>
      <c r="DC373" s="408"/>
      <c r="DD373" s="408"/>
      <c r="DE373" s="408"/>
      <c r="DF373" s="408"/>
      <c r="DG373" s="408"/>
      <c r="DH373" s="408"/>
      <c r="DI373" s="408"/>
      <c r="DJ373" s="408"/>
      <c r="DK373" s="408">
        <v>0</v>
      </c>
      <c r="DL373" s="408"/>
      <c r="DM373" s="408"/>
      <c r="DN373" s="408"/>
      <c r="DO373" s="408"/>
      <c r="DP373" s="408"/>
      <c r="DQ373" s="408"/>
      <c r="DR373" s="408"/>
      <c r="DS373" s="408"/>
      <c r="DT373" s="408"/>
      <c r="DU373" s="408"/>
      <c r="DV373" s="408"/>
      <c r="DW373" s="408"/>
      <c r="DX373" s="408"/>
      <c r="DY373" s="408"/>
      <c r="DZ373" s="408"/>
      <c r="EA373" s="408"/>
      <c r="EB373" s="408"/>
      <c r="EC373" s="408"/>
      <c r="ED373" s="408"/>
      <c r="EE373" s="408"/>
      <c r="EF373" s="408"/>
      <c r="EG373" s="408"/>
      <c r="EH373" s="408"/>
      <c r="EI373" s="408"/>
      <c r="EJ373" s="408"/>
      <c r="EK373" s="408"/>
      <c r="EL373" s="408"/>
      <c r="EM373" s="408"/>
      <c r="EN373" s="408"/>
      <c r="EO373" s="408"/>
      <c r="EP373" s="408"/>
      <c r="EQ373" s="408"/>
      <c r="ER373" s="408"/>
      <c r="ES373" s="408"/>
      <c r="ET373" s="408"/>
      <c r="EU373" s="408"/>
      <c r="EV373" s="408">
        <v>265</v>
      </c>
      <c r="EW373" s="408"/>
      <c r="EX373" s="408"/>
      <c r="EY373" s="408"/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380</v>
      </c>
      <c r="B374" s="408" t="s">
        <v>1031</v>
      </c>
      <c r="C374" s="408" t="s">
        <v>2227</v>
      </c>
      <c r="D374" s="408" t="s">
        <v>2237</v>
      </c>
      <c r="E374" s="408" t="s">
        <v>969</v>
      </c>
      <c r="F374" s="408" t="s">
        <v>2245</v>
      </c>
      <c r="G374" s="408" t="s">
        <v>2246</v>
      </c>
      <c r="H374" s="408" t="s">
        <v>1317</v>
      </c>
      <c r="I374" s="408" t="s">
        <v>1317</v>
      </c>
      <c r="J374" s="408" t="s">
        <v>2228</v>
      </c>
      <c r="K374" s="828">
        <v>44593</v>
      </c>
      <c r="L374" s="408">
        <v>0</v>
      </c>
      <c r="M374" s="408">
        <v>0</v>
      </c>
      <c r="N374" s="408">
        <v>220.43299999999999</v>
      </c>
      <c r="O374" s="408">
        <v>220.43299999999999</v>
      </c>
      <c r="P374" s="408">
        <v>220.43299999999999</v>
      </c>
      <c r="Q374" s="408">
        <v>220.43299999999999</v>
      </c>
      <c r="R374" s="408"/>
      <c r="S374" s="408">
        <v>739.04</v>
      </c>
      <c r="T374" s="408">
        <v>252.22</v>
      </c>
      <c r="U374" s="408"/>
      <c r="V374" s="408">
        <v>218506.41558</v>
      </c>
      <c r="W374" s="408">
        <v>218506.41558</v>
      </c>
      <c r="X374" s="408">
        <v>149446.96101</v>
      </c>
      <c r="Y374" s="408">
        <v>0</v>
      </c>
      <c r="Z374" s="408">
        <v>13634.476873967276</v>
      </c>
      <c r="AA374" s="408">
        <v>0</v>
      </c>
      <c r="AB374" s="408">
        <v>0</v>
      </c>
      <c r="AC374" s="408">
        <v>0</v>
      </c>
      <c r="AD374" s="408">
        <v>27222.942249699769</v>
      </c>
      <c r="AE374" s="408">
        <v>111756.83511620955</v>
      </c>
      <c r="AF374" s="408">
        <v>55598.221303248501</v>
      </c>
      <c r="AG374" s="408">
        <v>0</v>
      </c>
      <c r="AH374" s="408">
        <v>0</v>
      </c>
      <c r="AI374" s="408">
        <v>0</v>
      </c>
      <c r="AJ374" s="408">
        <v>0</v>
      </c>
      <c r="AK374" s="408">
        <v>0</v>
      </c>
      <c r="AL374" s="408">
        <v>2107.5663461165113</v>
      </c>
      <c r="AM374" s="408"/>
      <c r="AN374" s="408">
        <v>516.54032688775703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7669.8004609123636</v>
      </c>
      <c r="BH374" s="408">
        <v>0</v>
      </c>
      <c r="BI374" s="408">
        <v>0</v>
      </c>
      <c r="BJ374" s="408">
        <v>0</v>
      </c>
      <c r="BK374" s="408">
        <v>0</v>
      </c>
      <c r="BL374" s="408">
        <v>0</v>
      </c>
      <c r="BM374" s="408"/>
      <c r="BN374" s="408"/>
      <c r="BO374" s="408"/>
      <c r="BP374" s="408"/>
      <c r="BQ374" s="408"/>
      <c r="BR374" s="408">
        <v>17932.224549999992</v>
      </c>
      <c r="BS374" s="408"/>
      <c r="BT374" s="408"/>
      <c r="BU374" s="408"/>
      <c r="BV374" s="408">
        <v>63268.021764160861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131512.94660000002</v>
      </c>
      <c r="CJ374" s="408">
        <v>-60772.993629999983</v>
      </c>
      <c r="CK374" s="408"/>
      <c r="CL374" s="408"/>
      <c r="CM374" s="408"/>
      <c r="CN374" s="408"/>
      <c r="CO374" s="408">
        <v>-69059.454569999987</v>
      </c>
      <c r="CP374" s="408">
        <v>0</v>
      </c>
      <c r="CQ374" s="408">
        <v>29</v>
      </c>
      <c r="CR374" s="408">
        <v>-536.13646587281255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-69.965358886642207</v>
      </c>
      <c r="DA374" s="408">
        <v>0</v>
      </c>
      <c r="DB374" s="408">
        <v>0</v>
      </c>
      <c r="DC374" s="408">
        <v>-7.7945151133462787E-6</v>
      </c>
      <c r="DD374" s="408">
        <v>0</v>
      </c>
      <c r="DE374" s="408">
        <v>0</v>
      </c>
      <c r="DF374" s="408">
        <v>0</v>
      </c>
      <c r="DG374" s="408">
        <v>-1.0752510206657462E-6</v>
      </c>
      <c r="DH374" s="408">
        <v>0</v>
      </c>
      <c r="DI374" s="408">
        <v>-396.4508980388091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-52.946522214629113</v>
      </c>
      <c r="DP374" s="408">
        <v>-16.773677862978673</v>
      </c>
      <c r="DQ374" s="408">
        <v>0</v>
      </c>
      <c r="DR374" s="408">
        <v>0</v>
      </c>
      <c r="DS374" s="408"/>
      <c r="DT374" s="408"/>
      <c r="DU374" s="408"/>
      <c r="DV374" s="408">
        <v>111756.83511620955</v>
      </c>
      <c r="DW374" s="408">
        <v>0</v>
      </c>
      <c r="DX374" s="408">
        <v>0</v>
      </c>
      <c r="DY374" s="408">
        <v>-69059.454570000002</v>
      </c>
      <c r="DZ374" s="408">
        <v>0</v>
      </c>
      <c r="EA374" s="408">
        <v>0</v>
      </c>
      <c r="EB374" s="408">
        <v>0</v>
      </c>
      <c r="EC374" s="408">
        <v>-68523.158280966178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265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381</v>
      </c>
      <c r="B375" s="408" t="s">
        <v>2230</v>
      </c>
      <c r="C375" s="408" t="s">
        <v>2227</v>
      </c>
      <c r="D375" s="408" t="s">
        <v>2237</v>
      </c>
      <c r="E375" s="408" t="s">
        <v>969</v>
      </c>
      <c r="F375" s="408" t="s">
        <v>2245</v>
      </c>
      <c r="G375" s="408" t="s">
        <v>2246</v>
      </c>
      <c r="H375" s="408" t="s">
        <v>1317</v>
      </c>
      <c r="I375" s="408" t="s">
        <v>1317</v>
      </c>
      <c r="J375" s="408" t="s">
        <v>2228</v>
      </c>
      <c r="K375" s="828">
        <v>44593</v>
      </c>
      <c r="L375" s="408">
        <v>0</v>
      </c>
      <c r="M375" s="408">
        <v>0</v>
      </c>
      <c r="N375" s="408">
        <v>0.1</v>
      </c>
      <c r="O375" s="408">
        <v>0.1</v>
      </c>
      <c r="P375" s="408">
        <v>0.1</v>
      </c>
      <c r="Q375" s="408">
        <v>0.1</v>
      </c>
      <c r="R375" s="408"/>
      <c r="S375" s="408">
        <v>739.04</v>
      </c>
      <c r="T375" s="408">
        <v>252.22</v>
      </c>
      <c r="U375" s="408"/>
      <c r="V375" s="408">
        <v>99.126000000000005</v>
      </c>
      <c r="W375" s="408">
        <v>99.126000000000005</v>
      </c>
      <c r="X375" s="408">
        <v>67.796999999999997</v>
      </c>
      <c r="Y375" s="408">
        <v>0</v>
      </c>
      <c r="Z375" s="408">
        <v>6.18531566234061</v>
      </c>
      <c r="AA375" s="408">
        <v>0</v>
      </c>
      <c r="AB375" s="408">
        <v>0</v>
      </c>
      <c r="AC375" s="408">
        <v>0</v>
      </c>
      <c r="AD375" s="408">
        <v>12.349758089623499</v>
      </c>
      <c r="AE375" s="408">
        <v>50.698777005352902</v>
      </c>
      <c r="AF375" s="408">
        <v>25.222276747695901</v>
      </c>
      <c r="AG375" s="408">
        <v>0</v>
      </c>
      <c r="AH375" s="408">
        <v>0</v>
      </c>
      <c r="AI375" s="408">
        <v>0</v>
      </c>
      <c r="AJ375" s="408">
        <v>0</v>
      </c>
      <c r="AK375" s="408">
        <v>0</v>
      </c>
      <c r="AL375" s="408">
        <v>0.95610291839992712</v>
      </c>
      <c r="AM375" s="408"/>
      <c r="AN375" s="408">
        <v>0.23432985391831399</v>
      </c>
      <c r="AO375" s="408">
        <v>0</v>
      </c>
      <c r="AP375" s="408">
        <v>0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</v>
      </c>
      <c r="BF375" s="408">
        <v>0</v>
      </c>
      <c r="BG375" s="408">
        <v>3.4794247961568203</v>
      </c>
      <c r="BH375" s="408">
        <v>0</v>
      </c>
      <c r="BI375" s="408">
        <v>0</v>
      </c>
      <c r="BJ375" s="408">
        <v>0</v>
      </c>
      <c r="BK375" s="408">
        <v>0</v>
      </c>
      <c r="BL375" s="408">
        <v>0</v>
      </c>
      <c r="BM375" s="408"/>
      <c r="BN375" s="408"/>
      <c r="BO375" s="408"/>
      <c r="BP375" s="408"/>
      <c r="BQ375" s="408"/>
      <c r="BR375" s="408">
        <v>8.134999999999998</v>
      </c>
      <c r="BS375" s="408"/>
      <c r="BT375" s="408"/>
      <c r="BU375" s="408"/>
      <c r="BV375" s="408">
        <v>28.701701543852721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59.662000000000006</v>
      </c>
      <c r="CJ375" s="408">
        <v>-27.599000000000018</v>
      </c>
      <c r="CK375" s="408"/>
      <c r="CL375" s="408"/>
      <c r="CM375" s="408"/>
      <c r="CN375" s="408"/>
      <c r="CO375" s="408">
        <v>-31.328999999999997</v>
      </c>
      <c r="CP375" s="408">
        <v>0</v>
      </c>
      <c r="CQ375" s="408">
        <v>29</v>
      </c>
      <c r="CR375" s="408">
        <v>-0.24321969300097379</v>
      </c>
      <c r="CS375" s="408">
        <v>0</v>
      </c>
      <c r="CT375" s="408">
        <v>0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-3.173996583389993E-2</v>
      </c>
      <c r="DA375" s="408">
        <v>0</v>
      </c>
      <c r="DB375" s="408">
        <v>0</v>
      </c>
      <c r="DC375" s="408">
        <v>-3.5360017136554234E-9</v>
      </c>
      <c r="DD375" s="408">
        <v>0</v>
      </c>
      <c r="DE375" s="408">
        <v>0</v>
      </c>
      <c r="DF375" s="408">
        <v>0</v>
      </c>
      <c r="DG375" s="408">
        <v>-4.8779025263456788E-10</v>
      </c>
      <c r="DH375" s="408">
        <v>0</v>
      </c>
      <c r="DI375" s="408">
        <v>-0.17985097423652974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-2.4019326604741154E-2</v>
      </c>
      <c r="DP375" s="408">
        <v>-7.6094223020049812E-3</v>
      </c>
      <c r="DQ375" s="408">
        <v>0</v>
      </c>
      <c r="DR375" s="408">
        <v>0</v>
      </c>
      <c r="DS375" s="408"/>
      <c r="DT375" s="408"/>
      <c r="DU375" s="408"/>
      <c r="DV375" s="408">
        <v>50.698777005352902</v>
      </c>
      <c r="DW375" s="408">
        <v>0</v>
      </c>
      <c r="DX375" s="408">
        <v>0</v>
      </c>
      <c r="DY375" s="408">
        <v>-31.328999999999994</v>
      </c>
      <c r="DZ375" s="408">
        <v>0</v>
      </c>
      <c r="EA375" s="408">
        <v>0</v>
      </c>
      <c r="EB375" s="408">
        <v>0</v>
      </c>
      <c r="EC375" s="408">
        <v>-31.0857078028091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265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382</v>
      </c>
      <c r="B376" s="408" t="s">
        <v>1031</v>
      </c>
      <c r="C376" s="408" t="s">
        <v>2227</v>
      </c>
      <c r="D376" s="408" t="s">
        <v>2237</v>
      </c>
      <c r="E376" s="408" t="s">
        <v>969</v>
      </c>
      <c r="F376" s="408" t="s">
        <v>2245</v>
      </c>
      <c r="G376" s="408" t="s">
        <v>2247</v>
      </c>
      <c r="H376" s="408" t="s">
        <v>1317</v>
      </c>
      <c r="I376" s="408" t="s">
        <v>1317</v>
      </c>
      <c r="J376" s="408" t="s">
        <v>2228</v>
      </c>
      <c r="K376" s="828">
        <v>44593</v>
      </c>
      <c r="L376" s="408">
        <v>0</v>
      </c>
      <c r="M376" s="408">
        <v>0</v>
      </c>
      <c r="N376" s="408">
        <v>101.414</v>
      </c>
      <c r="O376" s="408">
        <v>40.565600000000003</v>
      </c>
      <c r="P376" s="408">
        <v>101.414</v>
      </c>
      <c r="Q376" s="408">
        <v>40.565600000000003</v>
      </c>
      <c r="R376" s="408"/>
      <c r="S376" s="408">
        <v>739.04</v>
      </c>
      <c r="T376" s="408">
        <v>252.22</v>
      </c>
      <c r="U376" s="408"/>
      <c r="V376" s="408">
        <v>100527.64163999999</v>
      </c>
      <c r="W376" s="408">
        <v>100527.64163999999</v>
      </c>
      <c r="X376" s="408">
        <v>68755.649579999998</v>
      </c>
      <c r="Y376" s="408">
        <v>0</v>
      </c>
      <c r="Z376" s="408">
        <v>6272.7760258061062</v>
      </c>
      <c r="AA376" s="408">
        <v>0</v>
      </c>
      <c r="AB376" s="408">
        <v>0</v>
      </c>
      <c r="AC376" s="408">
        <v>0</v>
      </c>
      <c r="AD376" s="408">
        <v>12524.383669010776</v>
      </c>
      <c r="AE376" s="408">
        <v>51415.657712208595</v>
      </c>
      <c r="AF376" s="408">
        <v>25578.919740908321</v>
      </c>
      <c r="AG376" s="408">
        <v>0</v>
      </c>
      <c r="AH376" s="408">
        <v>0</v>
      </c>
      <c r="AI376" s="408">
        <v>0</v>
      </c>
      <c r="AJ376" s="408">
        <v>0</v>
      </c>
      <c r="AK376" s="408">
        <v>0</v>
      </c>
      <c r="AL376" s="408">
        <v>969.62221366610208</v>
      </c>
      <c r="AM376" s="408"/>
      <c r="AN376" s="408">
        <v>237.64327805271895</v>
      </c>
      <c r="AO376" s="408">
        <v>0</v>
      </c>
      <c r="AP376" s="408">
        <v>0</v>
      </c>
      <c r="AQ376" s="408">
        <v>0</v>
      </c>
      <c r="AR376" s="408">
        <v>0</v>
      </c>
      <c r="AS376" s="408">
        <v>0</v>
      </c>
      <c r="AT376" s="408">
        <v>0</v>
      </c>
      <c r="AU376" s="408">
        <v>0</v>
      </c>
      <c r="AV376" s="408">
        <v>0</v>
      </c>
      <c r="AW376" s="408">
        <v>0</v>
      </c>
      <c r="AX376" s="408">
        <v>0</v>
      </c>
      <c r="AY376" s="408">
        <v>0</v>
      </c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0</v>
      </c>
      <c r="BF376" s="408">
        <v>0</v>
      </c>
      <c r="BG376" s="408">
        <v>3528.6238627744779</v>
      </c>
      <c r="BH376" s="408">
        <v>0</v>
      </c>
      <c r="BI376" s="408">
        <v>0</v>
      </c>
      <c r="BJ376" s="408">
        <v>0</v>
      </c>
      <c r="BK376" s="408">
        <v>0</v>
      </c>
      <c r="BL376" s="408">
        <v>0</v>
      </c>
      <c r="BM376" s="408"/>
      <c r="BN376" s="408"/>
      <c r="BO376" s="408"/>
      <c r="BP376" s="408"/>
      <c r="BQ376" s="408"/>
      <c r="BR376" s="408"/>
      <c r="BS376" s="408">
        <v>44553.401308</v>
      </c>
      <c r="BT376" s="408"/>
      <c r="BU376" s="408"/>
      <c r="BV376" s="408">
        <v>29107.5436036828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24204.8734</v>
      </c>
      <c r="CJ376" s="408">
        <v>-11180.935136000004</v>
      </c>
      <c r="CK376" s="408"/>
      <c r="CL376" s="408"/>
      <c r="CM376" s="408"/>
      <c r="CN376" s="408"/>
      <c r="CO376" s="408">
        <v>-31771.992059999997</v>
      </c>
      <c r="CP376" s="408">
        <v>0</v>
      </c>
      <c r="CQ376" s="408">
        <v>29</v>
      </c>
      <c r="CR376" s="408">
        <v>-246.65881946000445</v>
      </c>
      <c r="CS376" s="408">
        <v>0</v>
      </c>
      <c r="CT376" s="408">
        <v>0</v>
      </c>
      <c r="CU376" s="408">
        <v>0</v>
      </c>
      <c r="CV376" s="408">
        <v>0</v>
      </c>
      <c r="CW376" s="408">
        <v>0</v>
      </c>
      <c r="CX376" s="408">
        <v>0</v>
      </c>
      <c r="CY376" s="408">
        <v>0</v>
      </c>
      <c r="CZ376" s="408">
        <v>-32.1887689507912</v>
      </c>
      <c r="DA376" s="408">
        <v>0</v>
      </c>
      <c r="DB376" s="408">
        <v>0</v>
      </c>
      <c r="DC376" s="408">
        <v>-3.5859993658959866E-6</v>
      </c>
      <c r="DD376" s="408">
        <v>0</v>
      </c>
      <c r="DE376" s="408">
        <v>0</v>
      </c>
      <c r="DF376" s="408">
        <v>0</v>
      </c>
      <c r="DG376" s="408">
        <v>-4.9468781071482226E-7</v>
      </c>
      <c r="DH376" s="408">
        <v>0</v>
      </c>
      <c r="DI376" s="408">
        <v>-182.39406701223379</v>
      </c>
      <c r="DJ376" s="408"/>
      <c r="DK376" s="408">
        <v>0</v>
      </c>
      <c r="DL376" s="408">
        <v>0</v>
      </c>
      <c r="DM376" s="408">
        <v>0</v>
      </c>
      <c r="DN376" s="408">
        <v>0</v>
      </c>
      <c r="DO376" s="408">
        <v>-24.358959882932254</v>
      </c>
      <c r="DP376" s="408">
        <v>-7.7170195333553409</v>
      </c>
      <c r="DQ376" s="408">
        <v>0</v>
      </c>
      <c r="DR376" s="408">
        <v>0</v>
      </c>
      <c r="DS376" s="408"/>
      <c r="DT376" s="408"/>
      <c r="DU376" s="408"/>
      <c r="DV376" s="408">
        <v>51415.657712208595</v>
      </c>
      <c r="DW376" s="408">
        <v>0</v>
      </c>
      <c r="DX376" s="408">
        <v>0</v>
      </c>
      <c r="DY376" s="408">
        <v>-31771.99205999999</v>
      </c>
      <c r="DZ376" s="408">
        <v>0</v>
      </c>
      <c r="EA376" s="408">
        <v>0</v>
      </c>
      <c r="EB376" s="408">
        <v>0</v>
      </c>
      <c r="EC376" s="408">
        <v>-31525.259711140825</v>
      </c>
      <c r="ED376" s="408">
        <v>0</v>
      </c>
      <c r="EE376" s="408">
        <v>0</v>
      </c>
      <c r="EF376" s="408">
        <v>0</v>
      </c>
      <c r="EG376" s="408">
        <v>0</v>
      </c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>
        <v>0</v>
      </c>
      <c r="EN376" s="408">
        <v>0</v>
      </c>
      <c r="EO376" s="408">
        <v>0</v>
      </c>
      <c r="EP376" s="408">
        <v>0</v>
      </c>
      <c r="EQ376" s="408">
        <v>0</v>
      </c>
      <c r="ER376" s="408">
        <v>0</v>
      </c>
      <c r="ES376" s="408">
        <v>0</v>
      </c>
      <c r="ET376" s="408">
        <v>0</v>
      </c>
      <c r="EU376" s="408">
        <v>0</v>
      </c>
      <c r="EV376" s="408">
        <v>265</v>
      </c>
      <c r="EW376" s="408">
        <v>0</v>
      </c>
      <c r="EX376" s="408">
        <v>0</v>
      </c>
      <c r="EY376" s="408">
        <v>0</v>
      </c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383</v>
      </c>
      <c r="B377" s="408" t="s">
        <v>1031</v>
      </c>
      <c r="C377" s="408" t="s">
        <v>2235</v>
      </c>
      <c r="D377" s="408" t="s">
        <v>596</v>
      </c>
      <c r="E377" s="408" t="s">
        <v>969</v>
      </c>
      <c r="F377" s="408" t="s">
        <v>2245</v>
      </c>
      <c r="G377" s="408" t="s">
        <v>1317</v>
      </c>
      <c r="H377" s="408" t="s">
        <v>1317</v>
      </c>
      <c r="I377" s="408" t="s">
        <v>968</v>
      </c>
      <c r="J377" s="408" t="s">
        <v>2228</v>
      </c>
      <c r="K377" s="828">
        <v>44593</v>
      </c>
      <c r="L377" s="408">
        <v>0</v>
      </c>
      <c r="M377" s="408">
        <v>0</v>
      </c>
      <c r="N377" s="408">
        <v>51.834000000000003</v>
      </c>
      <c r="O377" s="408">
        <v>49.760640000000002</v>
      </c>
      <c r="P377" s="408">
        <v>51.834000000000003</v>
      </c>
      <c r="Q377" s="408">
        <v>49.760640000000002</v>
      </c>
      <c r="R377" s="408"/>
      <c r="S377" s="408">
        <v>2641.06</v>
      </c>
      <c r="T377" s="408">
        <v>252.22</v>
      </c>
      <c r="U377" s="408"/>
      <c r="V377" s="408">
        <v>149970.27552000002</v>
      </c>
      <c r="W377" s="408">
        <v>149970.27552000002</v>
      </c>
      <c r="X377" s="408">
        <v>89016.601559999996</v>
      </c>
      <c r="Y377" s="408">
        <v>0</v>
      </c>
      <c r="Z377" s="408">
        <v>2789.3039727633395</v>
      </c>
      <c r="AA377" s="408">
        <v>0</v>
      </c>
      <c r="AB377" s="408">
        <v>0</v>
      </c>
      <c r="AC377" s="408">
        <v>0</v>
      </c>
      <c r="AD377" s="408">
        <v>33576.354187610814</v>
      </c>
      <c r="AE377" s="408">
        <v>99111.290719856246</v>
      </c>
      <c r="AF377" s="408">
        <v>13073.714929400694</v>
      </c>
      <c r="AG377" s="408">
        <v>0</v>
      </c>
      <c r="AH377" s="408">
        <v>0</v>
      </c>
      <c r="AI377" s="408">
        <v>0</v>
      </c>
      <c r="AJ377" s="408">
        <v>0</v>
      </c>
      <c r="AK377" s="408">
        <v>0</v>
      </c>
      <c r="AL377" s="408">
        <v>495.58638672341823</v>
      </c>
      <c r="AM377" s="408"/>
      <c r="AN377" s="408">
        <v>124.70773873837733</v>
      </c>
      <c r="AO377" s="408">
        <v>0</v>
      </c>
      <c r="AP377" s="408">
        <v>0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>
        <v>0</v>
      </c>
      <c r="BG377" s="408">
        <v>799.42755451550988</v>
      </c>
      <c r="BH377" s="408">
        <v>0</v>
      </c>
      <c r="BI377" s="408">
        <v>0</v>
      </c>
      <c r="BJ377" s="408">
        <v>0</v>
      </c>
      <c r="BK377" s="408">
        <v>0</v>
      </c>
      <c r="BL377" s="408">
        <v>0</v>
      </c>
      <c r="BM377" s="408"/>
      <c r="BN377" s="408"/>
      <c r="BO377" s="408"/>
      <c r="BP377" s="408"/>
      <c r="BQ377" s="408"/>
      <c r="BR377" s="408">
        <v>3560.6640624000015</v>
      </c>
      <c r="BS377" s="408"/>
      <c r="BT377" s="408"/>
      <c r="BU377" s="408"/>
      <c r="BV377" s="408">
        <v>13873.142483916205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85454.838399999993</v>
      </c>
      <c r="CJ377" s="408">
        <v>-58516.65609920006</v>
      </c>
      <c r="CK377" s="408"/>
      <c r="CL377" s="408"/>
      <c r="CM377" s="408"/>
      <c r="CN377" s="408"/>
      <c r="CO377" s="408">
        <v>-60953.673960000007</v>
      </c>
      <c r="CP377" s="408">
        <v>0</v>
      </c>
      <c r="CQ377" s="408">
        <v>29</v>
      </c>
      <c r="CR377" s="408">
        <v>-183.89885653570673</v>
      </c>
      <c r="CS377" s="408">
        <v>0</v>
      </c>
      <c r="CT377" s="408">
        <v>0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-86.294187060906552</v>
      </c>
      <c r="DA377" s="408">
        <v>0</v>
      </c>
      <c r="DB377" s="408">
        <v>0</v>
      </c>
      <c r="DC377" s="408">
        <v>-1.8328519217902794E-6</v>
      </c>
      <c r="DD377" s="408">
        <v>0</v>
      </c>
      <c r="DE377" s="408">
        <v>0</v>
      </c>
      <c r="DF377" s="408">
        <v>0</v>
      </c>
      <c r="DG377" s="408">
        <v>-1.1207544048374984E-7</v>
      </c>
      <c r="DH377" s="408">
        <v>0</v>
      </c>
      <c r="DI377" s="408">
        <v>-81.104839967613316</v>
      </c>
      <c r="DJ377" s="408"/>
      <c r="DK377" s="408">
        <v>0</v>
      </c>
      <c r="DL377" s="408">
        <v>0</v>
      </c>
      <c r="DM377" s="408">
        <v>0</v>
      </c>
      <c r="DN377" s="408">
        <v>0</v>
      </c>
      <c r="DO377" s="408">
        <v>-12.450177752301556</v>
      </c>
      <c r="DP377" s="408">
        <v>-4.0496498099610534</v>
      </c>
      <c r="DQ377" s="408">
        <v>0</v>
      </c>
      <c r="DR377" s="408">
        <v>0</v>
      </c>
      <c r="DS377" s="408"/>
      <c r="DT377" s="408"/>
      <c r="DU377" s="408"/>
      <c r="DV377" s="408">
        <v>99111.290719856246</v>
      </c>
      <c r="DW377" s="408">
        <v>0</v>
      </c>
      <c r="DX377" s="408">
        <v>0</v>
      </c>
      <c r="DY377" s="408">
        <v>-60953.673960000015</v>
      </c>
      <c r="DZ377" s="408">
        <v>0</v>
      </c>
      <c r="EA377" s="408">
        <v>0</v>
      </c>
      <c r="EB377" s="408">
        <v>0</v>
      </c>
      <c r="EC377" s="408">
        <v>-60769.604421649499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0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265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384</v>
      </c>
      <c r="B378" s="408" t="s">
        <v>2230</v>
      </c>
      <c r="C378" s="408" t="s">
        <v>2235</v>
      </c>
      <c r="D378" s="408" t="s">
        <v>596</v>
      </c>
      <c r="E378" s="408" t="s">
        <v>969</v>
      </c>
      <c r="F378" s="408" t="s">
        <v>2245</v>
      </c>
      <c r="G378" s="408" t="s">
        <v>1317</v>
      </c>
      <c r="H378" s="408" t="s">
        <v>1317</v>
      </c>
      <c r="I378" s="408" t="s">
        <v>968</v>
      </c>
      <c r="J378" s="408" t="s">
        <v>2228</v>
      </c>
      <c r="K378" s="828">
        <v>44593</v>
      </c>
      <c r="L378" s="408">
        <v>0</v>
      </c>
      <c r="M378" s="408">
        <v>0</v>
      </c>
      <c r="N378" s="408">
        <v>5.7590000000000003</v>
      </c>
      <c r="O378" s="408">
        <v>5.5286400000000002</v>
      </c>
      <c r="P378" s="408">
        <v>5.7590000000000003</v>
      </c>
      <c r="Q378" s="408">
        <v>5.5286400000000002</v>
      </c>
      <c r="R378" s="408"/>
      <c r="S378" s="408">
        <v>2641.06</v>
      </c>
      <c r="T378" s="408">
        <v>252.22</v>
      </c>
      <c r="U378" s="408"/>
      <c r="V378" s="408">
        <v>16662.399519999999</v>
      </c>
      <c r="W378" s="408">
        <v>16662.399519999999</v>
      </c>
      <c r="X378" s="408">
        <v>9890.1610600000004</v>
      </c>
      <c r="Y378" s="408">
        <v>0</v>
      </c>
      <c r="Z378" s="408">
        <v>309.90472622495025</v>
      </c>
      <c r="AA378" s="408">
        <v>0</v>
      </c>
      <c r="AB378" s="408">
        <v>0</v>
      </c>
      <c r="AC378" s="408">
        <v>0</v>
      </c>
      <c r="AD378" s="408">
        <v>3730.4900985154659</v>
      </c>
      <c r="AE378" s="408">
        <v>11011.728272092683</v>
      </c>
      <c r="AF378" s="408">
        <v>1452.550917899807</v>
      </c>
      <c r="AG378" s="408">
        <v>0</v>
      </c>
      <c r="AH378" s="408">
        <v>0</v>
      </c>
      <c r="AI378" s="408">
        <v>0</v>
      </c>
      <c r="AJ378" s="408">
        <v>0</v>
      </c>
      <c r="AK378" s="408">
        <v>0</v>
      </c>
      <c r="AL378" s="408">
        <v>55.061967070651804</v>
      </c>
      <c r="AM378" s="408"/>
      <c r="AN378" s="408">
        <v>13.855613446662714</v>
      </c>
      <c r="AO378" s="408">
        <v>0</v>
      </c>
      <c r="AP378" s="408">
        <v>0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>
        <v>0</v>
      </c>
      <c r="BG378" s="408">
        <v>88.820142887965844</v>
      </c>
      <c r="BH378" s="408">
        <v>0</v>
      </c>
      <c r="BI378" s="408">
        <v>0</v>
      </c>
      <c r="BJ378" s="408">
        <v>0</v>
      </c>
      <c r="BK378" s="408">
        <v>0</v>
      </c>
      <c r="BL378" s="408">
        <v>0</v>
      </c>
      <c r="BM378" s="408"/>
      <c r="BN378" s="408"/>
      <c r="BO378" s="408"/>
      <c r="BP378" s="408"/>
      <c r="BQ378" s="408"/>
      <c r="BR378" s="408">
        <v>395.60644240000022</v>
      </c>
      <c r="BS378" s="408"/>
      <c r="BT378" s="408"/>
      <c r="BU378" s="408"/>
      <c r="BV378" s="408">
        <v>1541.3710607877729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9496.8901999999998</v>
      </c>
      <c r="CJ378" s="408">
        <v>-6499.0433392000014</v>
      </c>
      <c r="CK378" s="408"/>
      <c r="CL378" s="408"/>
      <c r="CM378" s="408"/>
      <c r="CN378" s="408"/>
      <c r="CO378" s="408">
        <v>-6772.2384600000005</v>
      </c>
      <c r="CP378" s="408">
        <v>0</v>
      </c>
      <c r="CQ378" s="408">
        <v>29</v>
      </c>
      <c r="CR378" s="408">
        <v>-20.432023667653084</v>
      </c>
      <c r="CS378" s="408">
        <v>0</v>
      </c>
      <c r="CT378" s="408">
        <v>0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-9.5876880673640699</v>
      </c>
      <c r="DA378" s="408">
        <v>0</v>
      </c>
      <c r="DB378" s="408">
        <v>0</v>
      </c>
      <c r="DC378" s="408">
        <v>-2.0363836483738851E-7</v>
      </c>
      <c r="DD378" s="408">
        <v>0</v>
      </c>
      <c r="DE378" s="408">
        <v>0</v>
      </c>
      <c r="DF378" s="408">
        <v>0</v>
      </c>
      <c r="DG378" s="408">
        <v>-1.2452105124793889E-8</v>
      </c>
      <c r="DH378" s="408">
        <v>0</v>
      </c>
      <c r="DI378" s="408">
        <v>-9.0111273174650819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-1.3832730191670422</v>
      </c>
      <c r="DP378" s="408">
        <v>-0.44993504756657288</v>
      </c>
      <c r="DQ378" s="408">
        <v>0</v>
      </c>
      <c r="DR378" s="408">
        <v>0</v>
      </c>
      <c r="DS378" s="408"/>
      <c r="DT378" s="408"/>
      <c r="DU378" s="408"/>
      <c r="DV378" s="408">
        <v>11011.728272092683</v>
      </c>
      <c r="DW378" s="408">
        <v>0</v>
      </c>
      <c r="DX378" s="408">
        <v>0</v>
      </c>
      <c r="DY378" s="408">
        <v>-6772.2384600000005</v>
      </c>
      <c r="DZ378" s="408">
        <v>0</v>
      </c>
      <c r="EA378" s="408">
        <v>0</v>
      </c>
      <c r="EB378" s="408">
        <v>0</v>
      </c>
      <c r="EC378" s="408">
        <v>-6751.7874727838771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265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385</v>
      </c>
      <c r="B379" s="408" t="s">
        <v>1031</v>
      </c>
      <c r="C379" s="408" t="s">
        <v>2235</v>
      </c>
      <c r="D379" s="408" t="s">
        <v>596</v>
      </c>
      <c r="E379" s="408" t="s">
        <v>969</v>
      </c>
      <c r="F379" s="408" t="s">
        <v>2245</v>
      </c>
      <c r="G379" s="408" t="s">
        <v>1317</v>
      </c>
      <c r="H379" s="408" t="s">
        <v>1317</v>
      </c>
      <c r="I379" s="408" t="s">
        <v>2236</v>
      </c>
      <c r="J379" s="408" t="s">
        <v>2228</v>
      </c>
      <c r="K379" s="828">
        <v>44593</v>
      </c>
      <c r="L379" s="408">
        <v>0</v>
      </c>
      <c r="M379" s="408">
        <v>0</v>
      </c>
      <c r="N379" s="408">
        <v>467.863</v>
      </c>
      <c r="O379" s="408">
        <v>449.14848000000001</v>
      </c>
      <c r="P379" s="408">
        <v>467.863</v>
      </c>
      <c r="Q379" s="408">
        <v>449.14848000000001</v>
      </c>
      <c r="R379" s="408"/>
      <c r="S379" s="408">
        <v>81.2</v>
      </c>
      <c r="T379" s="408">
        <v>252.22</v>
      </c>
      <c r="U379" s="408"/>
      <c r="V379" s="408">
        <v>155994.88146</v>
      </c>
      <c r="W379" s="408">
        <v>155994.88146</v>
      </c>
      <c r="X379" s="408">
        <v>155115.29902000001</v>
      </c>
      <c r="Y379" s="408">
        <v>0</v>
      </c>
      <c r="Z379" s="408">
        <v>25176.758973048083</v>
      </c>
      <c r="AA379" s="408">
        <v>0</v>
      </c>
      <c r="AB379" s="408">
        <v>0</v>
      </c>
      <c r="AC379" s="408">
        <v>0</v>
      </c>
      <c r="AD379" s="408">
        <v>0</v>
      </c>
      <c r="AE379" s="408">
        <v>0</v>
      </c>
      <c r="AF379" s="408">
        <v>118005.70066007247</v>
      </c>
      <c r="AG379" s="408">
        <v>0</v>
      </c>
      <c r="AH379" s="408">
        <v>0</v>
      </c>
      <c r="AI379" s="408">
        <v>0</v>
      </c>
      <c r="AJ379" s="408">
        <v>0</v>
      </c>
      <c r="AK379" s="408">
        <v>0</v>
      </c>
      <c r="AL379" s="408">
        <v>4473.2517971134503</v>
      </c>
      <c r="AM379" s="408"/>
      <c r="AN379" s="408">
        <v>1125.634463274172</v>
      </c>
      <c r="AO379" s="408">
        <v>0</v>
      </c>
      <c r="AP379" s="408">
        <v>0</v>
      </c>
      <c r="AQ379" s="408">
        <v>0</v>
      </c>
      <c r="AR379" s="408">
        <v>0</v>
      </c>
      <c r="AS379" s="408">
        <v>0</v>
      </c>
      <c r="AT379" s="408">
        <v>0</v>
      </c>
      <c r="AU379" s="408">
        <v>0</v>
      </c>
      <c r="AV379" s="408">
        <v>0</v>
      </c>
      <c r="AW379" s="408">
        <v>0</v>
      </c>
      <c r="AX379" s="408">
        <v>0</v>
      </c>
      <c r="AY379" s="408">
        <v>0</v>
      </c>
      <c r="AZ379" s="408">
        <v>0</v>
      </c>
      <c r="BA379" s="408"/>
      <c r="BB379" s="408">
        <v>0</v>
      </c>
      <c r="BC379" s="408">
        <v>0</v>
      </c>
      <c r="BD379" s="408">
        <v>0</v>
      </c>
      <c r="BE379" s="408">
        <v>0</v>
      </c>
      <c r="BF379" s="408">
        <v>0</v>
      </c>
      <c r="BG379" s="408">
        <v>7215.7767862462861</v>
      </c>
      <c r="BH379" s="408">
        <v>0</v>
      </c>
      <c r="BI379" s="408">
        <v>0</v>
      </c>
      <c r="BJ379" s="408">
        <v>0</v>
      </c>
      <c r="BK379" s="408">
        <v>0</v>
      </c>
      <c r="BL379" s="408">
        <v>0</v>
      </c>
      <c r="BM379" s="408"/>
      <c r="BN379" s="408"/>
      <c r="BO379" s="408"/>
      <c r="BP379" s="408"/>
      <c r="BQ379" s="408"/>
      <c r="BR379" s="408">
        <v>6204.6119607999972</v>
      </c>
      <c r="BS379" s="408"/>
      <c r="BT379" s="408"/>
      <c r="BU379" s="408"/>
      <c r="BV379" s="408">
        <v>125221.47744631875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148911.19099999999</v>
      </c>
      <c r="CJ379" s="408">
        <v>-843.92520160001004</v>
      </c>
      <c r="CK379" s="408"/>
      <c r="CL379" s="408"/>
      <c r="CM379" s="408"/>
      <c r="CN379" s="408"/>
      <c r="CO379" s="408">
        <v>-879.58244000000457</v>
      </c>
      <c r="CP379" s="408">
        <v>0</v>
      </c>
      <c r="CQ379" s="408">
        <v>29</v>
      </c>
      <c r="CR379" s="408">
        <v>-880.99728893180145</v>
      </c>
      <c r="CS379" s="408">
        <v>0</v>
      </c>
      <c r="CT379" s="408">
        <v>0</v>
      </c>
      <c r="CU379" s="408">
        <v>0</v>
      </c>
      <c r="CV379" s="408">
        <v>0</v>
      </c>
      <c r="CW379" s="408">
        <v>0</v>
      </c>
      <c r="CX379" s="408">
        <v>0</v>
      </c>
      <c r="CY379" s="408">
        <v>0</v>
      </c>
      <c r="CZ379" s="408">
        <v>0</v>
      </c>
      <c r="DA379" s="408">
        <v>0</v>
      </c>
      <c r="DB379" s="408">
        <v>0</v>
      </c>
      <c r="DC379" s="408">
        <v>-1.6543635865673423E-5</v>
      </c>
      <c r="DD379" s="408">
        <v>0</v>
      </c>
      <c r="DE379" s="408">
        <v>0</v>
      </c>
      <c r="DF379" s="408">
        <v>0</v>
      </c>
      <c r="DG379" s="408">
        <v>-1.0116136763826944E-6</v>
      </c>
      <c r="DH379" s="408">
        <v>0</v>
      </c>
      <c r="DI379" s="408">
        <v>-732.06686232526044</v>
      </c>
      <c r="DJ379" s="408"/>
      <c r="DK379" s="408">
        <v>0</v>
      </c>
      <c r="DL379" s="408">
        <v>0</v>
      </c>
      <c r="DM379" s="408">
        <v>0</v>
      </c>
      <c r="DN379" s="408">
        <v>0</v>
      </c>
      <c r="DO379" s="408">
        <v>-112.37754203273926</v>
      </c>
      <c r="DP379" s="408">
        <v>-36.552867018516963</v>
      </c>
      <c r="DQ379" s="408">
        <v>0</v>
      </c>
      <c r="DR379" s="408">
        <v>0</v>
      </c>
      <c r="DS379" s="408"/>
      <c r="DT379" s="408"/>
      <c r="DU379" s="408"/>
      <c r="DV379" s="408">
        <v>0</v>
      </c>
      <c r="DW379" s="408">
        <v>0</v>
      </c>
      <c r="DX379" s="408">
        <v>0</v>
      </c>
      <c r="DY379" s="408">
        <v>-879.58243999999831</v>
      </c>
      <c r="DZ379" s="408">
        <v>0</v>
      </c>
      <c r="EA379" s="408">
        <v>0</v>
      </c>
      <c r="EB379" s="408">
        <v>0</v>
      </c>
      <c r="EC379" s="408">
        <v>0</v>
      </c>
      <c r="ED379" s="408">
        <v>0</v>
      </c>
      <c r="EE379" s="408">
        <v>0</v>
      </c>
      <c r="EF379" s="408">
        <v>0</v>
      </c>
      <c r="EG379" s="408">
        <v>0</v>
      </c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>
        <v>0</v>
      </c>
      <c r="EN379" s="408">
        <v>0</v>
      </c>
      <c r="EO379" s="408">
        <v>0</v>
      </c>
      <c r="EP379" s="408">
        <v>0</v>
      </c>
      <c r="EQ379" s="408">
        <v>0</v>
      </c>
      <c r="ER379" s="408">
        <v>0</v>
      </c>
      <c r="ES379" s="408">
        <v>0</v>
      </c>
      <c r="ET379" s="408">
        <v>0</v>
      </c>
      <c r="EU379" s="408">
        <v>0</v>
      </c>
      <c r="EV379" s="408">
        <v>265</v>
      </c>
      <c r="EW379" s="408">
        <v>0</v>
      </c>
      <c r="EX379" s="408">
        <v>0</v>
      </c>
      <c r="EY379" s="408">
        <v>0</v>
      </c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386</v>
      </c>
      <c r="B380" s="408" t="s">
        <v>2230</v>
      </c>
      <c r="C380" s="408" t="s">
        <v>2235</v>
      </c>
      <c r="D380" s="408" t="s">
        <v>596</v>
      </c>
      <c r="E380" s="408" t="s">
        <v>969</v>
      </c>
      <c r="F380" s="408" t="s">
        <v>2245</v>
      </c>
      <c r="G380" s="408" t="s">
        <v>1317</v>
      </c>
      <c r="H380" s="408" t="s">
        <v>1317</v>
      </c>
      <c r="I380" s="408" t="s">
        <v>2236</v>
      </c>
      <c r="J380" s="408" t="s">
        <v>2228</v>
      </c>
      <c r="K380" s="828">
        <v>44593</v>
      </c>
      <c r="L380" s="408">
        <v>0</v>
      </c>
      <c r="M380" s="408">
        <v>0</v>
      </c>
      <c r="N380" s="408">
        <v>53.62</v>
      </c>
      <c r="O380" s="408">
        <v>51.475199999999994</v>
      </c>
      <c r="P380" s="408">
        <v>53.62</v>
      </c>
      <c r="Q380" s="408">
        <v>51.475199999999994</v>
      </c>
      <c r="R380" s="408"/>
      <c r="S380" s="408">
        <v>81.2</v>
      </c>
      <c r="T380" s="408">
        <v>252.22</v>
      </c>
      <c r="U380" s="408"/>
      <c r="V380" s="408">
        <v>17877.9804</v>
      </c>
      <c r="W380" s="408">
        <v>17877.9804</v>
      </c>
      <c r="X380" s="408">
        <v>17777.174800000001</v>
      </c>
      <c r="Y380" s="408">
        <v>0</v>
      </c>
      <c r="Z380" s="408">
        <v>2885.4126445879201</v>
      </c>
      <c r="AA380" s="408">
        <v>0</v>
      </c>
      <c r="AB380" s="408">
        <v>0</v>
      </c>
      <c r="AC380" s="408">
        <v>0</v>
      </c>
      <c r="AD380" s="408">
        <v>0</v>
      </c>
      <c r="AE380" s="408">
        <v>0</v>
      </c>
      <c r="AF380" s="408">
        <v>13524.184792114542</v>
      </c>
      <c r="AG380" s="408">
        <v>0</v>
      </c>
      <c r="AH380" s="408">
        <v>0</v>
      </c>
      <c r="AI380" s="408">
        <v>0</v>
      </c>
      <c r="AJ380" s="408">
        <v>0</v>
      </c>
      <c r="AK380" s="408">
        <v>0</v>
      </c>
      <c r="AL380" s="408">
        <v>512.66238484604082</v>
      </c>
      <c r="AM380" s="408"/>
      <c r="AN380" s="408">
        <v>129.0046871002005</v>
      </c>
      <c r="AO380" s="408">
        <v>0</v>
      </c>
      <c r="AP380" s="408">
        <v>0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826.9727490280826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>
        <v>711.08699200000115</v>
      </c>
      <c r="BS380" s="408"/>
      <c r="BT380" s="408"/>
      <c r="BU380" s="408"/>
      <c r="BV380" s="408">
        <v>14351.157541142624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17067.679199999999</v>
      </c>
      <c r="CJ380" s="408">
        <v>-95.211983999997756</v>
      </c>
      <c r="CK380" s="408"/>
      <c r="CL380" s="408"/>
      <c r="CM380" s="408"/>
      <c r="CN380" s="408"/>
      <c r="CO380" s="408">
        <v>-100.80560000000051</v>
      </c>
      <c r="CP380" s="408">
        <v>0</v>
      </c>
      <c r="CQ380" s="408">
        <v>29</v>
      </c>
      <c r="CR380" s="408">
        <v>-100.96775045798131</v>
      </c>
      <c r="CS380" s="408">
        <v>0</v>
      </c>
      <c r="CT380" s="408">
        <v>0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0</v>
      </c>
      <c r="DA380" s="408">
        <v>0</v>
      </c>
      <c r="DB380" s="408">
        <v>0</v>
      </c>
      <c r="DC380" s="408">
        <v>-1.896005414891988E-6</v>
      </c>
      <c r="DD380" s="408">
        <v>0</v>
      </c>
      <c r="DE380" s="408">
        <v>0</v>
      </c>
      <c r="DF380" s="408">
        <v>0</v>
      </c>
      <c r="DG380" s="408">
        <v>-1.159371549874777E-7</v>
      </c>
      <c r="DH380" s="408">
        <v>0</v>
      </c>
      <c r="DI380" s="408">
        <v>-83.899400375495588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-12.87916292546214</v>
      </c>
      <c r="DP380" s="408">
        <v>-4.1891851450806854</v>
      </c>
      <c r="DQ380" s="408">
        <v>0</v>
      </c>
      <c r="DR380" s="408">
        <v>0</v>
      </c>
      <c r="DS380" s="408"/>
      <c r="DT380" s="408"/>
      <c r="DU380" s="408"/>
      <c r="DV380" s="408">
        <v>0</v>
      </c>
      <c r="DW380" s="408">
        <v>0</v>
      </c>
      <c r="DX380" s="408">
        <v>0</v>
      </c>
      <c r="DY380" s="408">
        <v>-100.80559999999969</v>
      </c>
      <c r="DZ380" s="408">
        <v>0</v>
      </c>
      <c r="EA380" s="408">
        <v>0</v>
      </c>
      <c r="EB380" s="408">
        <v>0</v>
      </c>
      <c r="EC380" s="408">
        <v>0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265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387</v>
      </c>
      <c r="B381" s="408" t="s">
        <v>1031</v>
      </c>
      <c r="C381" s="408" t="s">
        <v>2235</v>
      </c>
      <c r="D381" s="408" t="s">
        <v>596</v>
      </c>
      <c r="E381" s="408" t="s">
        <v>969</v>
      </c>
      <c r="F381" s="408" t="s">
        <v>2245</v>
      </c>
      <c r="G381" s="408" t="s">
        <v>1317</v>
      </c>
      <c r="H381" s="408" t="s">
        <v>1317</v>
      </c>
      <c r="I381" s="408" t="s">
        <v>1317</v>
      </c>
      <c r="J381" s="408" t="s">
        <v>2228</v>
      </c>
      <c r="K381" s="828">
        <v>44593</v>
      </c>
      <c r="L381" s="408">
        <v>5370</v>
      </c>
      <c r="M381" s="408">
        <v>5155.2</v>
      </c>
      <c r="N381" s="408">
        <v>0</v>
      </c>
      <c r="O381" s="408">
        <v>0</v>
      </c>
      <c r="P381" s="408">
        <v>0</v>
      </c>
      <c r="Q381" s="408">
        <v>0</v>
      </c>
      <c r="R381" s="408">
        <v>74.44</v>
      </c>
      <c r="S381" s="408"/>
      <c r="T381" s="408"/>
      <c r="U381" s="408">
        <v>399742.8</v>
      </c>
      <c r="V381" s="408"/>
      <c r="W381" s="408">
        <v>399742.8</v>
      </c>
      <c r="X381" s="408">
        <v>243905.40000000002</v>
      </c>
      <c r="Y381" s="408">
        <v>0</v>
      </c>
      <c r="Z381" s="408">
        <v>0</v>
      </c>
      <c r="AA381" s="408">
        <v>0</v>
      </c>
      <c r="AB381" s="408">
        <v>0</v>
      </c>
      <c r="AC381" s="408">
        <v>0</v>
      </c>
      <c r="AD381" s="408">
        <v>146155.78688852617</v>
      </c>
      <c r="AE381" s="408">
        <v>253579.65870653695</v>
      </c>
      <c r="AF381" s="408"/>
      <c r="AG381" s="408"/>
      <c r="AH381" s="408"/>
      <c r="AI381" s="408">
        <v>0</v>
      </c>
      <c r="AJ381" s="408">
        <v>0</v>
      </c>
      <c r="AK381" s="408">
        <v>0</v>
      </c>
      <c r="AL381" s="408">
        <v>0</v>
      </c>
      <c r="AM381" s="408"/>
      <c r="AN381" s="408">
        <v>0</v>
      </c>
      <c r="AO381" s="408">
        <v>0</v>
      </c>
      <c r="AP381" s="408">
        <v>0</v>
      </c>
      <c r="AQ381" s="408">
        <v>0</v>
      </c>
      <c r="AR381" s="408">
        <v>0</v>
      </c>
      <c r="AS381" s="408"/>
      <c r="AT381" s="408"/>
      <c r="AU381" s="408">
        <v>0</v>
      </c>
      <c r="AV381" s="408">
        <v>0</v>
      </c>
      <c r="AW381" s="408">
        <v>0</v>
      </c>
      <c r="AX381" s="408"/>
      <c r="AY381" s="408"/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/>
      <c r="BG381" s="408">
        <v>0</v>
      </c>
      <c r="BH381" s="408">
        <v>0</v>
      </c>
      <c r="BI381" s="408">
        <v>0</v>
      </c>
      <c r="BJ381" s="408">
        <v>0</v>
      </c>
      <c r="BK381" s="408">
        <v>1079.97</v>
      </c>
      <c r="BL381" s="408">
        <v>25</v>
      </c>
      <c r="BM381" s="408"/>
      <c r="BN381" s="408"/>
      <c r="BO381" s="408"/>
      <c r="BP381" s="408"/>
      <c r="BQ381" s="408"/>
      <c r="BR381" s="408">
        <v>9756.2160000000094</v>
      </c>
      <c r="BS381" s="408"/>
      <c r="BT381" s="408"/>
      <c r="BU381" s="408"/>
      <c r="BV381" s="408">
        <v>0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234149.18400000001</v>
      </c>
      <c r="CJ381" s="408">
        <v>-149603.93400000001</v>
      </c>
      <c r="CK381" s="408"/>
      <c r="CL381" s="408"/>
      <c r="CM381" s="408"/>
      <c r="CN381" s="408"/>
      <c r="CO381" s="408">
        <v>-155837.39999999997</v>
      </c>
      <c r="CP381" s="408">
        <v>0</v>
      </c>
      <c r="CQ381" s="408">
        <v>29</v>
      </c>
      <c r="CR381" s="408">
        <v>-375.63324306494906</v>
      </c>
      <c r="CS381" s="408">
        <v>0</v>
      </c>
      <c r="CT381" s="408">
        <v>0</v>
      </c>
      <c r="CU381" s="408">
        <v>0</v>
      </c>
      <c r="CV381" s="408">
        <v>0</v>
      </c>
      <c r="CW381" s="408"/>
      <c r="CX381" s="408"/>
      <c r="CY381" s="408"/>
      <c r="CZ381" s="408">
        <v>-375.63324306494906</v>
      </c>
      <c r="DA381" s="408">
        <v>0</v>
      </c>
      <c r="DB381" s="408">
        <v>0</v>
      </c>
      <c r="DC381" s="408"/>
      <c r="DD381" s="408"/>
      <c r="DE381" s="408">
        <v>0</v>
      </c>
      <c r="DF381" s="408">
        <v>0</v>
      </c>
      <c r="DG381" s="408">
        <v>0</v>
      </c>
      <c r="DH381" s="408">
        <v>0</v>
      </c>
      <c r="DI381" s="408">
        <v>0</v>
      </c>
      <c r="DJ381" s="408"/>
      <c r="DK381" s="408">
        <v>0</v>
      </c>
      <c r="DL381" s="408">
        <v>0</v>
      </c>
      <c r="DM381" s="408"/>
      <c r="DN381" s="408">
        <v>0</v>
      </c>
      <c r="DO381" s="408">
        <v>0</v>
      </c>
      <c r="DP381" s="408">
        <v>0</v>
      </c>
      <c r="DQ381" s="408">
        <v>0</v>
      </c>
      <c r="DR381" s="408">
        <v>0</v>
      </c>
      <c r="DS381" s="408"/>
      <c r="DT381" s="408"/>
      <c r="DU381" s="408">
        <v>253579.65870653695</v>
      </c>
      <c r="DV381" s="408"/>
      <c r="DW381" s="408">
        <v>0</v>
      </c>
      <c r="DX381" s="408">
        <v>0</v>
      </c>
      <c r="DY381" s="408">
        <v>-155837.39999999997</v>
      </c>
      <c r="DZ381" s="408"/>
      <c r="EA381" s="408">
        <v>0</v>
      </c>
      <c r="EB381" s="408"/>
      <c r="EC381" s="408">
        <v>-155481.1307273783</v>
      </c>
      <c r="ED381" s="408"/>
      <c r="EE381" s="408">
        <v>0</v>
      </c>
      <c r="EF381" s="408">
        <v>0</v>
      </c>
      <c r="EG381" s="408"/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/>
      <c r="EN381" s="408"/>
      <c r="EO381" s="408">
        <v>0</v>
      </c>
      <c r="EP381" s="408">
        <v>0</v>
      </c>
      <c r="EQ381" s="408"/>
      <c r="ER381" s="408">
        <v>0</v>
      </c>
      <c r="ES381" s="408"/>
      <c r="ET381" s="408">
        <v>0</v>
      </c>
      <c r="EU381" s="408"/>
      <c r="EV381" s="408">
        <v>265</v>
      </c>
      <c r="EW381" s="408"/>
      <c r="EX381" s="408"/>
      <c r="EY381" s="408"/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388</v>
      </c>
      <c r="B382" s="408" t="s">
        <v>2230</v>
      </c>
      <c r="C382" s="408" t="s">
        <v>2235</v>
      </c>
      <c r="D382" s="408" t="s">
        <v>596</v>
      </c>
      <c r="E382" s="408" t="s">
        <v>969</v>
      </c>
      <c r="F382" s="408" t="s">
        <v>2245</v>
      </c>
      <c r="G382" s="408" t="s">
        <v>1317</v>
      </c>
      <c r="H382" s="408" t="s">
        <v>1317</v>
      </c>
      <c r="I382" s="408" t="s">
        <v>1317</v>
      </c>
      <c r="J382" s="408" t="s">
        <v>2228</v>
      </c>
      <c r="K382" s="828">
        <v>44593</v>
      </c>
      <c r="L382" s="408">
        <v>202</v>
      </c>
      <c r="M382" s="408">
        <v>193.92</v>
      </c>
      <c r="N382" s="408">
        <v>0</v>
      </c>
      <c r="O382" s="408">
        <v>0</v>
      </c>
      <c r="P382" s="408">
        <v>0</v>
      </c>
      <c r="Q382" s="408">
        <v>0</v>
      </c>
      <c r="R382" s="408">
        <v>74.44</v>
      </c>
      <c r="S382" s="408"/>
      <c r="T382" s="408"/>
      <c r="U382" s="408">
        <v>15036.88</v>
      </c>
      <c r="V382" s="408"/>
      <c r="W382" s="408">
        <v>15036.88</v>
      </c>
      <c r="X382" s="408">
        <v>9174.84</v>
      </c>
      <c r="Y382" s="408">
        <v>0</v>
      </c>
      <c r="Z382" s="408">
        <v>0</v>
      </c>
      <c r="AA382" s="408">
        <v>0</v>
      </c>
      <c r="AB382" s="408">
        <v>0</v>
      </c>
      <c r="AC382" s="408">
        <v>0</v>
      </c>
      <c r="AD382" s="408">
        <v>5497.8526911512636</v>
      </c>
      <c r="AE382" s="408">
        <v>9538.7506627039966</v>
      </c>
      <c r="AF382" s="408"/>
      <c r="AG382" s="408"/>
      <c r="AH382" s="408"/>
      <c r="AI382" s="408">
        <v>0</v>
      </c>
      <c r="AJ382" s="408">
        <v>0</v>
      </c>
      <c r="AK382" s="408">
        <v>0</v>
      </c>
      <c r="AL382" s="408">
        <v>0</v>
      </c>
      <c r="AM382" s="408"/>
      <c r="AN382" s="408">
        <v>0</v>
      </c>
      <c r="AO382" s="408">
        <v>0</v>
      </c>
      <c r="AP382" s="408">
        <v>0</v>
      </c>
      <c r="AQ382" s="408">
        <v>0</v>
      </c>
      <c r="AR382" s="408">
        <v>0</v>
      </c>
      <c r="AS382" s="408"/>
      <c r="AT382" s="408"/>
      <c r="AU382" s="408">
        <v>0</v>
      </c>
      <c r="AV382" s="408">
        <v>0</v>
      </c>
      <c r="AW382" s="408">
        <v>0</v>
      </c>
      <c r="AX382" s="408"/>
      <c r="AY382" s="408"/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/>
      <c r="BG382" s="408">
        <v>0</v>
      </c>
      <c r="BH382" s="408">
        <v>0</v>
      </c>
      <c r="BI382" s="408">
        <v>0</v>
      </c>
      <c r="BJ382" s="408">
        <v>0</v>
      </c>
      <c r="BK382" s="408">
        <v>403.62</v>
      </c>
      <c r="BL382" s="408">
        <v>2</v>
      </c>
      <c r="BM382" s="408"/>
      <c r="BN382" s="408"/>
      <c r="BO382" s="408"/>
      <c r="BP382" s="408"/>
      <c r="BQ382" s="408"/>
      <c r="BR382" s="408">
        <v>366.99360000000058</v>
      </c>
      <c r="BS382" s="408"/>
      <c r="BT382" s="408"/>
      <c r="BU382" s="408"/>
      <c r="BV382" s="408">
        <v>0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8807.8464000000004</v>
      </c>
      <c r="CJ382" s="408">
        <v>-5627.5883999999987</v>
      </c>
      <c r="CK382" s="408"/>
      <c r="CL382" s="408"/>
      <c r="CM382" s="408"/>
      <c r="CN382" s="408"/>
      <c r="CO382" s="408">
        <v>-5862.0399999999991</v>
      </c>
      <c r="CP382" s="408">
        <v>0</v>
      </c>
      <c r="CQ382" s="408">
        <v>29</v>
      </c>
      <c r="CR382" s="408">
        <v>-14.129965567806721</v>
      </c>
      <c r="CS382" s="408">
        <v>0</v>
      </c>
      <c r="CT382" s="408">
        <v>0</v>
      </c>
      <c r="CU382" s="408">
        <v>0</v>
      </c>
      <c r="CV382" s="408">
        <v>0</v>
      </c>
      <c r="CW382" s="408"/>
      <c r="CX382" s="408"/>
      <c r="CY382" s="408"/>
      <c r="CZ382" s="408">
        <v>-14.129965567806721</v>
      </c>
      <c r="DA382" s="408">
        <v>0</v>
      </c>
      <c r="DB382" s="408">
        <v>0</v>
      </c>
      <c r="DC382" s="408"/>
      <c r="DD382" s="408"/>
      <c r="DE382" s="408">
        <v>0</v>
      </c>
      <c r="DF382" s="408">
        <v>0</v>
      </c>
      <c r="DG382" s="408">
        <v>0</v>
      </c>
      <c r="DH382" s="408">
        <v>0</v>
      </c>
      <c r="DI382" s="408">
        <v>0</v>
      </c>
      <c r="DJ382" s="408"/>
      <c r="DK382" s="408">
        <v>0</v>
      </c>
      <c r="DL382" s="408">
        <v>0</v>
      </c>
      <c r="DM382" s="408"/>
      <c r="DN382" s="408">
        <v>0</v>
      </c>
      <c r="DO382" s="408">
        <v>0</v>
      </c>
      <c r="DP382" s="408">
        <v>0</v>
      </c>
      <c r="DQ382" s="408">
        <v>0</v>
      </c>
      <c r="DR382" s="408">
        <v>0</v>
      </c>
      <c r="DS382" s="408"/>
      <c r="DT382" s="408"/>
      <c r="DU382" s="408">
        <v>9538.7506627039966</v>
      </c>
      <c r="DV382" s="408"/>
      <c r="DW382" s="408">
        <v>0</v>
      </c>
      <c r="DX382" s="408">
        <v>0</v>
      </c>
      <c r="DY382" s="408">
        <v>-5862.0399999999991</v>
      </c>
      <c r="DZ382" s="408"/>
      <c r="EA382" s="408">
        <v>0</v>
      </c>
      <c r="EB382" s="408"/>
      <c r="EC382" s="408">
        <v>-5848.6384370447695</v>
      </c>
      <c r="ED382" s="408"/>
      <c r="EE382" s="408">
        <v>0</v>
      </c>
      <c r="EF382" s="408">
        <v>0</v>
      </c>
      <c r="EG382" s="408"/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/>
      <c r="EN382" s="408"/>
      <c r="EO382" s="408">
        <v>0</v>
      </c>
      <c r="EP382" s="408">
        <v>0</v>
      </c>
      <c r="EQ382" s="408"/>
      <c r="ER382" s="408">
        <v>0</v>
      </c>
      <c r="ES382" s="408"/>
      <c r="ET382" s="408">
        <v>0</v>
      </c>
      <c r="EU382" s="408"/>
      <c r="EV382" s="408">
        <v>265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389</v>
      </c>
      <c r="B383" s="408" t="s">
        <v>1031</v>
      </c>
      <c r="C383" s="408" t="s">
        <v>2235</v>
      </c>
      <c r="D383" s="408" t="s">
        <v>596</v>
      </c>
      <c r="E383" s="408" t="s">
        <v>969</v>
      </c>
      <c r="F383" s="408" t="s">
        <v>2245</v>
      </c>
      <c r="G383" s="408" t="s">
        <v>2247</v>
      </c>
      <c r="H383" s="408" t="s">
        <v>1317</v>
      </c>
      <c r="I383" s="408" t="s">
        <v>2236</v>
      </c>
      <c r="J383" s="408" t="s">
        <v>2228</v>
      </c>
      <c r="K383" s="828">
        <v>44593</v>
      </c>
      <c r="L383" s="408">
        <v>0</v>
      </c>
      <c r="M383" s="408">
        <v>0</v>
      </c>
      <c r="N383" s="408">
        <v>333.94200000000001</v>
      </c>
      <c r="O383" s="408">
        <v>100.18259999999999</v>
      </c>
      <c r="P383" s="408">
        <v>333.94200000000001</v>
      </c>
      <c r="Q383" s="408">
        <v>100.18259999999999</v>
      </c>
      <c r="R383" s="408"/>
      <c r="S383" s="408">
        <v>81.2</v>
      </c>
      <c r="T383" s="408">
        <v>252.22</v>
      </c>
      <c r="U383" s="408"/>
      <c r="V383" s="408">
        <v>111342.94164</v>
      </c>
      <c r="W383" s="408">
        <v>111342.94164</v>
      </c>
      <c r="X383" s="408">
        <v>110715.13068</v>
      </c>
      <c r="Y383" s="408">
        <v>0</v>
      </c>
      <c r="Z383" s="408">
        <v>17970.169141346127</v>
      </c>
      <c r="AA383" s="408">
        <v>0</v>
      </c>
      <c r="AB383" s="408">
        <v>0</v>
      </c>
      <c r="AC383" s="408">
        <v>0</v>
      </c>
      <c r="AD383" s="408">
        <v>0</v>
      </c>
      <c r="AE383" s="408">
        <v>0</v>
      </c>
      <c r="AF383" s="408">
        <v>84227.775416790653</v>
      </c>
      <c r="AG383" s="408">
        <v>0</v>
      </c>
      <c r="AH383" s="408">
        <v>0</v>
      </c>
      <c r="AI383" s="408">
        <v>0</v>
      </c>
      <c r="AJ383" s="408">
        <v>0</v>
      </c>
      <c r="AK383" s="408">
        <v>0</v>
      </c>
      <c r="AL383" s="408">
        <v>3192.8292077630845</v>
      </c>
      <c r="AM383" s="408"/>
      <c r="AN383" s="408">
        <v>803.43310741542621</v>
      </c>
      <c r="AO383" s="408">
        <v>0</v>
      </c>
      <c r="AP383" s="408">
        <v>0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>
        <v>0</v>
      </c>
      <c r="BG383" s="408">
        <v>5150.3344602002235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/>
      <c r="BS383" s="408">
        <v>77500.591476000001</v>
      </c>
      <c r="BT383" s="408"/>
      <c r="BU383" s="408"/>
      <c r="BV383" s="408">
        <v>89378.109876990871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33213.677199999998</v>
      </c>
      <c r="CJ383" s="408">
        <v>-189.23529200000485</v>
      </c>
      <c r="CK383" s="408"/>
      <c r="CL383" s="408"/>
      <c r="CM383" s="408"/>
      <c r="CN383" s="408"/>
      <c r="CO383" s="408">
        <v>-627.81096000000321</v>
      </c>
      <c r="CP383" s="408">
        <v>0</v>
      </c>
      <c r="CQ383" s="408">
        <v>29</v>
      </c>
      <c r="CR383" s="408">
        <v>-628.82082289144455</v>
      </c>
      <c r="CS383" s="408">
        <v>0</v>
      </c>
      <c r="CT383" s="408">
        <v>0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0</v>
      </c>
      <c r="DA383" s="408">
        <v>0</v>
      </c>
      <c r="DB383" s="408">
        <v>0</v>
      </c>
      <c r="DC383" s="408">
        <v>-1.1808195267803967E-5</v>
      </c>
      <c r="DD383" s="408">
        <v>0</v>
      </c>
      <c r="DE383" s="408">
        <v>0</v>
      </c>
      <c r="DF383" s="408">
        <v>0</v>
      </c>
      <c r="DG383" s="408">
        <v>-7.220487532322295E-7</v>
      </c>
      <c r="DH383" s="408">
        <v>0</v>
      </c>
      <c r="DI383" s="408">
        <v>-522.5202081349089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-80.210619650404624</v>
      </c>
      <c r="DP383" s="408">
        <v>-26.089982575877116</v>
      </c>
      <c r="DQ383" s="408">
        <v>0</v>
      </c>
      <c r="DR383" s="408">
        <v>0</v>
      </c>
      <c r="DS383" s="408"/>
      <c r="DT383" s="408"/>
      <c r="DU383" s="408"/>
      <c r="DV383" s="408">
        <v>0</v>
      </c>
      <c r="DW383" s="408">
        <v>0</v>
      </c>
      <c r="DX383" s="408">
        <v>0</v>
      </c>
      <c r="DY383" s="408">
        <v>-627.81096000000252</v>
      </c>
      <c r="DZ383" s="408">
        <v>0</v>
      </c>
      <c r="EA383" s="408">
        <v>0</v>
      </c>
      <c r="EB383" s="408">
        <v>0</v>
      </c>
      <c r="EC383" s="408">
        <v>0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265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390</v>
      </c>
      <c r="B384" s="408" t="s">
        <v>1031</v>
      </c>
      <c r="C384" s="408" t="s">
        <v>2227</v>
      </c>
      <c r="D384" s="408" t="s">
        <v>1949</v>
      </c>
      <c r="E384" s="408" t="s">
        <v>964</v>
      </c>
      <c r="F384" s="408" t="s">
        <v>964</v>
      </c>
      <c r="G384" s="408" t="s">
        <v>1317</v>
      </c>
      <c r="H384" s="408" t="s">
        <v>1317</v>
      </c>
      <c r="I384" s="408" t="s">
        <v>1317</v>
      </c>
      <c r="J384" s="408" t="s">
        <v>2228</v>
      </c>
      <c r="K384" s="828">
        <v>44621</v>
      </c>
      <c r="L384" s="408">
        <v>0</v>
      </c>
      <c r="M384" s="408">
        <v>0</v>
      </c>
      <c r="N384" s="408">
        <v>1295.683</v>
      </c>
      <c r="O384" s="408">
        <v>1295.683</v>
      </c>
      <c r="P384" s="408">
        <v>1295.683</v>
      </c>
      <c r="Q384" s="408">
        <v>1295.683</v>
      </c>
      <c r="R384" s="408"/>
      <c r="S384" s="408">
        <v>739.04</v>
      </c>
      <c r="T384" s="408">
        <v>252.22</v>
      </c>
      <c r="U384" s="408"/>
      <c r="V384" s="408">
        <v>1284358.73058</v>
      </c>
      <c r="W384" s="408">
        <v>1284358.73058</v>
      </c>
      <c r="X384" s="408">
        <v>878434.20351000002</v>
      </c>
      <c r="Y384" s="408">
        <v>0</v>
      </c>
      <c r="Z384" s="408">
        <v>80142.083533284691</v>
      </c>
      <c r="AA384" s="408">
        <v>0</v>
      </c>
      <c r="AB384" s="408">
        <v>0</v>
      </c>
      <c r="AC384" s="408">
        <v>0</v>
      </c>
      <c r="AD384" s="408">
        <v>160013.71610837645</v>
      </c>
      <c r="AE384" s="408">
        <v>656895.43486626667</v>
      </c>
      <c r="AF384" s="408">
        <v>326800.75203284866</v>
      </c>
      <c r="AG384" s="408">
        <v>0</v>
      </c>
      <c r="AH384" s="408">
        <v>0</v>
      </c>
      <c r="AI384" s="408">
        <v>0</v>
      </c>
      <c r="AJ384" s="408">
        <v>0</v>
      </c>
      <c r="AK384" s="408">
        <v>0</v>
      </c>
      <c r="AL384" s="408">
        <v>12388.062976211726</v>
      </c>
      <c r="AM384" s="408"/>
      <c r="AN384" s="408">
        <v>3036.1720811444279</v>
      </c>
      <c r="AO384" s="408">
        <v>0</v>
      </c>
      <c r="AP384" s="408">
        <v>0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0</v>
      </c>
      <c r="BF384" s="408">
        <v>0</v>
      </c>
      <c r="BG384" s="408">
        <v>45082.315581588577</v>
      </c>
      <c r="BH384" s="408">
        <v>0</v>
      </c>
      <c r="BI384" s="408">
        <v>0</v>
      </c>
      <c r="BJ384" s="408">
        <v>0</v>
      </c>
      <c r="BK384" s="408">
        <v>344942.89</v>
      </c>
      <c r="BL384" s="408">
        <v>8202</v>
      </c>
      <c r="BM384" s="408"/>
      <c r="BN384" s="408"/>
      <c r="BO384" s="408"/>
      <c r="BP384" s="408"/>
      <c r="BQ384" s="408"/>
      <c r="BR384" s="408"/>
      <c r="BS384" s="408"/>
      <c r="BT384" s="408"/>
      <c r="BU384" s="408"/>
      <c r="BV384" s="408">
        <v>371883.06761443726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878432.16960000002</v>
      </c>
      <c r="CJ384" s="408">
        <v>-405926.59097999998</v>
      </c>
      <c r="CK384" s="408"/>
      <c r="CL384" s="408"/>
      <c r="CM384" s="408"/>
      <c r="CN384" s="408"/>
      <c r="CO384" s="408">
        <v>-405924.52706999995</v>
      </c>
      <c r="CP384" s="408">
        <v>0</v>
      </c>
      <c r="CQ384" s="408">
        <v>31</v>
      </c>
      <c r="CR384" s="408">
        <v>-3151.3562148658093</v>
      </c>
      <c r="CS384" s="408">
        <v>0</v>
      </c>
      <c r="CT384" s="408">
        <v>0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-411.24934151564958</v>
      </c>
      <c r="DA384" s="408">
        <v>0</v>
      </c>
      <c r="DB384" s="408">
        <v>0</v>
      </c>
      <c r="DC384" s="408">
        <v>-4.5815366320312023E-5</v>
      </c>
      <c r="DD384" s="408">
        <v>0</v>
      </c>
      <c r="DE384" s="408">
        <v>0</v>
      </c>
      <c r="DF384" s="408">
        <v>0</v>
      </c>
      <c r="DG384" s="408">
        <v>-6.3202169258147478E-6</v>
      </c>
      <c r="DH384" s="408">
        <v>0</v>
      </c>
      <c r="DI384" s="408">
        <v>-2330.2984985171061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-311.21433153210819</v>
      </c>
      <c r="DP384" s="408">
        <v>-98.593991165287207</v>
      </c>
      <c r="DQ384" s="408">
        <v>0</v>
      </c>
      <c r="DR384" s="408">
        <v>0</v>
      </c>
      <c r="DS384" s="408"/>
      <c r="DT384" s="408"/>
      <c r="DU384" s="408"/>
      <c r="DV384" s="408">
        <v>656895.43486626667</v>
      </c>
      <c r="DW384" s="408">
        <v>0</v>
      </c>
      <c r="DX384" s="408">
        <v>0</v>
      </c>
      <c r="DY384" s="408">
        <v>-405924.52706999995</v>
      </c>
      <c r="DZ384" s="408">
        <v>0</v>
      </c>
      <c r="EA384" s="408">
        <v>0</v>
      </c>
      <c r="EB384" s="408">
        <v>0</v>
      </c>
      <c r="EC384" s="408">
        <v>-402772.23143067106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265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391</v>
      </c>
      <c r="B385" s="408" t="s">
        <v>2229</v>
      </c>
      <c r="C385" s="408" t="s">
        <v>2227</v>
      </c>
      <c r="D385" s="408" t="s">
        <v>1949</v>
      </c>
      <c r="E385" s="408" t="s">
        <v>964</v>
      </c>
      <c r="F385" s="408" t="s">
        <v>964</v>
      </c>
      <c r="G385" s="408" t="s">
        <v>1317</v>
      </c>
      <c r="H385" s="408" t="s">
        <v>1317</v>
      </c>
      <c r="I385" s="408" t="s">
        <v>1317</v>
      </c>
      <c r="J385" s="408" t="s">
        <v>2228</v>
      </c>
      <c r="K385" s="828">
        <v>44621</v>
      </c>
      <c r="L385" s="408">
        <v>0</v>
      </c>
      <c r="M385" s="408">
        <v>0</v>
      </c>
      <c r="N385" s="408">
        <v>-2.258</v>
      </c>
      <c r="O385" s="408">
        <v>-2.258</v>
      </c>
      <c r="P385" s="408">
        <v>-2.258</v>
      </c>
      <c r="Q385" s="408">
        <v>-2.258</v>
      </c>
      <c r="R385" s="408"/>
      <c r="S385" s="408">
        <v>739.04</v>
      </c>
      <c r="T385" s="408">
        <v>252.22</v>
      </c>
      <c r="U385" s="408"/>
      <c r="V385" s="408">
        <v>-2238.2650799999997</v>
      </c>
      <c r="W385" s="408">
        <v>-2238.2650799999997</v>
      </c>
      <c r="X385" s="408">
        <v>-1530.85626</v>
      </c>
      <c r="Y385" s="408">
        <v>0</v>
      </c>
      <c r="Z385" s="408">
        <v>-139.66442765565097</v>
      </c>
      <c r="AA385" s="408">
        <v>0</v>
      </c>
      <c r="AB385" s="408">
        <v>0</v>
      </c>
      <c r="AC385" s="408">
        <v>0</v>
      </c>
      <c r="AD385" s="408">
        <v>-278.85753766369862</v>
      </c>
      <c r="AE385" s="408">
        <v>-1144.7783847808685</v>
      </c>
      <c r="AF385" s="408">
        <v>-569.51900896297343</v>
      </c>
      <c r="AG385" s="408">
        <v>0</v>
      </c>
      <c r="AH385" s="408">
        <v>0</v>
      </c>
      <c r="AI385" s="408">
        <v>0</v>
      </c>
      <c r="AJ385" s="408">
        <v>0</v>
      </c>
      <c r="AK385" s="408">
        <v>0</v>
      </c>
      <c r="AL385" s="408">
        <v>-21.588803897470353</v>
      </c>
      <c r="AM385" s="408"/>
      <c r="AN385" s="408">
        <v>-5.2911681014755301</v>
      </c>
      <c r="AO385" s="408">
        <v>0</v>
      </c>
      <c r="AP385" s="408">
        <v>0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0</v>
      </c>
      <c r="BF385" s="408">
        <v>0</v>
      </c>
      <c r="BG385" s="408">
        <v>-78.565411897220997</v>
      </c>
      <c r="BH385" s="408">
        <v>0</v>
      </c>
      <c r="BI385" s="408">
        <v>0</v>
      </c>
      <c r="BJ385" s="408">
        <v>0</v>
      </c>
      <c r="BK385" s="408">
        <v>-626.85</v>
      </c>
      <c r="BL385" s="408">
        <v>0</v>
      </c>
      <c r="BM385" s="408"/>
      <c r="BN385" s="408"/>
      <c r="BO385" s="408"/>
      <c r="BP385" s="408"/>
      <c r="BQ385" s="408"/>
      <c r="BR385" s="408"/>
      <c r="BS385" s="408"/>
      <c r="BT385" s="408"/>
      <c r="BU385" s="408"/>
      <c r="BV385" s="408">
        <v>-648.08442086019443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-1532.2121999999999</v>
      </c>
      <c r="CJ385" s="408">
        <v>706.02287999999953</v>
      </c>
      <c r="CK385" s="408"/>
      <c r="CL385" s="408"/>
      <c r="CM385" s="408"/>
      <c r="CN385" s="408"/>
      <c r="CO385" s="408">
        <v>707.40881999999988</v>
      </c>
      <c r="CP385" s="408">
        <v>0</v>
      </c>
      <c r="CQ385" s="408">
        <v>31</v>
      </c>
      <c r="CR385" s="408">
        <v>5.4919006679619997</v>
      </c>
      <c r="CS385" s="408">
        <v>0</v>
      </c>
      <c r="CT385" s="408">
        <v>0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0.7166884285294941</v>
      </c>
      <c r="DA385" s="408">
        <v>0</v>
      </c>
      <c r="DB385" s="408">
        <v>0</v>
      </c>
      <c r="DC385" s="408">
        <v>7.9842948252917267E-8</v>
      </c>
      <c r="DD385" s="408">
        <v>0</v>
      </c>
      <c r="DE385" s="408">
        <v>0</v>
      </c>
      <c r="DF385" s="408">
        <v>0</v>
      </c>
      <c r="DG385" s="408">
        <v>1.1014307688128611E-8</v>
      </c>
      <c r="DH385" s="408">
        <v>0</v>
      </c>
      <c r="DI385" s="408">
        <v>4.0610349982608227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0.54235639473505515</v>
      </c>
      <c r="DP385" s="408">
        <v>0.17182075557927323</v>
      </c>
      <c r="DQ385" s="408">
        <v>0</v>
      </c>
      <c r="DR385" s="408">
        <v>0</v>
      </c>
      <c r="DS385" s="408"/>
      <c r="DT385" s="408"/>
      <c r="DU385" s="408"/>
      <c r="DV385" s="408">
        <v>-1144.7783847808685</v>
      </c>
      <c r="DW385" s="408">
        <v>0</v>
      </c>
      <c r="DX385" s="408">
        <v>0</v>
      </c>
      <c r="DY385" s="408">
        <v>707.40881999999988</v>
      </c>
      <c r="DZ385" s="408">
        <v>0</v>
      </c>
      <c r="EA385" s="408">
        <v>0</v>
      </c>
      <c r="EB385" s="408">
        <v>0</v>
      </c>
      <c r="EC385" s="408">
        <v>701.91528218742951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265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392</v>
      </c>
      <c r="B386" s="408" t="s">
        <v>2230</v>
      </c>
      <c r="C386" s="408" t="s">
        <v>2227</v>
      </c>
      <c r="D386" s="408" t="s">
        <v>1949</v>
      </c>
      <c r="E386" s="408" t="s">
        <v>964</v>
      </c>
      <c r="F386" s="408" t="s">
        <v>964</v>
      </c>
      <c r="G386" s="408" t="s">
        <v>1317</v>
      </c>
      <c r="H386" s="408" t="s">
        <v>1317</v>
      </c>
      <c r="I386" s="408" t="s">
        <v>1317</v>
      </c>
      <c r="J386" s="408" t="s">
        <v>2228</v>
      </c>
      <c r="K386" s="828">
        <v>44621</v>
      </c>
      <c r="L386" s="408">
        <v>0</v>
      </c>
      <c r="M386" s="408">
        <v>0</v>
      </c>
      <c r="N386" s="408">
        <v>41.749000000000002</v>
      </c>
      <c r="O386" s="408">
        <v>41.749000000000002</v>
      </c>
      <c r="P386" s="408">
        <v>41.749000000000002</v>
      </c>
      <c r="Q386" s="408">
        <v>41.749000000000002</v>
      </c>
      <c r="R386" s="408"/>
      <c r="S386" s="408">
        <v>739.04</v>
      </c>
      <c r="T386" s="408">
        <v>252.22</v>
      </c>
      <c r="U386" s="408"/>
      <c r="V386" s="408">
        <v>41384.113740000001</v>
      </c>
      <c r="W386" s="408">
        <v>41384.113740000001</v>
      </c>
      <c r="X386" s="408">
        <v>28304.569530000001</v>
      </c>
      <c r="Y386" s="408">
        <v>0</v>
      </c>
      <c r="Z386" s="408">
        <v>2582.3074358705812</v>
      </c>
      <c r="AA386" s="408">
        <v>0</v>
      </c>
      <c r="AB386" s="408">
        <v>0</v>
      </c>
      <c r="AC386" s="408">
        <v>0</v>
      </c>
      <c r="AD386" s="408">
        <v>5155.9005048369154</v>
      </c>
      <c r="AE386" s="408">
        <v>21166.232411964782</v>
      </c>
      <c r="AF386" s="408">
        <v>10530.048319395562</v>
      </c>
      <c r="AG386" s="408">
        <v>0</v>
      </c>
      <c r="AH386" s="408">
        <v>0</v>
      </c>
      <c r="AI386" s="408">
        <v>0</v>
      </c>
      <c r="AJ386" s="408">
        <v>0</v>
      </c>
      <c r="AK386" s="408">
        <v>0</v>
      </c>
      <c r="AL386" s="408">
        <v>399.16340740278554</v>
      </c>
      <c r="AM386" s="408"/>
      <c r="AN386" s="408">
        <v>97.83037071235691</v>
      </c>
      <c r="AO386" s="408">
        <v>0</v>
      </c>
      <c r="AP386" s="408">
        <v>0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</v>
      </c>
      <c r="BE386" s="408">
        <v>0</v>
      </c>
      <c r="BF386" s="408">
        <v>0</v>
      </c>
      <c r="BG386" s="408">
        <v>1452.625058147511</v>
      </c>
      <c r="BH386" s="408">
        <v>0</v>
      </c>
      <c r="BI386" s="408">
        <v>0</v>
      </c>
      <c r="BJ386" s="408">
        <v>0</v>
      </c>
      <c r="BK386" s="408">
        <v>31288.73</v>
      </c>
      <c r="BL386" s="408">
        <v>517</v>
      </c>
      <c r="BM386" s="408"/>
      <c r="BN386" s="408"/>
      <c r="BO386" s="408"/>
      <c r="BP386" s="408"/>
      <c r="BQ386" s="408"/>
      <c r="BR386" s="408"/>
      <c r="BS386" s="408"/>
      <c r="BT386" s="408"/>
      <c r="BU386" s="408"/>
      <c r="BV386" s="408">
        <v>11982.673377543073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28305.247499999998</v>
      </c>
      <c r="CJ386" s="408">
        <v>-13078.896240000002</v>
      </c>
      <c r="CK386" s="408"/>
      <c r="CL386" s="408"/>
      <c r="CM386" s="408"/>
      <c r="CN386" s="408"/>
      <c r="CO386" s="408">
        <v>-13079.54421</v>
      </c>
      <c r="CP386" s="408">
        <v>0</v>
      </c>
      <c r="CQ386" s="408">
        <v>31</v>
      </c>
      <c r="CR386" s="408">
        <v>-101.54178963097365</v>
      </c>
      <c r="CS386" s="408">
        <v>0</v>
      </c>
      <c r="CT386" s="408">
        <v>0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-13.25111833599567</v>
      </c>
      <c r="DA386" s="408">
        <v>0</v>
      </c>
      <c r="DB386" s="408">
        <v>0</v>
      </c>
      <c r="DC386" s="408">
        <v>-1.4762463251827285E-6</v>
      </c>
      <c r="DD386" s="408">
        <v>0</v>
      </c>
      <c r="DE386" s="408">
        <v>0</v>
      </c>
      <c r="DF386" s="408">
        <v>0</v>
      </c>
      <c r="DG386" s="408">
        <v>-2.0364768715808168E-7</v>
      </c>
      <c r="DH386" s="408">
        <v>0</v>
      </c>
      <c r="DI386" s="408">
        <v>-75.085983234008381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-10.027828664213359</v>
      </c>
      <c r="DP386" s="408">
        <v>-3.1768577168640633</v>
      </c>
      <c r="DQ386" s="408">
        <v>0</v>
      </c>
      <c r="DR386" s="408">
        <v>0</v>
      </c>
      <c r="DS386" s="408"/>
      <c r="DT386" s="408"/>
      <c r="DU386" s="408"/>
      <c r="DV386" s="408">
        <v>21166.232411964782</v>
      </c>
      <c r="DW386" s="408">
        <v>0</v>
      </c>
      <c r="DX386" s="408">
        <v>0</v>
      </c>
      <c r="DY386" s="408">
        <v>-13079.54421</v>
      </c>
      <c r="DZ386" s="408">
        <v>0</v>
      </c>
      <c r="EA386" s="408">
        <v>0</v>
      </c>
      <c r="EB386" s="408">
        <v>0</v>
      </c>
      <c r="EC386" s="408">
        <v>-12977.972150594771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265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393</v>
      </c>
      <c r="B387" s="408" t="s">
        <v>2230</v>
      </c>
      <c r="C387" s="408" t="s">
        <v>2227</v>
      </c>
      <c r="D387" s="408" t="s">
        <v>1949</v>
      </c>
      <c r="E387" s="408" t="s">
        <v>964</v>
      </c>
      <c r="F387" s="408" t="s">
        <v>964</v>
      </c>
      <c r="G387" s="408" t="s">
        <v>1317</v>
      </c>
      <c r="H387" s="408" t="s">
        <v>1317</v>
      </c>
      <c r="I387" s="408" t="s">
        <v>1317</v>
      </c>
      <c r="J387" s="408" t="s">
        <v>2228</v>
      </c>
      <c r="K387" s="828">
        <v>44621</v>
      </c>
      <c r="L387" s="408">
        <v>0</v>
      </c>
      <c r="M387" s="408">
        <v>0</v>
      </c>
      <c r="N387" s="408">
        <v>0</v>
      </c>
      <c r="O387" s="408">
        <v>0</v>
      </c>
      <c r="P387" s="408">
        <v>0</v>
      </c>
      <c r="Q387" s="408">
        <v>0</v>
      </c>
      <c r="R387" s="408"/>
      <c r="S387" s="408"/>
      <c r="T387" s="408"/>
      <c r="U387" s="408"/>
      <c r="V387" s="408"/>
      <c r="W387" s="408"/>
      <c r="X387" s="408"/>
      <c r="Y387" s="408"/>
      <c r="Z387" s="408"/>
      <c r="AA387" s="408">
        <v>0</v>
      </c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408"/>
      <c r="AL387" s="408"/>
      <c r="AM387" s="408"/>
      <c r="AN387" s="408"/>
      <c r="AO387" s="408"/>
      <c r="AP387" s="408"/>
      <c r="AQ387" s="408"/>
      <c r="AR387" s="408"/>
      <c r="AS387" s="408"/>
      <c r="AT387" s="408"/>
      <c r="AU387" s="408"/>
      <c r="AV387" s="408"/>
      <c r="AW387" s="408"/>
      <c r="AX387" s="408"/>
      <c r="AY387" s="408"/>
      <c r="AZ387" s="408">
        <v>0</v>
      </c>
      <c r="BA387" s="408"/>
      <c r="BB387" s="408"/>
      <c r="BC387" s="408"/>
      <c r="BD387" s="408"/>
      <c r="BE387" s="408"/>
      <c r="BF387" s="408"/>
      <c r="BG387" s="408"/>
      <c r="BH387" s="408"/>
      <c r="BI387" s="408">
        <v>0</v>
      </c>
      <c r="BJ387" s="408">
        <v>0</v>
      </c>
      <c r="BK387" s="408">
        <v>-161.51</v>
      </c>
      <c r="BL387" s="408">
        <v>2</v>
      </c>
      <c r="BM387" s="408"/>
      <c r="BN387" s="408"/>
      <c r="BO387" s="408"/>
      <c r="BP387" s="408"/>
      <c r="BQ387" s="408"/>
      <c r="BR387" s="408"/>
      <c r="BS387" s="408"/>
      <c r="BT387" s="408"/>
      <c r="BU387" s="408"/>
      <c r="BV387" s="408"/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/>
      <c r="CJ387" s="408">
        <v>-0.03</v>
      </c>
      <c r="CK387" s="408"/>
      <c r="CL387" s="408"/>
      <c r="CM387" s="408"/>
      <c r="CN387" s="408"/>
      <c r="CO387" s="408">
        <v>0</v>
      </c>
      <c r="CP387" s="408">
        <v>0</v>
      </c>
      <c r="CQ387" s="408">
        <v>31</v>
      </c>
      <c r="CR387" s="408"/>
      <c r="CS387" s="408"/>
      <c r="CT387" s="408"/>
      <c r="CU387" s="408"/>
      <c r="CV387" s="408"/>
      <c r="CW387" s="408"/>
      <c r="CX387" s="408"/>
      <c r="CY387" s="408"/>
      <c r="CZ387" s="408"/>
      <c r="DA387" s="408"/>
      <c r="DB387" s="408"/>
      <c r="DC387" s="408"/>
      <c r="DD387" s="408"/>
      <c r="DE387" s="408"/>
      <c r="DF387" s="408"/>
      <c r="DG387" s="408"/>
      <c r="DH387" s="408"/>
      <c r="DI387" s="408"/>
      <c r="DJ387" s="408"/>
      <c r="DK387" s="408">
        <v>0</v>
      </c>
      <c r="DL387" s="408"/>
      <c r="DM387" s="408"/>
      <c r="DN387" s="408"/>
      <c r="DO387" s="408"/>
      <c r="DP387" s="408"/>
      <c r="DQ387" s="408"/>
      <c r="DR387" s="408"/>
      <c r="DS387" s="408"/>
      <c r="DT387" s="408"/>
      <c r="DU387" s="408"/>
      <c r="DV387" s="408"/>
      <c r="DW387" s="408"/>
      <c r="DX387" s="408"/>
      <c r="DY387" s="408"/>
      <c r="DZ387" s="408"/>
      <c r="EA387" s="408"/>
      <c r="EB387" s="408"/>
      <c r="EC387" s="408"/>
      <c r="ED387" s="408"/>
      <c r="EE387" s="408"/>
      <c r="EF387" s="408"/>
      <c r="EG387" s="408"/>
      <c r="EH387" s="408"/>
      <c r="EI387" s="408"/>
      <c r="EJ387" s="408"/>
      <c r="EK387" s="408"/>
      <c r="EL387" s="408"/>
      <c r="EM387" s="408"/>
      <c r="EN387" s="408"/>
      <c r="EO387" s="408"/>
      <c r="EP387" s="408"/>
      <c r="EQ387" s="408"/>
      <c r="ER387" s="408"/>
      <c r="ES387" s="408"/>
      <c r="ET387" s="408"/>
      <c r="EU387" s="408"/>
      <c r="EV387" s="408">
        <v>265</v>
      </c>
      <c r="EW387" s="408"/>
      <c r="EX387" s="408"/>
      <c r="EY387" s="408"/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394</v>
      </c>
      <c r="B388" s="408" t="s">
        <v>1031</v>
      </c>
      <c r="C388" s="408" t="s">
        <v>2227</v>
      </c>
      <c r="D388" s="408" t="s">
        <v>1949</v>
      </c>
      <c r="E388" s="408" t="s">
        <v>964</v>
      </c>
      <c r="F388" s="408" t="s">
        <v>2231</v>
      </c>
      <c r="G388" s="408" t="s">
        <v>1317</v>
      </c>
      <c r="H388" s="408" t="s">
        <v>1317</v>
      </c>
      <c r="I388" s="408" t="s">
        <v>1317</v>
      </c>
      <c r="J388" s="408" t="s">
        <v>2228</v>
      </c>
      <c r="K388" s="828">
        <v>44621</v>
      </c>
      <c r="L388" s="408">
        <v>0</v>
      </c>
      <c r="M388" s="408">
        <v>0</v>
      </c>
      <c r="N388" s="408">
        <v>9.6300000000000008</v>
      </c>
      <c r="O388" s="408">
        <v>9.6300000000000008</v>
      </c>
      <c r="P388" s="408">
        <v>9.6300000000000008</v>
      </c>
      <c r="Q388" s="408">
        <v>9.6300000000000008</v>
      </c>
      <c r="R388" s="408"/>
      <c r="S388" s="408">
        <v>667.62</v>
      </c>
      <c r="T388" s="408">
        <v>252.22</v>
      </c>
      <c r="U388" s="408"/>
      <c r="V388" s="408">
        <v>8858.0591999999997</v>
      </c>
      <c r="W388" s="408">
        <v>8858.0591999999997</v>
      </c>
      <c r="X388" s="408">
        <v>5860.7217000000001</v>
      </c>
      <c r="Y388" s="408">
        <v>0</v>
      </c>
      <c r="Z388" s="408">
        <v>0</v>
      </c>
      <c r="AA388" s="408">
        <v>0</v>
      </c>
      <c r="AB388" s="408">
        <v>0</v>
      </c>
      <c r="AC388" s="408">
        <v>0</v>
      </c>
      <c r="AD388" s="408">
        <v>1189.2817040307432</v>
      </c>
      <c r="AE388" s="408">
        <v>4882.2922256154843</v>
      </c>
      <c r="AF388" s="408">
        <v>2428.9052508031155</v>
      </c>
      <c r="AG388" s="408">
        <v>0</v>
      </c>
      <c r="AH388" s="408">
        <v>0</v>
      </c>
      <c r="AI388" s="408">
        <v>0</v>
      </c>
      <c r="AJ388" s="408">
        <v>0</v>
      </c>
      <c r="AK388" s="408">
        <v>0</v>
      </c>
      <c r="AL388" s="408">
        <v>0</v>
      </c>
      <c r="AM388" s="408"/>
      <c r="AN388" s="408">
        <v>22.565964932333639</v>
      </c>
      <c r="AO388" s="408">
        <v>0</v>
      </c>
      <c r="AP388" s="408">
        <v>0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>
        <v>0</v>
      </c>
      <c r="BG388" s="408">
        <v>335.06860786990183</v>
      </c>
      <c r="BH388" s="408">
        <v>0</v>
      </c>
      <c r="BI388" s="408">
        <v>0</v>
      </c>
      <c r="BJ388" s="408">
        <v>0</v>
      </c>
      <c r="BK388" s="408">
        <v>645.41</v>
      </c>
      <c r="BL388" s="408">
        <v>14</v>
      </c>
      <c r="BM388" s="408"/>
      <c r="BN388" s="408"/>
      <c r="BO388" s="408"/>
      <c r="BP388" s="408"/>
      <c r="BQ388" s="408"/>
      <c r="BR388" s="408"/>
      <c r="BS388" s="408"/>
      <c r="BT388" s="408">
        <v>3809.4354000000003</v>
      </c>
      <c r="BU388" s="408"/>
      <c r="BV388" s="408">
        <v>2763.9738586730173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2051.2863000000002</v>
      </c>
      <c r="CJ388" s="408">
        <v>-1049.1222000000002</v>
      </c>
      <c r="CK388" s="408"/>
      <c r="CL388" s="408"/>
      <c r="CM388" s="408"/>
      <c r="CN388" s="408"/>
      <c r="CO388" s="408">
        <v>-2997.3375000000001</v>
      </c>
      <c r="CP388" s="408">
        <v>0</v>
      </c>
      <c r="CQ388" s="408">
        <v>31</v>
      </c>
      <c r="CR388" s="408">
        <v>-3.7893464649791895</v>
      </c>
      <c r="CS388" s="408">
        <v>0</v>
      </c>
      <c r="CT388" s="408">
        <v>0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-3.0565587098046763</v>
      </c>
      <c r="DA388" s="408">
        <v>0</v>
      </c>
      <c r="DB388" s="408">
        <v>0</v>
      </c>
      <c r="DC388" s="408">
        <v>-3.4051709008053876E-7</v>
      </c>
      <c r="DD388" s="408">
        <v>0</v>
      </c>
      <c r="DE388" s="408">
        <v>0</v>
      </c>
      <c r="DF388" s="408">
        <v>0</v>
      </c>
      <c r="DG388" s="408">
        <v>-4.6974207634775667E-8</v>
      </c>
      <c r="DH388" s="408">
        <v>0</v>
      </c>
      <c r="DI388" s="408">
        <v>0</v>
      </c>
      <c r="DJ388" s="408"/>
      <c r="DK388" s="408">
        <v>0</v>
      </c>
      <c r="DL388" s="408">
        <v>0</v>
      </c>
      <c r="DM388" s="408">
        <v>0</v>
      </c>
      <c r="DN388" s="408">
        <v>0</v>
      </c>
      <c r="DO388" s="408">
        <v>0</v>
      </c>
      <c r="DP388" s="408">
        <v>-0.7327873676830805</v>
      </c>
      <c r="DQ388" s="408">
        <v>0</v>
      </c>
      <c r="DR388" s="408">
        <v>0</v>
      </c>
      <c r="DS388" s="408"/>
      <c r="DT388" s="408"/>
      <c r="DU388" s="408"/>
      <c r="DV388" s="408">
        <v>4882.2922256154843</v>
      </c>
      <c r="DW388" s="408">
        <v>0</v>
      </c>
      <c r="DX388" s="408">
        <v>0</v>
      </c>
      <c r="DY388" s="408">
        <v>-2997.3375000000001</v>
      </c>
      <c r="DZ388" s="408">
        <v>0</v>
      </c>
      <c r="EA388" s="408">
        <v>0</v>
      </c>
      <c r="EB388" s="408">
        <v>0</v>
      </c>
      <c r="EC388" s="408">
        <v>-2993.5536614105158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0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265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395</v>
      </c>
      <c r="B389" s="408" t="s">
        <v>2230</v>
      </c>
      <c r="C389" s="408" t="s">
        <v>2227</v>
      </c>
      <c r="D389" s="408" t="s">
        <v>1949</v>
      </c>
      <c r="E389" s="408" t="s">
        <v>964</v>
      </c>
      <c r="F389" s="408" t="s">
        <v>2231</v>
      </c>
      <c r="G389" s="408" t="s">
        <v>1317</v>
      </c>
      <c r="H389" s="408" t="s">
        <v>1317</v>
      </c>
      <c r="I389" s="408" t="s">
        <v>1317</v>
      </c>
      <c r="J389" s="408" t="s">
        <v>2228</v>
      </c>
      <c r="K389" s="828">
        <v>44621</v>
      </c>
      <c r="L389" s="408">
        <v>0</v>
      </c>
      <c r="M389" s="408">
        <v>0</v>
      </c>
      <c r="N389" s="408">
        <v>0.09</v>
      </c>
      <c r="O389" s="408">
        <v>-0.14399999999999999</v>
      </c>
      <c r="P389" s="408">
        <v>0.09</v>
      </c>
      <c r="Q389" s="408">
        <v>-0.14399999999999999</v>
      </c>
      <c r="R389" s="408"/>
      <c r="S389" s="408">
        <v>667.62</v>
      </c>
      <c r="T389" s="408">
        <v>252.22</v>
      </c>
      <c r="U389" s="408"/>
      <c r="V389" s="408">
        <v>82.785600000000002</v>
      </c>
      <c r="W389" s="408">
        <v>82.785600000000002</v>
      </c>
      <c r="X389" s="408">
        <v>54.773099999999999</v>
      </c>
      <c r="Y389" s="408">
        <v>0</v>
      </c>
      <c r="Z389" s="408">
        <v>0</v>
      </c>
      <c r="AA389" s="408">
        <v>0</v>
      </c>
      <c r="AB389" s="408">
        <v>0</v>
      </c>
      <c r="AC389" s="408">
        <v>0</v>
      </c>
      <c r="AD389" s="408">
        <v>11.114782280661149</v>
      </c>
      <c r="AE389" s="408">
        <v>45.628899304817608</v>
      </c>
      <c r="AF389" s="408">
        <v>22.700049072926308</v>
      </c>
      <c r="AG389" s="408">
        <v>0</v>
      </c>
      <c r="AH389" s="408">
        <v>0</v>
      </c>
      <c r="AI389" s="408">
        <v>0</v>
      </c>
      <c r="AJ389" s="408">
        <v>0</v>
      </c>
      <c r="AK389" s="408">
        <v>0</v>
      </c>
      <c r="AL389" s="408">
        <v>0</v>
      </c>
      <c r="AM389" s="408"/>
      <c r="AN389" s="408">
        <v>0.21089686852648257</v>
      </c>
      <c r="AO389" s="408">
        <v>0</v>
      </c>
      <c r="AP389" s="408">
        <v>0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>
        <v>0</v>
      </c>
      <c r="BG389" s="408">
        <v>3.1314823165411383</v>
      </c>
      <c r="BH389" s="408">
        <v>0</v>
      </c>
      <c r="BI389" s="408">
        <v>0</v>
      </c>
      <c r="BJ389" s="408">
        <v>0</v>
      </c>
      <c r="BK389" s="408">
        <v>7.6</v>
      </c>
      <c r="BL389" s="408">
        <v>0</v>
      </c>
      <c r="BM389" s="408"/>
      <c r="BN389" s="408"/>
      <c r="BO389" s="408"/>
      <c r="BP389" s="408"/>
      <c r="BQ389" s="408"/>
      <c r="BR389" s="408"/>
      <c r="BS389" s="408"/>
      <c r="BT389" s="408">
        <v>85.446539999999999</v>
      </c>
      <c r="BU389" s="408"/>
      <c r="BV389" s="408">
        <v>25.831531389467447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-29.821400000000004</v>
      </c>
      <c r="CJ389" s="408">
        <v>16.509399999999992</v>
      </c>
      <c r="CK389" s="408"/>
      <c r="CL389" s="408"/>
      <c r="CM389" s="408"/>
      <c r="CN389" s="408"/>
      <c r="CO389" s="408">
        <v>-28.012499999999999</v>
      </c>
      <c r="CP389" s="408">
        <v>0</v>
      </c>
      <c r="CQ389" s="408">
        <v>31</v>
      </c>
      <c r="CR389" s="408">
        <v>-3.541445294372636E-2</v>
      </c>
      <c r="CS389" s="408">
        <v>0</v>
      </c>
      <c r="CT389" s="408">
        <v>0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-2.8565969250509582E-2</v>
      </c>
      <c r="DA389" s="408">
        <v>0</v>
      </c>
      <c r="DB389" s="408">
        <v>0</v>
      </c>
      <c r="DC389" s="408">
        <v>-3.1824001212044095E-9</v>
      </c>
      <c r="DD389" s="408">
        <v>0</v>
      </c>
      <c r="DE389" s="408">
        <v>0</v>
      </c>
      <c r="DF389" s="408">
        <v>0</v>
      </c>
      <c r="DG389" s="408">
        <v>-4.39011493824637E-10</v>
      </c>
      <c r="DH389" s="408">
        <v>0</v>
      </c>
      <c r="DI389" s="408">
        <v>0</v>
      </c>
      <c r="DJ389" s="408"/>
      <c r="DK389" s="408">
        <v>0</v>
      </c>
      <c r="DL389" s="408">
        <v>0</v>
      </c>
      <c r="DM389" s="408">
        <v>0</v>
      </c>
      <c r="DN389" s="408">
        <v>0</v>
      </c>
      <c r="DO389" s="408">
        <v>0</v>
      </c>
      <c r="DP389" s="408">
        <v>-6.8484800718044692E-3</v>
      </c>
      <c r="DQ389" s="408">
        <v>0</v>
      </c>
      <c r="DR389" s="408">
        <v>0</v>
      </c>
      <c r="DS389" s="408"/>
      <c r="DT389" s="408"/>
      <c r="DU389" s="408"/>
      <c r="DV389" s="408">
        <v>45.628899304817608</v>
      </c>
      <c r="DW389" s="408">
        <v>0</v>
      </c>
      <c r="DX389" s="408">
        <v>0</v>
      </c>
      <c r="DY389" s="408">
        <v>-28.012500000000003</v>
      </c>
      <c r="DZ389" s="408">
        <v>0</v>
      </c>
      <c r="EA389" s="408">
        <v>0</v>
      </c>
      <c r="EB389" s="408">
        <v>0</v>
      </c>
      <c r="EC389" s="408">
        <v>-27.977137022528186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0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265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396</v>
      </c>
      <c r="B390" s="408" t="s">
        <v>1031</v>
      </c>
      <c r="C390" s="408" t="s">
        <v>2227</v>
      </c>
      <c r="D390" s="408" t="s">
        <v>1949</v>
      </c>
      <c r="E390" s="408" t="s">
        <v>964</v>
      </c>
      <c r="F390" s="408" t="s">
        <v>2232</v>
      </c>
      <c r="G390" s="408" t="s">
        <v>1317</v>
      </c>
      <c r="H390" s="408" t="s">
        <v>1317</v>
      </c>
      <c r="I390" s="408" t="s">
        <v>1317</v>
      </c>
      <c r="J390" s="408" t="s">
        <v>2228</v>
      </c>
      <c r="K390" s="828">
        <v>44621</v>
      </c>
      <c r="L390" s="408">
        <v>0</v>
      </c>
      <c r="M390" s="408">
        <v>0</v>
      </c>
      <c r="N390" s="408">
        <v>19.401</v>
      </c>
      <c r="O390" s="408">
        <v>19.401</v>
      </c>
      <c r="P390" s="408">
        <v>19.401</v>
      </c>
      <c r="Q390" s="408">
        <v>19.401</v>
      </c>
      <c r="R390" s="408"/>
      <c r="S390" s="408">
        <v>667.62</v>
      </c>
      <c r="T390" s="408">
        <v>252.22</v>
      </c>
      <c r="U390" s="408"/>
      <c r="V390" s="408">
        <v>17845.815839999999</v>
      </c>
      <c r="W390" s="408">
        <v>17845.815839999999</v>
      </c>
      <c r="X390" s="408">
        <v>11807.25459</v>
      </c>
      <c r="Y390" s="408">
        <v>0</v>
      </c>
      <c r="Z390" s="408">
        <v>0</v>
      </c>
      <c r="AA390" s="408">
        <v>0</v>
      </c>
      <c r="AB390" s="408">
        <v>0</v>
      </c>
      <c r="AC390" s="408">
        <v>0</v>
      </c>
      <c r="AD390" s="408">
        <v>2395.976566967855</v>
      </c>
      <c r="AE390" s="408">
        <v>9836.0697268085169</v>
      </c>
      <c r="AF390" s="408">
        <v>4893.3739118204812</v>
      </c>
      <c r="AG390" s="408">
        <v>0</v>
      </c>
      <c r="AH390" s="408">
        <v>0</v>
      </c>
      <c r="AI390" s="408">
        <v>0</v>
      </c>
      <c r="AJ390" s="408">
        <v>0</v>
      </c>
      <c r="AK390" s="408">
        <v>0</v>
      </c>
      <c r="AL390" s="408">
        <v>0</v>
      </c>
      <c r="AM390" s="408"/>
      <c r="AN390" s="408">
        <v>45.462334958692097</v>
      </c>
      <c r="AO390" s="408">
        <v>0</v>
      </c>
      <c r="AP390" s="408">
        <v>0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0</v>
      </c>
      <c r="BF390" s="408">
        <v>0</v>
      </c>
      <c r="BG390" s="408">
        <v>675.04320470238474</v>
      </c>
      <c r="BH390" s="408">
        <v>0</v>
      </c>
      <c r="BI390" s="408">
        <v>0</v>
      </c>
      <c r="BJ390" s="408">
        <v>0</v>
      </c>
      <c r="BK390" s="408">
        <v>2344.89</v>
      </c>
      <c r="BL390" s="408">
        <v>73</v>
      </c>
      <c r="BM390" s="408"/>
      <c r="BN390" s="408"/>
      <c r="BO390" s="408"/>
      <c r="BP390" s="408"/>
      <c r="BQ390" s="408"/>
      <c r="BR390" s="408"/>
      <c r="BS390" s="408"/>
      <c r="BT390" s="408">
        <v>4722.9794400000001</v>
      </c>
      <c r="BU390" s="408"/>
      <c r="BV390" s="408">
        <v>5568.4171165228663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7083.91</v>
      </c>
      <c r="CJ390" s="408">
        <v>-3623.5319</v>
      </c>
      <c r="CK390" s="408"/>
      <c r="CL390" s="408"/>
      <c r="CM390" s="408"/>
      <c r="CN390" s="408"/>
      <c r="CO390" s="408">
        <v>-6038.5612499999997</v>
      </c>
      <c r="CP390" s="408">
        <v>0</v>
      </c>
      <c r="CQ390" s="408">
        <v>31</v>
      </c>
      <c r="CR390" s="408">
        <v>-7.6341755729026772</v>
      </c>
      <c r="CS390" s="408">
        <v>0</v>
      </c>
      <c r="CT390" s="408">
        <v>0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-6.1578707714347729</v>
      </c>
      <c r="DA390" s="408">
        <v>0</v>
      </c>
      <c r="DB390" s="408">
        <v>0</v>
      </c>
      <c r="DC390" s="408">
        <v>-6.8601912062149495E-7</v>
      </c>
      <c r="DD390" s="408">
        <v>0</v>
      </c>
      <c r="DE390" s="408">
        <v>0</v>
      </c>
      <c r="DF390" s="408">
        <v>0</v>
      </c>
      <c r="DG390" s="408">
        <v>-9.463622063776711E-8</v>
      </c>
      <c r="DH390" s="408">
        <v>0</v>
      </c>
      <c r="DI390" s="408">
        <v>0</v>
      </c>
      <c r="DJ390" s="408"/>
      <c r="DK390" s="408">
        <v>0</v>
      </c>
      <c r="DL390" s="408">
        <v>0</v>
      </c>
      <c r="DM390" s="408">
        <v>0</v>
      </c>
      <c r="DN390" s="408">
        <v>0</v>
      </c>
      <c r="DO390" s="408">
        <v>0</v>
      </c>
      <c r="DP390" s="408">
        <v>-1.4763040208119875</v>
      </c>
      <c r="DQ390" s="408">
        <v>0</v>
      </c>
      <c r="DR390" s="408">
        <v>0</v>
      </c>
      <c r="DS390" s="408"/>
      <c r="DT390" s="408"/>
      <c r="DU390" s="408"/>
      <c r="DV390" s="408">
        <v>9836.0697268085169</v>
      </c>
      <c r="DW390" s="408">
        <v>0</v>
      </c>
      <c r="DX390" s="408">
        <v>0</v>
      </c>
      <c r="DY390" s="408">
        <v>-6038.5612499999997</v>
      </c>
      <c r="DZ390" s="408">
        <v>0</v>
      </c>
      <c r="EA390" s="408">
        <v>0</v>
      </c>
      <c r="EB390" s="408">
        <v>0</v>
      </c>
      <c r="EC390" s="408">
        <v>-6030.9381708229939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265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397</v>
      </c>
      <c r="B391" s="408" t="s">
        <v>2230</v>
      </c>
      <c r="C391" s="408" t="s">
        <v>2227</v>
      </c>
      <c r="D391" s="408" t="s">
        <v>1949</v>
      </c>
      <c r="E391" s="408" t="s">
        <v>964</v>
      </c>
      <c r="F391" s="408" t="s">
        <v>2232</v>
      </c>
      <c r="G391" s="408" t="s">
        <v>1317</v>
      </c>
      <c r="H391" s="408" t="s">
        <v>1317</v>
      </c>
      <c r="I391" s="408" t="s">
        <v>1317</v>
      </c>
      <c r="J391" s="408" t="s">
        <v>2228</v>
      </c>
      <c r="K391" s="828">
        <v>44621</v>
      </c>
      <c r="L391" s="408">
        <v>0</v>
      </c>
      <c r="M391" s="408">
        <v>0</v>
      </c>
      <c r="N391" s="408">
        <v>0.14000000000000001</v>
      </c>
      <c r="O391" s="408">
        <v>-8.4000000000000005E-2</v>
      </c>
      <c r="P391" s="408">
        <v>0.14000000000000001</v>
      </c>
      <c r="Q391" s="408">
        <v>-8.4000000000000005E-2</v>
      </c>
      <c r="R391" s="408"/>
      <c r="S391" s="408">
        <v>667.62</v>
      </c>
      <c r="T391" s="408">
        <v>252.22</v>
      </c>
      <c r="U391" s="408"/>
      <c r="V391" s="408">
        <v>128.77760000000001</v>
      </c>
      <c r="W391" s="408">
        <v>128.77760000000001</v>
      </c>
      <c r="X391" s="408">
        <v>85.202600000000004</v>
      </c>
      <c r="Y391" s="408">
        <v>0</v>
      </c>
      <c r="Z391" s="408">
        <v>0</v>
      </c>
      <c r="AA391" s="408">
        <v>0</v>
      </c>
      <c r="AB391" s="408">
        <v>0</v>
      </c>
      <c r="AC391" s="408">
        <v>0</v>
      </c>
      <c r="AD391" s="408">
        <v>17.289661325472899</v>
      </c>
      <c r="AE391" s="408">
        <v>70.97828780749407</v>
      </c>
      <c r="AF391" s="408">
        <v>35.311187446774262</v>
      </c>
      <c r="AG391" s="408">
        <v>0</v>
      </c>
      <c r="AH391" s="408">
        <v>0</v>
      </c>
      <c r="AI391" s="408">
        <v>0</v>
      </c>
      <c r="AJ391" s="408">
        <v>0</v>
      </c>
      <c r="AK391" s="408">
        <v>0</v>
      </c>
      <c r="AL391" s="408">
        <v>0</v>
      </c>
      <c r="AM391" s="408"/>
      <c r="AN391" s="408">
        <v>0.32806179548563963</v>
      </c>
      <c r="AO391" s="408">
        <v>0</v>
      </c>
      <c r="AP391" s="408">
        <v>0</v>
      </c>
      <c r="AQ391" s="408">
        <v>0</v>
      </c>
      <c r="AR391" s="408">
        <v>0</v>
      </c>
      <c r="AS391" s="408">
        <v>0</v>
      </c>
      <c r="AT391" s="408">
        <v>0</v>
      </c>
      <c r="AU391" s="408">
        <v>0</v>
      </c>
      <c r="AV391" s="408">
        <v>0</v>
      </c>
      <c r="AW391" s="408">
        <v>0</v>
      </c>
      <c r="AX391" s="408">
        <v>0</v>
      </c>
      <c r="AY391" s="408">
        <v>0</v>
      </c>
      <c r="AZ391" s="408">
        <v>0</v>
      </c>
      <c r="BA391" s="408"/>
      <c r="BB391" s="408">
        <v>0</v>
      </c>
      <c r="BC391" s="408">
        <v>0</v>
      </c>
      <c r="BD391" s="408">
        <v>0</v>
      </c>
      <c r="BE391" s="408">
        <v>0</v>
      </c>
      <c r="BF391" s="408">
        <v>0</v>
      </c>
      <c r="BG391" s="408">
        <v>4.8711947146195493</v>
      </c>
      <c r="BH391" s="408">
        <v>0</v>
      </c>
      <c r="BI391" s="408">
        <v>0</v>
      </c>
      <c r="BJ391" s="408">
        <v>0</v>
      </c>
      <c r="BK391" s="408">
        <v>26.13</v>
      </c>
      <c r="BL391" s="408">
        <v>0</v>
      </c>
      <c r="BM391" s="408"/>
      <c r="BN391" s="408"/>
      <c r="BO391" s="408"/>
      <c r="BP391" s="408"/>
      <c r="BQ391" s="408"/>
      <c r="BR391" s="408"/>
      <c r="BS391" s="408"/>
      <c r="BT391" s="408">
        <v>115.87520000000002</v>
      </c>
      <c r="BU391" s="408"/>
      <c r="BV391" s="408">
        <v>40.182382161393811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-29.212</v>
      </c>
      <c r="CJ391" s="408">
        <v>17.117600000000007</v>
      </c>
      <c r="CK391" s="408"/>
      <c r="CL391" s="408"/>
      <c r="CM391" s="408"/>
      <c r="CN391" s="408"/>
      <c r="CO391" s="408">
        <v>-43.575000000000003</v>
      </c>
      <c r="CP391" s="408">
        <v>0</v>
      </c>
      <c r="CQ391" s="408">
        <v>31</v>
      </c>
      <c r="CR391" s="408">
        <v>-5.5089149023565653E-2</v>
      </c>
      <c r="CS391" s="408">
        <v>0</v>
      </c>
      <c r="CT391" s="408">
        <v>0</v>
      </c>
      <c r="CU391" s="408">
        <v>0</v>
      </c>
      <c r="CV391" s="408">
        <v>0</v>
      </c>
      <c r="CW391" s="408">
        <v>0</v>
      </c>
      <c r="CX391" s="408">
        <v>0</v>
      </c>
      <c r="CY391" s="408">
        <v>0</v>
      </c>
      <c r="CZ391" s="408">
        <v>-4.4435952167457771E-2</v>
      </c>
      <c r="DA391" s="408">
        <v>0</v>
      </c>
      <c r="DB391" s="408">
        <v>0</v>
      </c>
      <c r="DC391" s="408">
        <v>-4.9504009780321212E-9</v>
      </c>
      <c r="DD391" s="408">
        <v>0</v>
      </c>
      <c r="DE391" s="408">
        <v>0</v>
      </c>
      <c r="DF391" s="408">
        <v>0</v>
      </c>
      <c r="DG391" s="408">
        <v>-6.8290706423113079E-10</v>
      </c>
      <c r="DH391" s="408">
        <v>0</v>
      </c>
      <c r="DI391" s="408">
        <v>0</v>
      </c>
      <c r="DJ391" s="408"/>
      <c r="DK391" s="408">
        <v>0</v>
      </c>
      <c r="DL391" s="408">
        <v>0</v>
      </c>
      <c r="DM391" s="408">
        <v>0</v>
      </c>
      <c r="DN391" s="408">
        <v>0</v>
      </c>
      <c r="DO391" s="408">
        <v>0</v>
      </c>
      <c r="DP391" s="408">
        <v>-1.0653191222807001E-2</v>
      </c>
      <c r="DQ391" s="408">
        <v>0</v>
      </c>
      <c r="DR391" s="408">
        <v>0</v>
      </c>
      <c r="DS391" s="408"/>
      <c r="DT391" s="408"/>
      <c r="DU391" s="408"/>
      <c r="DV391" s="408">
        <v>70.97828780749407</v>
      </c>
      <c r="DW391" s="408">
        <v>0</v>
      </c>
      <c r="DX391" s="408">
        <v>0</v>
      </c>
      <c r="DY391" s="408">
        <v>-43.575000000000003</v>
      </c>
      <c r="DZ391" s="408">
        <v>0</v>
      </c>
      <c r="EA391" s="408">
        <v>0</v>
      </c>
      <c r="EB391" s="408">
        <v>0</v>
      </c>
      <c r="EC391" s="408">
        <v>-43.519990923932745</v>
      </c>
      <c r="ED391" s="408">
        <v>0</v>
      </c>
      <c r="EE391" s="408">
        <v>0</v>
      </c>
      <c r="EF391" s="408">
        <v>0</v>
      </c>
      <c r="EG391" s="408">
        <v>0</v>
      </c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>
        <v>0</v>
      </c>
      <c r="EN391" s="408">
        <v>0</v>
      </c>
      <c r="EO391" s="408">
        <v>0</v>
      </c>
      <c r="EP391" s="408">
        <v>0</v>
      </c>
      <c r="EQ391" s="408">
        <v>0</v>
      </c>
      <c r="ER391" s="408">
        <v>0</v>
      </c>
      <c r="ES391" s="408">
        <v>0</v>
      </c>
      <c r="ET391" s="408">
        <v>0</v>
      </c>
      <c r="EU391" s="408">
        <v>0</v>
      </c>
      <c r="EV391" s="408">
        <v>265</v>
      </c>
      <c r="EW391" s="408">
        <v>0</v>
      </c>
      <c r="EX391" s="408">
        <v>0</v>
      </c>
      <c r="EY391" s="408">
        <v>0</v>
      </c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398</v>
      </c>
      <c r="B392" s="408" t="s">
        <v>1031</v>
      </c>
      <c r="C392" s="408" t="s">
        <v>2227</v>
      </c>
      <c r="D392" s="408" t="s">
        <v>1949</v>
      </c>
      <c r="E392" s="408" t="s">
        <v>964</v>
      </c>
      <c r="F392" s="408" t="s">
        <v>2233</v>
      </c>
      <c r="G392" s="408" t="s">
        <v>1317</v>
      </c>
      <c r="H392" s="408" t="s">
        <v>1317</v>
      </c>
      <c r="I392" s="408" t="s">
        <v>1317</v>
      </c>
      <c r="J392" s="408" t="s">
        <v>2228</v>
      </c>
      <c r="K392" s="828">
        <v>44621</v>
      </c>
      <c r="L392" s="408">
        <v>0</v>
      </c>
      <c r="M392" s="408">
        <v>0</v>
      </c>
      <c r="N392" s="408">
        <v>18.001999999999999</v>
      </c>
      <c r="O392" s="408">
        <v>18.001999999999999</v>
      </c>
      <c r="P392" s="408">
        <v>18.001999999999999</v>
      </c>
      <c r="Q392" s="408">
        <v>18.001999999999999</v>
      </c>
      <c r="R392" s="408"/>
      <c r="S392" s="408">
        <v>667.62</v>
      </c>
      <c r="T392" s="408">
        <v>252.22</v>
      </c>
      <c r="U392" s="408"/>
      <c r="V392" s="408">
        <v>16558.95968</v>
      </c>
      <c r="W392" s="408">
        <v>16558.95968</v>
      </c>
      <c r="X392" s="408">
        <v>10955.837179999999</v>
      </c>
      <c r="Y392" s="408">
        <v>0</v>
      </c>
      <c r="Z392" s="408">
        <v>0</v>
      </c>
      <c r="AA392" s="408">
        <v>0</v>
      </c>
      <c r="AB392" s="408">
        <v>0</v>
      </c>
      <c r="AC392" s="408">
        <v>0</v>
      </c>
      <c r="AD392" s="408">
        <v>2223.2034512940222</v>
      </c>
      <c r="AE392" s="408">
        <v>9126.793836503628</v>
      </c>
      <c r="AF392" s="408">
        <v>4540.514260120216</v>
      </c>
      <c r="AG392" s="408">
        <v>0</v>
      </c>
      <c r="AH392" s="408">
        <v>0</v>
      </c>
      <c r="AI392" s="408">
        <v>0</v>
      </c>
      <c r="AJ392" s="408">
        <v>0</v>
      </c>
      <c r="AK392" s="408">
        <v>0</v>
      </c>
      <c r="AL392" s="408">
        <v>0</v>
      </c>
      <c r="AM392" s="408"/>
      <c r="AN392" s="408">
        <v>42.184060302374881</v>
      </c>
      <c r="AO392" s="408">
        <v>0</v>
      </c>
      <c r="AP392" s="408">
        <v>0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</v>
      </c>
      <c r="BE392" s="408">
        <v>0</v>
      </c>
      <c r="BF392" s="408">
        <v>0</v>
      </c>
      <c r="BG392" s="408">
        <v>626.36605180415074</v>
      </c>
      <c r="BH392" s="408">
        <v>0</v>
      </c>
      <c r="BI392" s="408">
        <v>0</v>
      </c>
      <c r="BJ392" s="408">
        <v>0</v>
      </c>
      <c r="BK392" s="408">
        <v>3286.41</v>
      </c>
      <c r="BL392" s="408">
        <v>157</v>
      </c>
      <c r="BM392" s="408"/>
      <c r="BN392" s="408"/>
      <c r="BO392" s="408"/>
      <c r="BP392" s="408"/>
      <c r="BQ392" s="408"/>
      <c r="BR392" s="408"/>
      <c r="BS392" s="408"/>
      <c r="BT392" s="408">
        <v>1095.4216999999999</v>
      </c>
      <c r="BU392" s="408"/>
      <c r="BV392" s="408">
        <v>5166.8803119243667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9859.32</v>
      </c>
      <c r="CJ392" s="408">
        <v>-5043.8457199999993</v>
      </c>
      <c r="CK392" s="408"/>
      <c r="CL392" s="408"/>
      <c r="CM392" s="408"/>
      <c r="CN392" s="408"/>
      <c r="CO392" s="408">
        <v>-5603.1224999999995</v>
      </c>
      <c r="CP392" s="408">
        <v>0</v>
      </c>
      <c r="CQ392" s="408">
        <v>31</v>
      </c>
      <c r="CR392" s="408">
        <v>-7.0836775765883431</v>
      </c>
      <c r="CS392" s="408">
        <v>0</v>
      </c>
      <c r="CT392" s="408">
        <v>0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-5.7138286494187014</v>
      </c>
      <c r="DA392" s="408">
        <v>0</v>
      </c>
      <c r="DB392" s="408">
        <v>0</v>
      </c>
      <c r="DC392" s="408">
        <v>-6.3655170379206538E-7</v>
      </c>
      <c r="DD392" s="408">
        <v>0</v>
      </c>
      <c r="DE392" s="408">
        <v>0</v>
      </c>
      <c r="DF392" s="408">
        <v>0</v>
      </c>
      <c r="DG392" s="408">
        <v>-8.7812054516689386E-8</v>
      </c>
      <c r="DH392" s="408">
        <v>0</v>
      </c>
      <c r="DI392" s="408">
        <v>0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0</v>
      </c>
      <c r="DP392" s="408">
        <v>-1.3698482028069421</v>
      </c>
      <c r="DQ392" s="408">
        <v>0</v>
      </c>
      <c r="DR392" s="408">
        <v>0</v>
      </c>
      <c r="DS392" s="408"/>
      <c r="DT392" s="408"/>
      <c r="DU392" s="408"/>
      <c r="DV392" s="408">
        <v>9126.793836503628</v>
      </c>
      <c r="DW392" s="408">
        <v>0</v>
      </c>
      <c r="DX392" s="408">
        <v>0</v>
      </c>
      <c r="DY392" s="408">
        <v>-5603.1225000000004</v>
      </c>
      <c r="DZ392" s="408">
        <v>0</v>
      </c>
      <c r="EA392" s="408">
        <v>0</v>
      </c>
      <c r="EB392" s="408">
        <v>0</v>
      </c>
      <c r="EC392" s="408">
        <v>-5596.0491186616928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265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399</v>
      </c>
      <c r="B393" s="408" t="s">
        <v>2230</v>
      </c>
      <c r="C393" s="408" t="s">
        <v>2227</v>
      </c>
      <c r="D393" s="408" t="s">
        <v>1949</v>
      </c>
      <c r="E393" s="408" t="s">
        <v>964</v>
      </c>
      <c r="F393" s="408" t="s">
        <v>2233</v>
      </c>
      <c r="G393" s="408" t="s">
        <v>1317</v>
      </c>
      <c r="H393" s="408" t="s">
        <v>1317</v>
      </c>
      <c r="I393" s="408" t="s">
        <v>1317</v>
      </c>
      <c r="J393" s="408" t="s">
        <v>2228</v>
      </c>
      <c r="K393" s="828">
        <v>44621</v>
      </c>
      <c r="L393" s="408">
        <v>0</v>
      </c>
      <c r="M393" s="408">
        <v>0</v>
      </c>
      <c r="N393" s="408">
        <v>0.22800000000000001</v>
      </c>
      <c r="O393" s="408">
        <v>0.1368</v>
      </c>
      <c r="P393" s="408">
        <v>0.22800000000000001</v>
      </c>
      <c r="Q393" s="408">
        <v>0.1368</v>
      </c>
      <c r="R393" s="408"/>
      <c r="S393" s="408">
        <v>667.62</v>
      </c>
      <c r="T393" s="408">
        <v>252.22</v>
      </c>
      <c r="U393" s="408"/>
      <c r="V393" s="408">
        <v>209.72352000000001</v>
      </c>
      <c r="W393" s="408">
        <v>209.72352000000001</v>
      </c>
      <c r="X393" s="408">
        <v>138.75852</v>
      </c>
      <c r="Y393" s="408">
        <v>0</v>
      </c>
      <c r="Z393" s="408">
        <v>0</v>
      </c>
      <c r="AA393" s="408">
        <v>0</v>
      </c>
      <c r="AB393" s="408">
        <v>0</v>
      </c>
      <c r="AC393" s="408">
        <v>0</v>
      </c>
      <c r="AD393" s="408">
        <v>28.157448444341579</v>
      </c>
      <c r="AE393" s="408">
        <v>115.59321157220462</v>
      </c>
      <c r="AF393" s="408">
        <v>57.506790984746658</v>
      </c>
      <c r="AG393" s="408">
        <v>0</v>
      </c>
      <c r="AH393" s="408">
        <v>0</v>
      </c>
      <c r="AI393" s="408">
        <v>0</v>
      </c>
      <c r="AJ393" s="408">
        <v>0</v>
      </c>
      <c r="AK393" s="408">
        <v>0</v>
      </c>
      <c r="AL393" s="408">
        <v>0</v>
      </c>
      <c r="AM393" s="408"/>
      <c r="AN393" s="408">
        <v>0.53427206693375584</v>
      </c>
      <c r="AO393" s="408">
        <v>0</v>
      </c>
      <c r="AP393" s="408">
        <v>0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>
        <v>0</v>
      </c>
      <c r="BG393" s="408">
        <v>7.9330885352375509</v>
      </c>
      <c r="BH393" s="408">
        <v>0</v>
      </c>
      <c r="BI393" s="408">
        <v>0</v>
      </c>
      <c r="BJ393" s="408">
        <v>0</v>
      </c>
      <c r="BK393" s="408">
        <v>68.540000000000006</v>
      </c>
      <c r="BL393" s="408">
        <v>0</v>
      </c>
      <c r="BM393" s="408"/>
      <c r="BN393" s="408"/>
      <c r="BO393" s="408"/>
      <c r="BP393" s="408"/>
      <c r="BQ393" s="408"/>
      <c r="BR393" s="408"/>
      <c r="BS393" s="408"/>
      <c r="BT393" s="408">
        <v>63.827688000000009</v>
      </c>
      <c r="BU393" s="408"/>
      <c r="BV393" s="408">
        <v>65.439879519984203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76.683600000000013</v>
      </c>
      <c r="CJ393" s="408">
        <v>-36.597648000000007</v>
      </c>
      <c r="CK393" s="408"/>
      <c r="CL393" s="408"/>
      <c r="CM393" s="408"/>
      <c r="CN393" s="408"/>
      <c r="CO393" s="408">
        <v>-70.965000000000003</v>
      </c>
      <c r="CP393" s="408">
        <v>0</v>
      </c>
      <c r="CQ393" s="408">
        <v>31</v>
      </c>
      <c r="CR393" s="408">
        <v>-8.9716614124114358E-2</v>
      </c>
      <c r="CS393" s="408">
        <v>0</v>
      </c>
      <c r="CT393" s="408">
        <v>0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-7.2367122101290704E-2</v>
      </c>
      <c r="DA393" s="408">
        <v>0</v>
      </c>
      <c r="DB393" s="408">
        <v>0</v>
      </c>
      <c r="DC393" s="408">
        <v>-8.0620878861736855E-9</v>
      </c>
      <c r="DD393" s="408">
        <v>0</v>
      </c>
      <c r="DE393" s="408">
        <v>0</v>
      </c>
      <c r="DF393" s="408">
        <v>0</v>
      </c>
      <c r="DG393" s="408">
        <v>-1.1121628062937816E-9</v>
      </c>
      <c r="DH393" s="408">
        <v>0</v>
      </c>
      <c r="DI393" s="408">
        <v>0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0</v>
      </c>
      <c r="DP393" s="408">
        <v>-1.7349482848571296E-2</v>
      </c>
      <c r="DQ393" s="408">
        <v>0</v>
      </c>
      <c r="DR393" s="408">
        <v>0</v>
      </c>
      <c r="DS393" s="408"/>
      <c r="DT393" s="408"/>
      <c r="DU393" s="408"/>
      <c r="DV393" s="408">
        <v>115.59321157220462</v>
      </c>
      <c r="DW393" s="408">
        <v>0</v>
      </c>
      <c r="DX393" s="408">
        <v>0</v>
      </c>
      <c r="DY393" s="408">
        <v>-70.965000000000003</v>
      </c>
      <c r="DZ393" s="408">
        <v>0</v>
      </c>
      <c r="EA393" s="408">
        <v>0</v>
      </c>
      <c r="EB393" s="408">
        <v>0</v>
      </c>
      <c r="EC393" s="408">
        <v>-70.875413790404764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265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400</v>
      </c>
      <c r="B394" s="408" t="s">
        <v>1031</v>
      </c>
      <c r="C394" s="408" t="s">
        <v>2227</v>
      </c>
      <c r="D394" s="408" t="s">
        <v>1949</v>
      </c>
      <c r="E394" s="408" t="s">
        <v>964</v>
      </c>
      <c r="F394" s="408" t="s">
        <v>2234</v>
      </c>
      <c r="G394" s="408" t="s">
        <v>1317</v>
      </c>
      <c r="H394" s="408" t="s">
        <v>1317</v>
      </c>
      <c r="I394" s="408" t="s">
        <v>1317</v>
      </c>
      <c r="J394" s="408" t="s">
        <v>2228</v>
      </c>
      <c r="K394" s="828">
        <v>44621</v>
      </c>
      <c r="L394" s="408">
        <v>0</v>
      </c>
      <c r="M394" s="408">
        <v>0</v>
      </c>
      <c r="N394" s="408">
        <v>5.7720000000000002</v>
      </c>
      <c r="O394" s="408">
        <v>5.7720000000000002</v>
      </c>
      <c r="P394" s="408">
        <v>5.7720000000000002</v>
      </c>
      <c r="Q394" s="408">
        <v>5.7720000000000002</v>
      </c>
      <c r="R394" s="408"/>
      <c r="S394" s="408">
        <v>667.62</v>
      </c>
      <c r="T394" s="408">
        <v>252.22</v>
      </c>
      <c r="U394" s="408"/>
      <c r="V394" s="408">
        <v>5309.3164800000004</v>
      </c>
      <c r="W394" s="408">
        <v>5309.3164800000004</v>
      </c>
      <c r="X394" s="408">
        <v>3512.7814800000006</v>
      </c>
      <c r="Y394" s="408">
        <v>0</v>
      </c>
      <c r="Z394" s="408">
        <v>0</v>
      </c>
      <c r="AA394" s="408">
        <v>0</v>
      </c>
      <c r="AB394" s="408">
        <v>0</v>
      </c>
      <c r="AC394" s="408">
        <v>0</v>
      </c>
      <c r="AD394" s="408">
        <v>712.82803693306846</v>
      </c>
      <c r="AE394" s="408">
        <v>2926.3334087489698</v>
      </c>
      <c r="AF394" s="408">
        <v>1455.8298138770074</v>
      </c>
      <c r="AG394" s="408">
        <v>0</v>
      </c>
      <c r="AH394" s="408">
        <v>0</v>
      </c>
      <c r="AI394" s="408">
        <v>0</v>
      </c>
      <c r="AJ394" s="408">
        <v>0</v>
      </c>
      <c r="AK394" s="408">
        <v>0</v>
      </c>
      <c r="AL394" s="408">
        <v>0</v>
      </c>
      <c r="AM394" s="408"/>
      <c r="AN394" s="408">
        <v>13.525519168165083</v>
      </c>
      <c r="AO394" s="408">
        <v>0</v>
      </c>
      <c r="AP394" s="408">
        <v>0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0</v>
      </c>
      <c r="BE394" s="408">
        <v>0</v>
      </c>
      <c r="BF394" s="408">
        <v>0</v>
      </c>
      <c r="BG394" s="408">
        <v>200.83239923417167</v>
      </c>
      <c r="BH394" s="408">
        <v>0</v>
      </c>
      <c r="BI394" s="408">
        <v>0</v>
      </c>
      <c r="BJ394" s="408">
        <v>0</v>
      </c>
      <c r="BK394" s="408">
        <v>1170.5899999999999</v>
      </c>
      <c r="BL394" s="408">
        <v>77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1656.662213111179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3511.5643</v>
      </c>
      <c r="CJ394" s="408">
        <v>-1797.7821800000011</v>
      </c>
      <c r="CK394" s="408"/>
      <c r="CL394" s="408"/>
      <c r="CM394" s="408"/>
      <c r="CN394" s="408"/>
      <c r="CO394" s="408">
        <v>-1796.5350000000001</v>
      </c>
      <c r="CP394" s="408">
        <v>0</v>
      </c>
      <c r="CQ394" s="408">
        <v>31</v>
      </c>
      <c r="CR394" s="408">
        <v>-2.2712469154575956</v>
      </c>
      <c r="CS394" s="408">
        <v>0</v>
      </c>
      <c r="CT394" s="408">
        <v>0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-1.8320308279327264</v>
      </c>
      <c r="DA394" s="408">
        <v>0</v>
      </c>
      <c r="DB394" s="408">
        <v>0</v>
      </c>
      <c r="DC394" s="408">
        <v>-2.0409788703545928E-7</v>
      </c>
      <c r="DD394" s="408">
        <v>0</v>
      </c>
      <c r="DE394" s="408">
        <v>0</v>
      </c>
      <c r="DF394" s="408">
        <v>0</v>
      </c>
      <c r="DG394" s="408">
        <v>-2.815525590449397E-8</v>
      </c>
      <c r="DH394" s="408">
        <v>0</v>
      </c>
      <c r="DI394" s="408">
        <v>0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0</v>
      </c>
      <c r="DP394" s="408">
        <v>-0.43921585527172802</v>
      </c>
      <c r="DQ394" s="408">
        <v>0</v>
      </c>
      <c r="DR394" s="408">
        <v>0</v>
      </c>
      <c r="DS394" s="408"/>
      <c r="DT394" s="408"/>
      <c r="DU394" s="408"/>
      <c r="DV394" s="408">
        <v>2926.3334087489698</v>
      </c>
      <c r="DW394" s="408">
        <v>0</v>
      </c>
      <c r="DX394" s="408">
        <v>0</v>
      </c>
      <c r="DY394" s="408">
        <v>-1796.5349999999999</v>
      </c>
      <c r="DZ394" s="408">
        <v>0</v>
      </c>
      <c r="EA394" s="408">
        <v>0</v>
      </c>
      <c r="EB394" s="408">
        <v>0</v>
      </c>
      <c r="EC394" s="408">
        <v>-1794.2670543781414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265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401</v>
      </c>
      <c r="B395" s="408" t="s">
        <v>2230</v>
      </c>
      <c r="C395" s="408" t="s">
        <v>2227</v>
      </c>
      <c r="D395" s="408" t="s">
        <v>1949</v>
      </c>
      <c r="E395" s="408" t="s">
        <v>964</v>
      </c>
      <c r="F395" s="408" t="s">
        <v>2234</v>
      </c>
      <c r="G395" s="408" t="s">
        <v>1317</v>
      </c>
      <c r="H395" s="408" t="s">
        <v>1317</v>
      </c>
      <c r="I395" s="408" t="s">
        <v>1317</v>
      </c>
      <c r="J395" s="408" t="s">
        <v>2228</v>
      </c>
      <c r="K395" s="828">
        <v>44621</v>
      </c>
      <c r="L395" s="408">
        <v>0</v>
      </c>
      <c r="M395" s="408">
        <v>0</v>
      </c>
      <c r="N395" s="408">
        <v>0</v>
      </c>
      <c r="O395" s="408">
        <v>0</v>
      </c>
      <c r="P395" s="408">
        <v>0</v>
      </c>
      <c r="Q395" s="408">
        <v>0</v>
      </c>
      <c r="R395" s="408"/>
      <c r="S395" s="408"/>
      <c r="T395" s="408"/>
      <c r="U395" s="408"/>
      <c r="V395" s="408"/>
      <c r="W395" s="408"/>
      <c r="X395" s="408"/>
      <c r="Y395" s="408"/>
      <c r="Z395" s="408"/>
      <c r="AA395" s="408">
        <v>0</v>
      </c>
      <c r="AB395" s="408"/>
      <c r="AC395" s="408"/>
      <c r="AD395" s="408"/>
      <c r="AE395" s="408"/>
      <c r="AF395" s="408"/>
      <c r="AG395" s="408"/>
      <c r="AH395" s="408"/>
      <c r="AI395" s="408"/>
      <c r="AJ395" s="408"/>
      <c r="AK395" s="408"/>
      <c r="AL395" s="408"/>
      <c r="AM395" s="408"/>
      <c r="AN395" s="408"/>
      <c r="AO395" s="408"/>
      <c r="AP395" s="408"/>
      <c r="AQ395" s="408"/>
      <c r="AR395" s="408"/>
      <c r="AS395" s="408"/>
      <c r="AT395" s="408"/>
      <c r="AU395" s="408"/>
      <c r="AV395" s="408"/>
      <c r="AW395" s="408"/>
      <c r="AX395" s="408"/>
      <c r="AY395" s="408"/>
      <c r="AZ395" s="408">
        <v>0</v>
      </c>
      <c r="BA395" s="408"/>
      <c r="BB395" s="408"/>
      <c r="BC395" s="408"/>
      <c r="BD395" s="408"/>
      <c r="BE395" s="408"/>
      <c r="BF395" s="408"/>
      <c r="BG395" s="408"/>
      <c r="BH395" s="408"/>
      <c r="BI395" s="408">
        <v>0</v>
      </c>
      <c r="BJ395" s="408">
        <v>0</v>
      </c>
      <c r="BK395" s="408">
        <v>97.87</v>
      </c>
      <c r="BL395" s="408">
        <v>4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/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/>
      <c r="CJ395" s="408">
        <v>-0.03</v>
      </c>
      <c r="CK395" s="408"/>
      <c r="CL395" s="408"/>
      <c r="CM395" s="408"/>
      <c r="CN395" s="408"/>
      <c r="CO395" s="408">
        <v>0</v>
      </c>
      <c r="CP395" s="408">
        <v>0</v>
      </c>
      <c r="CQ395" s="408">
        <v>31</v>
      </c>
      <c r="CR395" s="408"/>
      <c r="CS395" s="408"/>
      <c r="CT395" s="408"/>
      <c r="CU395" s="408"/>
      <c r="CV395" s="408"/>
      <c r="CW395" s="408"/>
      <c r="CX395" s="408"/>
      <c r="CY395" s="408"/>
      <c r="CZ395" s="408"/>
      <c r="DA395" s="408"/>
      <c r="DB395" s="408"/>
      <c r="DC395" s="408"/>
      <c r="DD395" s="408"/>
      <c r="DE395" s="408"/>
      <c r="DF395" s="408"/>
      <c r="DG395" s="408"/>
      <c r="DH395" s="408"/>
      <c r="DI395" s="408"/>
      <c r="DJ395" s="408"/>
      <c r="DK395" s="408">
        <v>0</v>
      </c>
      <c r="DL395" s="408"/>
      <c r="DM395" s="408"/>
      <c r="DN395" s="408"/>
      <c r="DO395" s="408"/>
      <c r="DP395" s="408"/>
      <c r="DQ395" s="408"/>
      <c r="DR395" s="408"/>
      <c r="DS395" s="408"/>
      <c r="DT395" s="408"/>
      <c r="DU395" s="408"/>
      <c r="DV395" s="408"/>
      <c r="DW395" s="408"/>
      <c r="DX395" s="408"/>
      <c r="DY395" s="408"/>
      <c r="DZ395" s="408"/>
      <c r="EA395" s="408"/>
      <c r="EB395" s="408"/>
      <c r="EC395" s="408"/>
      <c r="ED395" s="408"/>
      <c r="EE395" s="408"/>
      <c r="EF395" s="408"/>
      <c r="EG395" s="408"/>
      <c r="EH395" s="408"/>
      <c r="EI395" s="408"/>
      <c r="EJ395" s="408"/>
      <c r="EK395" s="408"/>
      <c r="EL395" s="408"/>
      <c r="EM395" s="408"/>
      <c r="EN395" s="408"/>
      <c r="EO395" s="408"/>
      <c r="EP395" s="408"/>
      <c r="EQ395" s="408"/>
      <c r="ER395" s="408"/>
      <c r="ES395" s="408"/>
      <c r="ET395" s="408"/>
      <c r="EU395" s="408"/>
      <c r="EV395" s="408">
        <v>265</v>
      </c>
      <c r="EW395" s="408"/>
      <c r="EX395" s="408"/>
      <c r="EY395" s="408"/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402</v>
      </c>
      <c r="B396" s="408" t="s">
        <v>1031</v>
      </c>
      <c r="C396" s="408" t="s">
        <v>2227</v>
      </c>
      <c r="D396" s="408" t="s">
        <v>1952</v>
      </c>
      <c r="E396" s="408" t="s">
        <v>965</v>
      </c>
      <c r="F396" s="408" t="s">
        <v>1317</v>
      </c>
      <c r="G396" s="408" t="s">
        <v>1317</v>
      </c>
      <c r="H396" s="408" t="s">
        <v>1317</v>
      </c>
      <c r="I396" s="408" t="s">
        <v>1317</v>
      </c>
      <c r="J396" s="408" t="s">
        <v>2228</v>
      </c>
      <c r="K396" s="828">
        <v>44621</v>
      </c>
      <c r="L396" s="408">
        <v>0</v>
      </c>
      <c r="M396" s="408">
        <v>0</v>
      </c>
      <c r="N396" s="408">
        <v>41.457999999999998</v>
      </c>
      <c r="O396" s="408">
        <v>41.457999999999998</v>
      </c>
      <c r="P396" s="408">
        <v>41.457999999999998</v>
      </c>
      <c r="Q396" s="408">
        <v>41.457999999999998</v>
      </c>
      <c r="R396" s="408"/>
      <c r="S396" s="408">
        <v>739.04</v>
      </c>
      <c r="T396" s="408">
        <v>252.22</v>
      </c>
      <c r="U396" s="408"/>
      <c r="V396" s="408">
        <v>41095.657079999997</v>
      </c>
      <c r="W396" s="408">
        <v>41095.657079999997</v>
      </c>
      <c r="X396" s="408">
        <v>28107.28026</v>
      </c>
      <c r="Y396" s="408">
        <v>0</v>
      </c>
      <c r="Z396" s="408">
        <v>2564.3081672931698</v>
      </c>
      <c r="AA396" s="408">
        <v>0</v>
      </c>
      <c r="AB396" s="408">
        <v>0</v>
      </c>
      <c r="AC396" s="408">
        <v>0</v>
      </c>
      <c r="AD396" s="408">
        <v>5119.9627087961098</v>
      </c>
      <c r="AE396" s="408">
        <v>21018.698970879206</v>
      </c>
      <c r="AF396" s="408">
        <v>10456.651494059766</v>
      </c>
      <c r="AG396" s="408">
        <v>0</v>
      </c>
      <c r="AH396" s="408">
        <v>0</v>
      </c>
      <c r="AI396" s="408">
        <v>0</v>
      </c>
      <c r="AJ396" s="408">
        <v>0</v>
      </c>
      <c r="AK396" s="408">
        <v>0</v>
      </c>
      <c r="AL396" s="408">
        <v>396.38114791024174</v>
      </c>
      <c r="AM396" s="408"/>
      <c r="AN396" s="408">
        <v>97.14847083745461</v>
      </c>
      <c r="AO396" s="408">
        <v>0</v>
      </c>
      <c r="AP396" s="408">
        <v>0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0</v>
      </c>
      <c r="BF396" s="408">
        <v>0</v>
      </c>
      <c r="BG396" s="408">
        <v>1442.4999319906944</v>
      </c>
      <c r="BH396" s="408">
        <v>0</v>
      </c>
      <c r="BI396" s="408">
        <v>0</v>
      </c>
      <c r="BJ396" s="408">
        <v>0</v>
      </c>
      <c r="BK396" s="408">
        <v>6962.56</v>
      </c>
      <c r="BL396" s="408">
        <v>16</v>
      </c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>
        <v>11899.151426050461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28108.636200000001</v>
      </c>
      <c r="CJ396" s="408">
        <v>-12987.050879999995</v>
      </c>
      <c r="CK396" s="408"/>
      <c r="CL396" s="408"/>
      <c r="CM396" s="408"/>
      <c r="CN396" s="408"/>
      <c r="CO396" s="408">
        <v>-12988.376819999998</v>
      </c>
      <c r="CP396" s="408">
        <v>0</v>
      </c>
      <c r="CQ396" s="408">
        <v>31</v>
      </c>
      <c r="CR396" s="408">
        <v>-100.83402032434242</v>
      </c>
      <c r="CS396" s="408">
        <v>0</v>
      </c>
      <c r="CT396" s="408">
        <v>0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-13.158755035417926</v>
      </c>
      <c r="DA396" s="408">
        <v>0</v>
      </c>
      <c r="DB396" s="408">
        <v>0</v>
      </c>
      <c r="DC396" s="408">
        <v>-1.4659563021268696E-6</v>
      </c>
      <c r="DD396" s="408">
        <v>0</v>
      </c>
      <c r="DE396" s="408">
        <v>0</v>
      </c>
      <c r="DF396" s="408">
        <v>0</v>
      </c>
      <c r="DG396" s="408">
        <v>-2.0222819330228958E-7</v>
      </c>
      <c r="DH396" s="408">
        <v>0</v>
      </c>
      <c r="DI396" s="408">
        <v>-74.562616898980195</v>
      </c>
      <c r="DJ396" s="408"/>
      <c r="DK396" s="408">
        <v>0</v>
      </c>
      <c r="DL396" s="408">
        <v>0</v>
      </c>
      <c r="DM396" s="408">
        <v>0</v>
      </c>
      <c r="DN396" s="408">
        <v>0</v>
      </c>
      <c r="DO396" s="408">
        <v>-9.9579324237935793</v>
      </c>
      <c r="DP396" s="408">
        <v>-3.1547142979652278</v>
      </c>
      <c r="DQ396" s="408">
        <v>0</v>
      </c>
      <c r="DR396" s="408">
        <v>0</v>
      </c>
      <c r="DS396" s="408"/>
      <c r="DT396" s="408"/>
      <c r="DU396" s="408"/>
      <c r="DV396" s="408">
        <v>21018.698970879206</v>
      </c>
      <c r="DW396" s="408">
        <v>0</v>
      </c>
      <c r="DX396" s="408">
        <v>0</v>
      </c>
      <c r="DY396" s="408">
        <v>-12988.376819999998</v>
      </c>
      <c r="DZ396" s="408">
        <v>0</v>
      </c>
      <c r="EA396" s="408">
        <v>0</v>
      </c>
      <c r="EB396" s="408">
        <v>0</v>
      </c>
      <c r="EC396" s="408">
        <v>-12887.512740888596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0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265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403</v>
      </c>
      <c r="B397" s="408" t="s">
        <v>2230</v>
      </c>
      <c r="C397" s="408" t="s">
        <v>2227</v>
      </c>
      <c r="D397" s="408" t="s">
        <v>1952</v>
      </c>
      <c r="E397" s="408" t="s">
        <v>965</v>
      </c>
      <c r="F397" s="408" t="s">
        <v>1317</v>
      </c>
      <c r="G397" s="408" t="s">
        <v>1317</v>
      </c>
      <c r="H397" s="408" t="s">
        <v>1317</v>
      </c>
      <c r="I397" s="408" t="s">
        <v>1317</v>
      </c>
      <c r="J397" s="408" t="s">
        <v>2228</v>
      </c>
      <c r="K397" s="828">
        <v>44621</v>
      </c>
      <c r="L397" s="408">
        <v>0</v>
      </c>
      <c r="M397" s="408">
        <v>0</v>
      </c>
      <c r="N397" s="408">
        <v>11.82</v>
      </c>
      <c r="O397" s="408">
        <v>11.82</v>
      </c>
      <c r="P397" s="408">
        <v>11.82</v>
      </c>
      <c r="Q397" s="408">
        <v>11.82</v>
      </c>
      <c r="R397" s="408"/>
      <c r="S397" s="408">
        <v>739.04</v>
      </c>
      <c r="T397" s="408">
        <v>252.22</v>
      </c>
      <c r="U397" s="408"/>
      <c r="V397" s="408">
        <v>11716.6932</v>
      </c>
      <c r="W397" s="408">
        <v>11716.6932</v>
      </c>
      <c r="X397" s="408">
        <v>8013.6054000000004</v>
      </c>
      <c r="Y397" s="408">
        <v>0</v>
      </c>
      <c r="Z397" s="408">
        <v>731.10431128866014</v>
      </c>
      <c r="AA397" s="408">
        <v>0</v>
      </c>
      <c r="AB397" s="408">
        <v>0</v>
      </c>
      <c r="AC397" s="408">
        <v>0</v>
      </c>
      <c r="AD397" s="408">
        <v>1459.7414061934976</v>
      </c>
      <c r="AE397" s="408">
        <v>5992.5954420327125</v>
      </c>
      <c r="AF397" s="408">
        <v>2981.2731115776555</v>
      </c>
      <c r="AG397" s="408">
        <v>0</v>
      </c>
      <c r="AH397" s="408">
        <v>0</v>
      </c>
      <c r="AI397" s="408">
        <v>0</v>
      </c>
      <c r="AJ397" s="408">
        <v>0</v>
      </c>
      <c r="AK397" s="408">
        <v>0</v>
      </c>
      <c r="AL397" s="408">
        <v>113.01136495487138</v>
      </c>
      <c r="AM397" s="408"/>
      <c r="AN397" s="408">
        <v>27.697788733144712</v>
      </c>
      <c r="AO397" s="408">
        <v>0</v>
      </c>
      <c r="AP397" s="408">
        <v>0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0</v>
      </c>
      <c r="BF397" s="408">
        <v>0</v>
      </c>
      <c r="BG397" s="408">
        <v>411.26801090573616</v>
      </c>
      <c r="BH397" s="408">
        <v>0</v>
      </c>
      <c r="BI397" s="408">
        <v>0</v>
      </c>
      <c r="BJ397" s="408">
        <v>0</v>
      </c>
      <c r="BK397" s="408">
        <v>3443.43</v>
      </c>
      <c r="BL397" s="408">
        <v>13</v>
      </c>
      <c r="BM397" s="408"/>
      <c r="BN397" s="408"/>
      <c r="BO397" s="408"/>
      <c r="BP397" s="408"/>
      <c r="BQ397" s="408"/>
      <c r="BR397" s="408"/>
      <c r="BS397" s="408"/>
      <c r="BT397" s="408"/>
      <c r="BU397" s="408"/>
      <c r="BV397" s="408">
        <v>3392.5411224833915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8013.6054000000004</v>
      </c>
      <c r="CJ397" s="408">
        <v>-3703.1178</v>
      </c>
      <c r="CK397" s="408"/>
      <c r="CL397" s="408"/>
      <c r="CM397" s="408"/>
      <c r="CN397" s="408"/>
      <c r="CO397" s="408">
        <v>-3703.0877999999998</v>
      </c>
      <c r="CP397" s="408">
        <v>0</v>
      </c>
      <c r="CQ397" s="408">
        <v>31</v>
      </c>
      <c r="CR397" s="408">
        <v>-28.748567712714248</v>
      </c>
      <c r="CS397" s="408">
        <v>0</v>
      </c>
      <c r="CT397" s="408">
        <v>0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-3.7516639615669192</v>
      </c>
      <c r="DA397" s="408">
        <v>0</v>
      </c>
      <c r="DB397" s="408">
        <v>0</v>
      </c>
      <c r="DC397" s="408">
        <v>-4.1795556171564385E-7</v>
      </c>
      <c r="DD397" s="408">
        <v>0</v>
      </c>
      <c r="DE397" s="408">
        <v>0</v>
      </c>
      <c r="DF397" s="408">
        <v>0</v>
      </c>
      <c r="DG397" s="408">
        <v>-5.7656791341287317E-8</v>
      </c>
      <c r="DH397" s="408">
        <v>0</v>
      </c>
      <c r="DI397" s="408">
        <v>-21.258385154757889</v>
      </c>
      <c r="DJ397" s="408"/>
      <c r="DK397" s="408">
        <v>0</v>
      </c>
      <c r="DL397" s="408">
        <v>0</v>
      </c>
      <c r="DM397" s="408">
        <v>0</v>
      </c>
      <c r="DN397" s="408">
        <v>0</v>
      </c>
      <c r="DO397" s="408">
        <v>-2.8390844046804062</v>
      </c>
      <c r="DP397" s="408">
        <v>-0.89943371609698985</v>
      </c>
      <c r="DQ397" s="408">
        <v>0</v>
      </c>
      <c r="DR397" s="408">
        <v>0</v>
      </c>
      <c r="DS397" s="408"/>
      <c r="DT397" s="408"/>
      <c r="DU397" s="408"/>
      <c r="DV397" s="408">
        <v>5992.5954420327125</v>
      </c>
      <c r="DW397" s="408">
        <v>0</v>
      </c>
      <c r="DX397" s="408">
        <v>0</v>
      </c>
      <c r="DY397" s="408">
        <v>-3703.0877999999993</v>
      </c>
      <c r="DZ397" s="408">
        <v>0</v>
      </c>
      <c r="EA397" s="408">
        <v>0</v>
      </c>
      <c r="EB397" s="408">
        <v>0</v>
      </c>
      <c r="EC397" s="408">
        <v>-3674.3306622920354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265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404</v>
      </c>
      <c r="B398" s="408" t="s">
        <v>1031</v>
      </c>
      <c r="C398" s="408" t="s">
        <v>2235</v>
      </c>
      <c r="D398" s="408" t="s">
        <v>596</v>
      </c>
      <c r="E398" s="408" t="s">
        <v>965</v>
      </c>
      <c r="F398" s="408" t="s">
        <v>1317</v>
      </c>
      <c r="G398" s="408" t="s">
        <v>1317</v>
      </c>
      <c r="H398" s="408" t="s">
        <v>1317</v>
      </c>
      <c r="I398" s="408" t="s">
        <v>968</v>
      </c>
      <c r="J398" s="408" t="s">
        <v>2228</v>
      </c>
      <c r="K398" s="828">
        <v>44621</v>
      </c>
      <c r="L398" s="408">
        <v>0</v>
      </c>
      <c r="M398" s="408">
        <v>0</v>
      </c>
      <c r="N398" s="408">
        <v>47.436</v>
      </c>
      <c r="O398" s="408">
        <v>47.436</v>
      </c>
      <c r="P398" s="408">
        <v>47.436</v>
      </c>
      <c r="Q398" s="408">
        <v>47.436</v>
      </c>
      <c r="R398" s="408"/>
      <c r="S398" s="408">
        <v>2641.06</v>
      </c>
      <c r="T398" s="408">
        <v>252.22</v>
      </c>
      <c r="U398" s="408"/>
      <c r="V398" s="408">
        <v>137245.63008</v>
      </c>
      <c r="W398" s="408">
        <v>137245.63008</v>
      </c>
      <c r="X398" s="408">
        <v>81463.740239999985</v>
      </c>
      <c r="Y398" s="408">
        <v>0</v>
      </c>
      <c r="Z398" s="408">
        <v>2552.6377137014656</v>
      </c>
      <c r="AA398" s="408">
        <v>0</v>
      </c>
      <c r="AB398" s="408">
        <v>0</v>
      </c>
      <c r="AC398" s="408">
        <v>0</v>
      </c>
      <c r="AD398" s="408">
        <v>30727.474963219247</v>
      </c>
      <c r="AE398" s="408">
        <v>90701.91740145658</v>
      </c>
      <c r="AF398" s="408">
        <v>11964.439198037027</v>
      </c>
      <c r="AG398" s="408">
        <v>0</v>
      </c>
      <c r="AH398" s="408">
        <v>0</v>
      </c>
      <c r="AI398" s="408">
        <v>0</v>
      </c>
      <c r="AJ398" s="408">
        <v>0</v>
      </c>
      <c r="AK398" s="408">
        <v>0</v>
      </c>
      <c r="AL398" s="408">
        <v>453.53698037218942</v>
      </c>
      <c r="AM398" s="408"/>
      <c r="AN398" s="408">
        <v>114.12656354504122</v>
      </c>
      <c r="AO398" s="408">
        <v>0</v>
      </c>
      <c r="AP398" s="408">
        <v>0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0</v>
      </c>
      <c r="BF398" s="408">
        <v>0</v>
      </c>
      <c r="BG398" s="408">
        <v>731.59789859933096</v>
      </c>
      <c r="BH398" s="408">
        <v>0</v>
      </c>
      <c r="BI398" s="408">
        <v>0</v>
      </c>
      <c r="BJ398" s="408">
        <v>0</v>
      </c>
      <c r="BK398" s="408">
        <v>0</v>
      </c>
      <c r="BL398" s="408">
        <v>0</v>
      </c>
      <c r="BM398" s="408"/>
      <c r="BN398" s="408"/>
      <c r="BO398" s="408"/>
      <c r="BP398" s="408"/>
      <c r="BQ398" s="408"/>
      <c r="BR398" s="408"/>
      <c r="BS398" s="408"/>
      <c r="BT398" s="408"/>
      <c r="BU398" s="408"/>
      <c r="BV398" s="408">
        <v>12696.037096636359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81470.609599999996</v>
      </c>
      <c r="CJ398" s="408">
        <v>-55775.050480000005</v>
      </c>
      <c r="CK398" s="408"/>
      <c r="CL398" s="408"/>
      <c r="CM398" s="408"/>
      <c r="CN398" s="408"/>
      <c r="CO398" s="408">
        <v>-55781.889840000003</v>
      </c>
      <c r="CP398" s="408">
        <v>0</v>
      </c>
      <c r="CQ398" s="408">
        <v>31</v>
      </c>
      <c r="CR398" s="408">
        <v>-168.29544620573142</v>
      </c>
      <c r="CS398" s="408">
        <v>0</v>
      </c>
      <c r="CT398" s="408">
        <v>0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-78.972316576400772</v>
      </c>
      <c r="DA398" s="408">
        <v>0</v>
      </c>
      <c r="DB398" s="408">
        <v>0</v>
      </c>
      <c r="DC398" s="408">
        <v>-1.6773374227341264E-6</v>
      </c>
      <c r="DD398" s="408">
        <v>0</v>
      </c>
      <c r="DE398" s="408">
        <v>0</v>
      </c>
      <c r="DF398" s="408">
        <v>0</v>
      </c>
      <c r="DG398" s="408">
        <v>-1.0256599125568755E-7</v>
      </c>
      <c r="DH398" s="408">
        <v>0</v>
      </c>
      <c r="DI398" s="408">
        <v>-74.223274080790816</v>
      </c>
      <c r="DJ398" s="408"/>
      <c r="DK398" s="408">
        <v>0</v>
      </c>
      <c r="DL398" s="408">
        <v>0</v>
      </c>
      <c r="DM398" s="408">
        <v>0</v>
      </c>
      <c r="DN398" s="408">
        <v>0</v>
      </c>
      <c r="DO398" s="408">
        <v>-11.393807768225031</v>
      </c>
      <c r="DP398" s="408">
        <v>-3.7060460004111633</v>
      </c>
      <c r="DQ398" s="408">
        <v>0</v>
      </c>
      <c r="DR398" s="408">
        <v>0</v>
      </c>
      <c r="DS398" s="408"/>
      <c r="DT398" s="408"/>
      <c r="DU398" s="408"/>
      <c r="DV398" s="408">
        <v>90701.91740145658</v>
      </c>
      <c r="DW398" s="408">
        <v>0</v>
      </c>
      <c r="DX398" s="408">
        <v>0</v>
      </c>
      <c r="DY398" s="408">
        <v>-55781.889840000003</v>
      </c>
      <c r="DZ398" s="408">
        <v>0</v>
      </c>
      <c r="EA398" s="408">
        <v>0</v>
      </c>
      <c r="EB398" s="408">
        <v>0</v>
      </c>
      <c r="EC398" s="408">
        <v>-55613.438193953109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265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405</v>
      </c>
      <c r="B399" s="408" t="s">
        <v>1031</v>
      </c>
      <c r="C399" s="408" t="s">
        <v>2235</v>
      </c>
      <c r="D399" s="408" t="s">
        <v>596</v>
      </c>
      <c r="E399" s="408" t="s">
        <v>965</v>
      </c>
      <c r="F399" s="408" t="s">
        <v>1317</v>
      </c>
      <c r="G399" s="408" t="s">
        <v>1317</v>
      </c>
      <c r="H399" s="408" t="s">
        <v>1317</v>
      </c>
      <c r="I399" s="408" t="s">
        <v>2236</v>
      </c>
      <c r="J399" s="408" t="s">
        <v>2228</v>
      </c>
      <c r="K399" s="828">
        <v>44621</v>
      </c>
      <c r="L399" s="408">
        <v>0</v>
      </c>
      <c r="M399" s="408">
        <v>0</v>
      </c>
      <c r="N399" s="408">
        <v>542.94899999999996</v>
      </c>
      <c r="O399" s="408">
        <v>542.94899999999996</v>
      </c>
      <c r="P399" s="408">
        <v>542.94899999999996</v>
      </c>
      <c r="Q399" s="408">
        <v>542.94899999999996</v>
      </c>
      <c r="R399" s="408"/>
      <c r="S399" s="408">
        <v>81.2</v>
      </c>
      <c r="T399" s="408">
        <v>252.22</v>
      </c>
      <c r="U399" s="408"/>
      <c r="V399" s="408">
        <v>181030.05557999999</v>
      </c>
      <c r="W399" s="408">
        <v>181030.05557999999</v>
      </c>
      <c r="X399" s="408">
        <v>180009.31146</v>
      </c>
      <c r="Y399" s="408">
        <v>0</v>
      </c>
      <c r="Z399" s="408">
        <v>29217.305295903891</v>
      </c>
      <c r="AA399" s="408">
        <v>0</v>
      </c>
      <c r="AB399" s="408">
        <v>0</v>
      </c>
      <c r="AC399" s="408">
        <v>0</v>
      </c>
      <c r="AD399" s="408">
        <v>0</v>
      </c>
      <c r="AE399" s="408">
        <v>0</v>
      </c>
      <c r="AF399" s="408">
        <v>136944.0993788474</v>
      </c>
      <c r="AG399" s="408">
        <v>0</v>
      </c>
      <c r="AH399" s="408">
        <v>0</v>
      </c>
      <c r="AI399" s="408">
        <v>0</v>
      </c>
      <c r="AJ399" s="408">
        <v>0</v>
      </c>
      <c r="AK399" s="408">
        <v>0</v>
      </c>
      <c r="AL399" s="408">
        <v>5191.1512344232196</v>
      </c>
      <c r="AM399" s="408"/>
      <c r="AN399" s="408">
        <v>1306.2843315249302</v>
      </c>
      <c r="AO399" s="408">
        <v>0</v>
      </c>
      <c r="AP399" s="408">
        <v>0</v>
      </c>
      <c r="AQ399" s="408">
        <v>0</v>
      </c>
      <c r="AR399" s="408">
        <v>0</v>
      </c>
      <c r="AS399" s="408">
        <v>0</v>
      </c>
      <c r="AT399" s="408">
        <v>0</v>
      </c>
      <c r="AU399" s="408">
        <v>0</v>
      </c>
      <c r="AV399" s="408">
        <v>0</v>
      </c>
      <c r="AW399" s="408">
        <v>0</v>
      </c>
      <c r="AX399" s="408">
        <v>0</v>
      </c>
      <c r="AY399" s="408">
        <v>0</v>
      </c>
      <c r="AZ399" s="408">
        <v>0</v>
      </c>
      <c r="BA399" s="408"/>
      <c r="BB399" s="408">
        <v>0</v>
      </c>
      <c r="BC399" s="408">
        <v>0</v>
      </c>
      <c r="BD399" s="408">
        <v>0</v>
      </c>
      <c r="BE399" s="408">
        <v>0</v>
      </c>
      <c r="BF399" s="408">
        <v>0</v>
      </c>
      <c r="BG399" s="408">
        <v>8373.8162460285039</v>
      </c>
      <c r="BH399" s="408">
        <v>0</v>
      </c>
      <c r="BI399" s="408">
        <v>0</v>
      </c>
      <c r="BJ399" s="408">
        <v>0</v>
      </c>
      <c r="BK399" s="408">
        <v>0</v>
      </c>
      <c r="BL399" s="408">
        <v>0</v>
      </c>
      <c r="BM399" s="408"/>
      <c r="BN399" s="408"/>
      <c r="BO399" s="408"/>
      <c r="BP399" s="408"/>
      <c r="BQ399" s="408"/>
      <c r="BR399" s="408"/>
      <c r="BS399" s="408"/>
      <c r="BT399" s="408"/>
      <c r="BU399" s="408"/>
      <c r="BV399" s="408">
        <v>145317.9156248759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180009.64300000001</v>
      </c>
      <c r="CJ399" s="408">
        <v>-1020.4425800000026</v>
      </c>
      <c r="CK399" s="408"/>
      <c r="CL399" s="408"/>
      <c r="CM399" s="408"/>
      <c r="CN399" s="408"/>
      <c r="CO399" s="408">
        <v>-1020.7441200000052</v>
      </c>
      <c r="CP399" s="408">
        <v>0</v>
      </c>
      <c r="CQ399" s="408">
        <v>31</v>
      </c>
      <c r="CR399" s="408">
        <v>-1022.3860340061365</v>
      </c>
      <c r="CS399" s="408">
        <v>0</v>
      </c>
      <c r="CT399" s="408">
        <v>0</v>
      </c>
      <c r="CU399" s="408">
        <v>0</v>
      </c>
      <c r="CV399" s="408">
        <v>0</v>
      </c>
      <c r="CW399" s="408">
        <v>0</v>
      </c>
      <c r="CX399" s="408">
        <v>0</v>
      </c>
      <c r="CY399" s="408">
        <v>0</v>
      </c>
      <c r="CZ399" s="408">
        <v>0</v>
      </c>
      <c r="DA399" s="408">
        <v>0</v>
      </c>
      <c r="DB399" s="408">
        <v>0</v>
      </c>
      <c r="DC399" s="408">
        <v>-1.9198691006749868E-5</v>
      </c>
      <c r="DD399" s="408">
        <v>0</v>
      </c>
      <c r="DE399" s="408">
        <v>0</v>
      </c>
      <c r="DF399" s="408">
        <v>0</v>
      </c>
      <c r="DG399" s="408">
        <v>-1.1739630281226709E-6</v>
      </c>
      <c r="DH399" s="408">
        <v>0</v>
      </c>
      <c r="DI399" s="408">
        <v>-849.55418751352045</v>
      </c>
      <c r="DJ399" s="408"/>
      <c r="DK399" s="408">
        <v>0</v>
      </c>
      <c r="DL399" s="408">
        <v>0</v>
      </c>
      <c r="DM399" s="408">
        <v>0</v>
      </c>
      <c r="DN399" s="408">
        <v>0</v>
      </c>
      <c r="DO399" s="408">
        <v>-130.41269360717615</v>
      </c>
      <c r="DP399" s="408">
        <v>-42.419132512801298</v>
      </c>
      <c r="DQ399" s="408">
        <v>0</v>
      </c>
      <c r="DR399" s="408">
        <v>0</v>
      </c>
      <c r="DS399" s="408"/>
      <c r="DT399" s="408"/>
      <c r="DU399" s="408"/>
      <c r="DV399" s="408">
        <v>0</v>
      </c>
      <c r="DW399" s="408">
        <v>0</v>
      </c>
      <c r="DX399" s="408">
        <v>0</v>
      </c>
      <c r="DY399" s="408">
        <v>-1020.7441200000103</v>
      </c>
      <c r="DZ399" s="408">
        <v>0</v>
      </c>
      <c r="EA399" s="408">
        <v>0</v>
      </c>
      <c r="EB399" s="408">
        <v>0</v>
      </c>
      <c r="EC399" s="408">
        <v>0</v>
      </c>
      <c r="ED399" s="408">
        <v>0</v>
      </c>
      <c r="EE399" s="408">
        <v>0</v>
      </c>
      <c r="EF399" s="408">
        <v>0</v>
      </c>
      <c r="EG399" s="408">
        <v>0</v>
      </c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>
        <v>0</v>
      </c>
      <c r="EN399" s="408">
        <v>0</v>
      </c>
      <c r="EO399" s="408">
        <v>0</v>
      </c>
      <c r="EP399" s="408">
        <v>0</v>
      </c>
      <c r="EQ399" s="408">
        <v>0</v>
      </c>
      <c r="ER399" s="408">
        <v>0</v>
      </c>
      <c r="ES399" s="408">
        <v>0</v>
      </c>
      <c r="ET399" s="408">
        <v>0</v>
      </c>
      <c r="EU399" s="408">
        <v>0</v>
      </c>
      <c r="EV399" s="408">
        <v>265</v>
      </c>
      <c r="EW399" s="408">
        <v>0</v>
      </c>
      <c r="EX399" s="408">
        <v>0</v>
      </c>
      <c r="EY399" s="408">
        <v>0</v>
      </c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406</v>
      </c>
      <c r="B400" s="408" t="s">
        <v>1031</v>
      </c>
      <c r="C400" s="408" t="s">
        <v>2235</v>
      </c>
      <c r="D400" s="408" t="s">
        <v>596</v>
      </c>
      <c r="E400" s="408" t="s">
        <v>965</v>
      </c>
      <c r="F400" s="408" t="s">
        <v>1317</v>
      </c>
      <c r="G400" s="408" t="s">
        <v>1317</v>
      </c>
      <c r="H400" s="408" t="s">
        <v>1317</v>
      </c>
      <c r="I400" s="408" t="s">
        <v>1317</v>
      </c>
      <c r="J400" s="408" t="s">
        <v>2228</v>
      </c>
      <c r="K400" s="828">
        <v>44621</v>
      </c>
      <c r="L400" s="408">
        <v>2865</v>
      </c>
      <c r="M400" s="408">
        <v>2865</v>
      </c>
      <c r="N400" s="408">
        <v>0</v>
      </c>
      <c r="O400" s="408">
        <v>0</v>
      </c>
      <c r="P400" s="408">
        <v>0</v>
      </c>
      <c r="Q400" s="408">
        <v>0</v>
      </c>
      <c r="R400" s="408">
        <v>74.44</v>
      </c>
      <c r="S400" s="408"/>
      <c r="T400" s="408"/>
      <c r="U400" s="408">
        <v>213270.6</v>
      </c>
      <c r="V400" s="408"/>
      <c r="W400" s="408">
        <v>213270.6</v>
      </c>
      <c r="X400" s="408">
        <v>130128.3</v>
      </c>
      <c r="Y400" s="408">
        <v>0</v>
      </c>
      <c r="Z400" s="408">
        <v>0</v>
      </c>
      <c r="AA400" s="408">
        <v>0</v>
      </c>
      <c r="AB400" s="408">
        <v>0</v>
      </c>
      <c r="AC400" s="408">
        <v>0</v>
      </c>
      <c r="AD400" s="408">
        <v>77976.970099744416</v>
      </c>
      <c r="AE400" s="408">
        <v>135289.70618142054</v>
      </c>
      <c r="AF400" s="408"/>
      <c r="AG400" s="408"/>
      <c r="AH400" s="408"/>
      <c r="AI400" s="408">
        <v>0</v>
      </c>
      <c r="AJ400" s="408">
        <v>0</v>
      </c>
      <c r="AK400" s="408">
        <v>0</v>
      </c>
      <c r="AL400" s="408">
        <v>0</v>
      </c>
      <c r="AM400" s="408"/>
      <c r="AN400" s="408">
        <v>0</v>
      </c>
      <c r="AO400" s="408">
        <v>0</v>
      </c>
      <c r="AP400" s="408">
        <v>0</v>
      </c>
      <c r="AQ400" s="408">
        <v>0</v>
      </c>
      <c r="AR400" s="408">
        <v>0</v>
      </c>
      <c r="AS400" s="408"/>
      <c r="AT400" s="408"/>
      <c r="AU400" s="408">
        <v>0</v>
      </c>
      <c r="AV400" s="408">
        <v>0</v>
      </c>
      <c r="AW400" s="408">
        <v>0</v>
      </c>
      <c r="AX400" s="408"/>
      <c r="AY400" s="408"/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0</v>
      </c>
      <c r="BF400" s="408"/>
      <c r="BG400" s="408">
        <v>0</v>
      </c>
      <c r="BH400" s="408">
        <v>0</v>
      </c>
      <c r="BI400" s="408">
        <v>0</v>
      </c>
      <c r="BJ400" s="408">
        <v>0</v>
      </c>
      <c r="BK400" s="408">
        <v>103639.17</v>
      </c>
      <c r="BL400" s="408">
        <v>11</v>
      </c>
      <c r="BM400" s="408"/>
      <c r="BN400" s="408"/>
      <c r="BO400" s="408"/>
      <c r="BP400" s="408"/>
      <c r="BQ400" s="408"/>
      <c r="BR400" s="408"/>
      <c r="BS400" s="408"/>
      <c r="BT400" s="408"/>
      <c r="BU400" s="408"/>
      <c r="BV400" s="408">
        <v>0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130128.3</v>
      </c>
      <c r="CJ400" s="408">
        <v>-83142.330000000031</v>
      </c>
      <c r="CK400" s="408"/>
      <c r="CL400" s="408"/>
      <c r="CM400" s="408"/>
      <c r="CN400" s="408"/>
      <c r="CO400" s="408">
        <v>-83142.299999999988</v>
      </c>
      <c r="CP400" s="408">
        <v>0</v>
      </c>
      <c r="CQ400" s="408">
        <v>31</v>
      </c>
      <c r="CR400" s="408">
        <v>-200.40767995924398</v>
      </c>
      <c r="CS400" s="408">
        <v>0</v>
      </c>
      <c r="CT400" s="408">
        <v>0</v>
      </c>
      <c r="CU400" s="408">
        <v>0</v>
      </c>
      <c r="CV400" s="408">
        <v>0</v>
      </c>
      <c r="CW400" s="408"/>
      <c r="CX400" s="408"/>
      <c r="CY400" s="408"/>
      <c r="CZ400" s="408">
        <v>-200.40767995924398</v>
      </c>
      <c r="DA400" s="408">
        <v>0</v>
      </c>
      <c r="DB400" s="408">
        <v>0</v>
      </c>
      <c r="DC400" s="408"/>
      <c r="DD400" s="408"/>
      <c r="DE400" s="408">
        <v>0</v>
      </c>
      <c r="DF400" s="408">
        <v>0</v>
      </c>
      <c r="DG400" s="408">
        <v>0</v>
      </c>
      <c r="DH400" s="408">
        <v>0</v>
      </c>
      <c r="DI400" s="408">
        <v>0</v>
      </c>
      <c r="DJ400" s="408"/>
      <c r="DK400" s="408">
        <v>0</v>
      </c>
      <c r="DL400" s="408">
        <v>0</v>
      </c>
      <c r="DM400" s="408"/>
      <c r="DN400" s="408">
        <v>0</v>
      </c>
      <c r="DO400" s="408">
        <v>0</v>
      </c>
      <c r="DP400" s="408">
        <v>0</v>
      </c>
      <c r="DQ400" s="408">
        <v>0</v>
      </c>
      <c r="DR400" s="408">
        <v>0</v>
      </c>
      <c r="DS400" s="408"/>
      <c r="DT400" s="408"/>
      <c r="DU400" s="408">
        <v>135289.70618142054</v>
      </c>
      <c r="DV400" s="408"/>
      <c r="DW400" s="408">
        <v>0</v>
      </c>
      <c r="DX400" s="408">
        <v>0</v>
      </c>
      <c r="DY400" s="408">
        <v>-83142.3</v>
      </c>
      <c r="DZ400" s="408"/>
      <c r="EA400" s="408">
        <v>0</v>
      </c>
      <c r="EB400" s="408"/>
      <c r="EC400" s="408">
        <v>-82952.223376897338</v>
      </c>
      <c r="ED400" s="408"/>
      <c r="EE400" s="408">
        <v>0</v>
      </c>
      <c r="EF400" s="408">
        <v>0</v>
      </c>
      <c r="EG400" s="408"/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/>
      <c r="EN400" s="408"/>
      <c r="EO400" s="408">
        <v>0</v>
      </c>
      <c r="EP400" s="408">
        <v>0</v>
      </c>
      <c r="EQ400" s="408"/>
      <c r="ER400" s="408">
        <v>0</v>
      </c>
      <c r="ES400" s="408"/>
      <c r="ET400" s="408">
        <v>0</v>
      </c>
      <c r="EU400" s="408"/>
      <c r="EV400" s="408">
        <v>265</v>
      </c>
      <c r="EW400" s="408"/>
      <c r="EX400" s="408"/>
      <c r="EY400" s="408"/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407</v>
      </c>
      <c r="B401" s="408" t="s">
        <v>2230</v>
      </c>
      <c r="C401" s="408" t="s">
        <v>2235</v>
      </c>
      <c r="D401" s="408" t="s">
        <v>596</v>
      </c>
      <c r="E401" s="408" t="s">
        <v>965</v>
      </c>
      <c r="F401" s="408" t="s">
        <v>1317</v>
      </c>
      <c r="G401" s="408" t="s">
        <v>1317</v>
      </c>
      <c r="H401" s="408" t="s">
        <v>1317</v>
      </c>
      <c r="I401" s="408" t="s">
        <v>1317</v>
      </c>
      <c r="J401" s="408" t="s">
        <v>2228</v>
      </c>
      <c r="K401" s="828">
        <v>44621</v>
      </c>
      <c r="L401" s="408">
        <v>80</v>
      </c>
      <c r="M401" s="408">
        <v>80</v>
      </c>
      <c r="N401" s="408">
        <v>0</v>
      </c>
      <c r="O401" s="408">
        <v>0</v>
      </c>
      <c r="P401" s="408">
        <v>0</v>
      </c>
      <c r="Q401" s="408">
        <v>0</v>
      </c>
      <c r="R401" s="408">
        <v>74.44</v>
      </c>
      <c r="S401" s="408"/>
      <c r="T401" s="408"/>
      <c r="U401" s="408">
        <v>5955.2</v>
      </c>
      <c r="V401" s="408"/>
      <c r="W401" s="408">
        <v>5955.2</v>
      </c>
      <c r="X401" s="408">
        <v>3633.6000000000004</v>
      </c>
      <c r="Y401" s="408">
        <v>0</v>
      </c>
      <c r="Z401" s="408">
        <v>0</v>
      </c>
      <c r="AA401" s="408">
        <v>0</v>
      </c>
      <c r="AB401" s="408">
        <v>0</v>
      </c>
      <c r="AC401" s="408">
        <v>0</v>
      </c>
      <c r="AD401" s="408">
        <v>2177.3674024361439</v>
      </c>
      <c r="AE401" s="408">
        <v>3777.7230347342561</v>
      </c>
      <c r="AF401" s="408"/>
      <c r="AG401" s="408"/>
      <c r="AH401" s="408"/>
      <c r="AI401" s="408">
        <v>0</v>
      </c>
      <c r="AJ401" s="408">
        <v>0</v>
      </c>
      <c r="AK401" s="408">
        <v>0</v>
      </c>
      <c r="AL401" s="408">
        <v>0</v>
      </c>
      <c r="AM401" s="408"/>
      <c r="AN401" s="408">
        <v>0</v>
      </c>
      <c r="AO401" s="408">
        <v>0</v>
      </c>
      <c r="AP401" s="408">
        <v>0</v>
      </c>
      <c r="AQ401" s="408">
        <v>0</v>
      </c>
      <c r="AR401" s="408">
        <v>0</v>
      </c>
      <c r="AS401" s="408"/>
      <c r="AT401" s="408"/>
      <c r="AU401" s="408">
        <v>0</v>
      </c>
      <c r="AV401" s="408">
        <v>0</v>
      </c>
      <c r="AW401" s="408">
        <v>0</v>
      </c>
      <c r="AX401" s="408"/>
      <c r="AY401" s="408"/>
      <c r="AZ401" s="408">
        <v>0</v>
      </c>
      <c r="BA401" s="408"/>
      <c r="BB401" s="408">
        <v>0</v>
      </c>
      <c r="BC401" s="408">
        <v>0</v>
      </c>
      <c r="BD401" s="408">
        <v>0</v>
      </c>
      <c r="BE401" s="408">
        <v>0</v>
      </c>
      <c r="BF401" s="408"/>
      <c r="BG401" s="408">
        <v>0</v>
      </c>
      <c r="BH401" s="408">
        <v>0</v>
      </c>
      <c r="BI401" s="408">
        <v>0</v>
      </c>
      <c r="BJ401" s="408">
        <v>0</v>
      </c>
      <c r="BK401" s="408">
        <v>810.94</v>
      </c>
      <c r="BL401" s="408">
        <v>1</v>
      </c>
      <c r="BM401" s="408"/>
      <c r="BN401" s="408"/>
      <c r="BO401" s="408"/>
      <c r="BP401" s="408"/>
      <c r="BQ401" s="408"/>
      <c r="BR401" s="408"/>
      <c r="BS401" s="408"/>
      <c r="BT401" s="408"/>
      <c r="BU401" s="408"/>
      <c r="BV401" s="408">
        <v>0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3633.6000000000004</v>
      </c>
      <c r="CJ401" s="408">
        <v>-2321.63</v>
      </c>
      <c r="CK401" s="408"/>
      <c r="CL401" s="408"/>
      <c r="CM401" s="408"/>
      <c r="CN401" s="408"/>
      <c r="CO401" s="408">
        <v>-2321.5999999999995</v>
      </c>
      <c r="CP401" s="408">
        <v>0</v>
      </c>
      <c r="CQ401" s="408">
        <v>31</v>
      </c>
      <c r="CR401" s="408">
        <v>-5.5960259674479857</v>
      </c>
      <c r="CS401" s="408">
        <v>0</v>
      </c>
      <c r="CT401" s="408">
        <v>0</v>
      </c>
      <c r="CU401" s="408">
        <v>0</v>
      </c>
      <c r="CV401" s="408">
        <v>0</v>
      </c>
      <c r="CW401" s="408"/>
      <c r="CX401" s="408"/>
      <c r="CY401" s="408"/>
      <c r="CZ401" s="408">
        <v>-5.5960259674479857</v>
      </c>
      <c r="DA401" s="408">
        <v>0</v>
      </c>
      <c r="DB401" s="408">
        <v>0</v>
      </c>
      <c r="DC401" s="408"/>
      <c r="DD401" s="408"/>
      <c r="DE401" s="408">
        <v>0</v>
      </c>
      <c r="DF401" s="408">
        <v>0</v>
      </c>
      <c r="DG401" s="408">
        <v>0</v>
      </c>
      <c r="DH401" s="408">
        <v>0</v>
      </c>
      <c r="DI401" s="408">
        <v>0</v>
      </c>
      <c r="DJ401" s="408"/>
      <c r="DK401" s="408">
        <v>0</v>
      </c>
      <c r="DL401" s="408">
        <v>0</v>
      </c>
      <c r="DM401" s="408"/>
      <c r="DN401" s="408">
        <v>0</v>
      </c>
      <c r="DO401" s="408">
        <v>0</v>
      </c>
      <c r="DP401" s="408">
        <v>0</v>
      </c>
      <c r="DQ401" s="408">
        <v>0</v>
      </c>
      <c r="DR401" s="408">
        <v>0</v>
      </c>
      <c r="DS401" s="408"/>
      <c r="DT401" s="408"/>
      <c r="DU401" s="408">
        <v>3777.7230347342561</v>
      </c>
      <c r="DV401" s="408"/>
      <c r="DW401" s="408">
        <v>0</v>
      </c>
      <c r="DX401" s="408">
        <v>0</v>
      </c>
      <c r="DY401" s="408">
        <v>-2321.5999999999995</v>
      </c>
      <c r="DZ401" s="408"/>
      <c r="EA401" s="408">
        <v>0</v>
      </c>
      <c r="EB401" s="408"/>
      <c r="EC401" s="408">
        <v>-2316.2924503147601</v>
      </c>
      <c r="ED401" s="408"/>
      <c r="EE401" s="408">
        <v>0</v>
      </c>
      <c r="EF401" s="408">
        <v>0</v>
      </c>
      <c r="EG401" s="408"/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/>
      <c r="EN401" s="408"/>
      <c r="EO401" s="408">
        <v>0</v>
      </c>
      <c r="EP401" s="408">
        <v>0</v>
      </c>
      <c r="EQ401" s="408"/>
      <c r="ER401" s="408">
        <v>0</v>
      </c>
      <c r="ES401" s="408"/>
      <c r="ET401" s="408">
        <v>0</v>
      </c>
      <c r="EU401" s="408"/>
      <c r="EV401" s="408">
        <v>265</v>
      </c>
      <c r="EW401" s="408"/>
      <c r="EX401" s="408"/>
      <c r="EY401" s="408"/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408</v>
      </c>
      <c r="B402" s="408" t="s">
        <v>1031</v>
      </c>
      <c r="C402" s="408" t="s">
        <v>2227</v>
      </c>
      <c r="D402" s="408" t="s">
        <v>1952</v>
      </c>
      <c r="E402" s="408" t="s">
        <v>993</v>
      </c>
      <c r="F402" s="408" t="s">
        <v>1317</v>
      </c>
      <c r="G402" s="408" t="s">
        <v>1317</v>
      </c>
      <c r="H402" s="408" t="s">
        <v>1317</v>
      </c>
      <c r="I402" s="408" t="s">
        <v>1317</v>
      </c>
      <c r="J402" s="408" t="s">
        <v>2228</v>
      </c>
      <c r="K402" s="828">
        <v>44621</v>
      </c>
      <c r="L402" s="408">
        <v>0</v>
      </c>
      <c r="M402" s="408">
        <v>0</v>
      </c>
      <c r="N402" s="408">
        <v>430.28300000000002</v>
      </c>
      <c r="O402" s="408">
        <v>430.28300000000002</v>
      </c>
      <c r="P402" s="408">
        <v>430.28300000000002</v>
      </c>
      <c r="Q402" s="408">
        <v>430.28300000000002</v>
      </c>
      <c r="R402" s="408"/>
      <c r="S402" s="408">
        <v>739.04</v>
      </c>
      <c r="T402" s="408">
        <v>252.22</v>
      </c>
      <c r="U402" s="408"/>
      <c r="V402" s="408">
        <v>426522.32657999999</v>
      </c>
      <c r="W402" s="408">
        <v>426522.32657999999</v>
      </c>
      <c r="X402" s="408">
        <v>291718.96551000001</v>
      </c>
      <c r="Y402" s="408">
        <v>0</v>
      </c>
      <c r="Z402" s="408">
        <v>26614.361791389048</v>
      </c>
      <c r="AA402" s="408">
        <v>0</v>
      </c>
      <c r="AB402" s="408">
        <v>0</v>
      </c>
      <c r="AC402" s="408">
        <v>0</v>
      </c>
      <c r="AD402" s="408">
        <v>53138.909600774685</v>
      </c>
      <c r="AE402" s="408">
        <v>218148.21866194264</v>
      </c>
      <c r="AF402" s="408">
        <v>108527.16905828836</v>
      </c>
      <c r="AG402" s="408">
        <v>0</v>
      </c>
      <c r="AH402" s="408">
        <v>0</v>
      </c>
      <c r="AI402" s="408">
        <v>0</v>
      </c>
      <c r="AJ402" s="408">
        <v>0</v>
      </c>
      <c r="AK402" s="408">
        <v>0</v>
      </c>
      <c r="AL402" s="408">
        <v>4113.9483203787586</v>
      </c>
      <c r="AM402" s="408"/>
      <c r="AN402" s="408">
        <v>1008.281525335339</v>
      </c>
      <c r="AO402" s="408">
        <v>0</v>
      </c>
      <c r="AP402" s="408">
        <v>0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0</v>
      </c>
      <c r="BE402" s="408">
        <v>0</v>
      </c>
      <c r="BF402" s="408">
        <v>0</v>
      </c>
      <c r="BG402" s="408">
        <v>14971.373395647452</v>
      </c>
      <c r="BH402" s="408">
        <v>0</v>
      </c>
      <c r="BI402" s="408">
        <v>0</v>
      </c>
      <c r="BJ402" s="408">
        <v>0</v>
      </c>
      <c r="BK402" s="408">
        <v>117598.96</v>
      </c>
      <c r="BL402" s="408">
        <v>838</v>
      </c>
      <c r="BM402" s="408"/>
      <c r="BN402" s="408"/>
      <c r="BO402" s="408"/>
      <c r="BP402" s="408"/>
      <c r="BQ402" s="408"/>
      <c r="BR402" s="408"/>
      <c r="BS402" s="408"/>
      <c r="BT402" s="408"/>
      <c r="BU402" s="408"/>
      <c r="BV402" s="408">
        <v>123498.54245393581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291716.93160000001</v>
      </c>
      <c r="CJ402" s="408">
        <v>-134805.42498000001</v>
      </c>
      <c r="CK402" s="408"/>
      <c r="CL402" s="408"/>
      <c r="CM402" s="408"/>
      <c r="CN402" s="408"/>
      <c r="CO402" s="408">
        <v>-134803.36106999998</v>
      </c>
      <c r="CP402" s="408">
        <v>0</v>
      </c>
      <c r="CQ402" s="408">
        <v>31</v>
      </c>
      <c r="CR402" s="408">
        <v>-1046.5329916353221</v>
      </c>
      <c r="CS402" s="408">
        <v>0</v>
      </c>
      <c r="CT402" s="408">
        <v>0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-136.57167718908022</v>
      </c>
      <c r="DA402" s="408">
        <v>0</v>
      </c>
      <c r="DB402" s="408">
        <v>0</v>
      </c>
      <c r="DC402" s="408">
        <v>-1.5214813174679875E-5</v>
      </c>
      <c r="DD402" s="408">
        <v>0</v>
      </c>
      <c r="DE402" s="408">
        <v>0</v>
      </c>
      <c r="DF402" s="408">
        <v>0</v>
      </c>
      <c r="DG402" s="408">
        <v>-2.098879122058861E-6</v>
      </c>
      <c r="DH402" s="408">
        <v>0</v>
      </c>
      <c r="DI402" s="408">
        <v>-773.86816747416742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-103.35107909467843</v>
      </c>
      <c r="DP402" s="408">
        <v>-32.742050563736143</v>
      </c>
      <c r="DQ402" s="408">
        <v>0</v>
      </c>
      <c r="DR402" s="408">
        <v>0</v>
      </c>
      <c r="DS402" s="408"/>
      <c r="DT402" s="408"/>
      <c r="DU402" s="408"/>
      <c r="DV402" s="408">
        <v>218148.21866194264</v>
      </c>
      <c r="DW402" s="408">
        <v>0</v>
      </c>
      <c r="DX402" s="408">
        <v>0</v>
      </c>
      <c r="DY402" s="408">
        <v>-134803.36106999998</v>
      </c>
      <c r="DZ402" s="408">
        <v>0</v>
      </c>
      <c r="EA402" s="408">
        <v>0</v>
      </c>
      <c r="EB402" s="408">
        <v>0</v>
      </c>
      <c r="EC402" s="408">
        <v>-133756.51610516111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0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265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409</v>
      </c>
      <c r="B403" s="408" t="s">
        <v>2229</v>
      </c>
      <c r="C403" s="408" t="s">
        <v>2227</v>
      </c>
      <c r="D403" s="408" t="s">
        <v>1952</v>
      </c>
      <c r="E403" s="408" t="s">
        <v>993</v>
      </c>
      <c r="F403" s="408" t="s">
        <v>1317</v>
      </c>
      <c r="G403" s="408" t="s">
        <v>1317</v>
      </c>
      <c r="H403" s="408" t="s">
        <v>1317</v>
      </c>
      <c r="I403" s="408" t="s">
        <v>1317</v>
      </c>
      <c r="J403" s="408" t="s">
        <v>2228</v>
      </c>
      <c r="K403" s="828">
        <v>44621</v>
      </c>
      <c r="L403" s="408">
        <v>0</v>
      </c>
      <c r="M403" s="408">
        <v>0</v>
      </c>
      <c r="N403" s="408">
        <v>0</v>
      </c>
      <c r="O403" s="408">
        <v>0</v>
      </c>
      <c r="P403" s="408">
        <v>0</v>
      </c>
      <c r="Q403" s="408">
        <v>0</v>
      </c>
      <c r="R403" s="408"/>
      <c r="S403" s="408"/>
      <c r="T403" s="408"/>
      <c r="U403" s="408"/>
      <c r="V403" s="408"/>
      <c r="W403" s="408"/>
      <c r="X403" s="408"/>
      <c r="Y403" s="408"/>
      <c r="Z403" s="408"/>
      <c r="AA403" s="408">
        <v>0</v>
      </c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408"/>
      <c r="AL403" s="408"/>
      <c r="AM403" s="408"/>
      <c r="AN403" s="408"/>
      <c r="AO403" s="408"/>
      <c r="AP403" s="408"/>
      <c r="AQ403" s="408"/>
      <c r="AR403" s="408"/>
      <c r="AS403" s="408"/>
      <c r="AT403" s="408"/>
      <c r="AU403" s="408"/>
      <c r="AV403" s="408"/>
      <c r="AW403" s="408"/>
      <c r="AX403" s="408"/>
      <c r="AY403" s="408"/>
      <c r="AZ403" s="408">
        <v>0</v>
      </c>
      <c r="BA403" s="408"/>
      <c r="BB403" s="408"/>
      <c r="BC403" s="408"/>
      <c r="BD403" s="408"/>
      <c r="BE403" s="408"/>
      <c r="BF403" s="408"/>
      <c r="BG403" s="408"/>
      <c r="BH403" s="408"/>
      <c r="BI403" s="408">
        <v>0</v>
      </c>
      <c r="BJ403" s="408">
        <v>0</v>
      </c>
      <c r="BK403" s="408">
        <v>0.02</v>
      </c>
      <c r="BL403" s="408">
        <v>0</v>
      </c>
      <c r="BM403" s="408"/>
      <c r="BN403" s="408"/>
      <c r="BO403" s="408"/>
      <c r="BP403" s="408"/>
      <c r="BQ403" s="408"/>
      <c r="BR403" s="408"/>
      <c r="BS403" s="408"/>
      <c r="BT403" s="408"/>
      <c r="BU403" s="408"/>
      <c r="BV403" s="408"/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/>
      <c r="CJ403" s="408">
        <v>-0.03</v>
      </c>
      <c r="CK403" s="408"/>
      <c r="CL403" s="408"/>
      <c r="CM403" s="408"/>
      <c r="CN403" s="408"/>
      <c r="CO403" s="408">
        <v>0</v>
      </c>
      <c r="CP403" s="408">
        <v>0</v>
      </c>
      <c r="CQ403" s="408">
        <v>31</v>
      </c>
      <c r="CR403" s="408"/>
      <c r="CS403" s="408"/>
      <c r="CT403" s="408"/>
      <c r="CU403" s="408"/>
      <c r="CV403" s="408"/>
      <c r="CW403" s="408"/>
      <c r="CX403" s="408"/>
      <c r="CY403" s="408"/>
      <c r="CZ403" s="408"/>
      <c r="DA403" s="408"/>
      <c r="DB403" s="408"/>
      <c r="DC403" s="408"/>
      <c r="DD403" s="408"/>
      <c r="DE403" s="408"/>
      <c r="DF403" s="408"/>
      <c r="DG403" s="408"/>
      <c r="DH403" s="408"/>
      <c r="DI403" s="408"/>
      <c r="DJ403" s="408"/>
      <c r="DK403" s="408">
        <v>0</v>
      </c>
      <c r="DL403" s="408"/>
      <c r="DM403" s="408"/>
      <c r="DN403" s="408"/>
      <c r="DO403" s="408"/>
      <c r="DP403" s="408"/>
      <c r="DQ403" s="408"/>
      <c r="DR403" s="408"/>
      <c r="DS403" s="408"/>
      <c r="DT403" s="408"/>
      <c r="DU403" s="408"/>
      <c r="DV403" s="408"/>
      <c r="DW403" s="408"/>
      <c r="DX403" s="408"/>
      <c r="DY403" s="408"/>
      <c r="DZ403" s="408"/>
      <c r="EA403" s="408"/>
      <c r="EB403" s="408"/>
      <c r="EC403" s="408"/>
      <c r="ED403" s="408"/>
      <c r="EE403" s="408"/>
      <c r="EF403" s="408"/>
      <c r="EG403" s="408"/>
      <c r="EH403" s="408"/>
      <c r="EI403" s="408"/>
      <c r="EJ403" s="408"/>
      <c r="EK403" s="408"/>
      <c r="EL403" s="408"/>
      <c r="EM403" s="408"/>
      <c r="EN403" s="408"/>
      <c r="EO403" s="408"/>
      <c r="EP403" s="408"/>
      <c r="EQ403" s="408"/>
      <c r="ER403" s="408"/>
      <c r="ES403" s="408"/>
      <c r="ET403" s="408"/>
      <c r="EU403" s="408"/>
      <c r="EV403" s="408">
        <v>265</v>
      </c>
      <c r="EW403" s="408"/>
      <c r="EX403" s="408"/>
      <c r="EY403" s="408"/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410</v>
      </c>
      <c r="B404" s="408" t="s">
        <v>2230</v>
      </c>
      <c r="C404" s="408" t="s">
        <v>2227</v>
      </c>
      <c r="D404" s="408" t="s">
        <v>1952</v>
      </c>
      <c r="E404" s="408" t="s">
        <v>993</v>
      </c>
      <c r="F404" s="408" t="s">
        <v>1317</v>
      </c>
      <c r="G404" s="408" t="s">
        <v>1317</v>
      </c>
      <c r="H404" s="408" t="s">
        <v>1317</v>
      </c>
      <c r="I404" s="408" t="s">
        <v>1317</v>
      </c>
      <c r="J404" s="408" t="s">
        <v>2228</v>
      </c>
      <c r="K404" s="828">
        <v>44621</v>
      </c>
      <c r="L404" s="408">
        <v>0</v>
      </c>
      <c r="M404" s="408">
        <v>0</v>
      </c>
      <c r="N404" s="408">
        <v>78.478999999999999</v>
      </c>
      <c r="O404" s="408">
        <v>78.478999999999999</v>
      </c>
      <c r="P404" s="408">
        <v>78.478999999999999</v>
      </c>
      <c r="Q404" s="408">
        <v>78.478999999999999</v>
      </c>
      <c r="R404" s="408"/>
      <c r="S404" s="408">
        <v>739.04</v>
      </c>
      <c r="T404" s="408">
        <v>252.22</v>
      </c>
      <c r="U404" s="408"/>
      <c r="V404" s="408">
        <v>77793.093540000002</v>
      </c>
      <c r="W404" s="408">
        <v>77793.093540000002</v>
      </c>
      <c r="X404" s="408">
        <v>53206.407630000002</v>
      </c>
      <c r="Y404" s="408">
        <v>0</v>
      </c>
      <c r="Z404" s="408">
        <v>4854.1738786482874</v>
      </c>
      <c r="AA404" s="408">
        <v>0</v>
      </c>
      <c r="AB404" s="408">
        <v>0</v>
      </c>
      <c r="AC404" s="408">
        <v>0</v>
      </c>
      <c r="AD404" s="408">
        <v>9691.9666511556261</v>
      </c>
      <c r="AE404" s="408">
        <v>39787.893206030902</v>
      </c>
      <c r="AF404" s="408">
        <v>19794.190568824266</v>
      </c>
      <c r="AG404" s="408">
        <v>0</v>
      </c>
      <c r="AH404" s="408">
        <v>0</v>
      </c>
      <c r="AI404" s="408">
        <v>0</v>
      </c>
      <c r="AJ404" s="408">
        <v>0</v>
      </c>
      <c r="AK404" s="408">
        <v>0</v>
      </c>
      <c r="AL404" s="408">
        <v>750.3400093310787</v>
      </c>
      <c r="AM404" s="408"/>
      <c r="AN404" s="408">
        <v>183.89972605655362</v>
      </c>
      <c r="AO404" s="408">
        <v>0</v>
      </c>
      <c r="AP404" s="408">
        <v>0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>
        <v>0</v>
      </c>
      <c r="BG404" s="408">
        <v>2730.6177857759112</v>
      </c>
      <c r="BH404" s="408">
        <v>0</v>
      </c>
      <c r="BI404" s="408">
        <v>0</v>
      </c>
      <c r="BJ404" s="408">
        <v>0</v>
      </c>
      <c r="BK404" s="408">
        <v>34704.44</v>
      </c>
      <c r="BL404" s="408">
        <v>120</v>
      </c>
      <c r="BM404" s="408"/>
      <c r="BN404" s="408"/>
      <c r="BO404" s="408"/>
      <c r="BP404" s="408"/>
      <c r="BQ404" s="408"/>
      <c r="BR404" s="408"/>
      <c r="BS404" s="408"/>
      <c r="BT404" s="408"/>
      <c r="BU404" s="408"/>
      <c r="BV404" s="408">
        <v>22524.808354600176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53207.085600000006</v>
      </c>
      <c r="CJ404" s="408">
        <v>-24586.037939999995</v>
      </c>
      <c r="CK404" s="408"/>
      <c r="CL404" s="408"/>
      <c r="CM404" s="408"/>
      <c r="CN404" s="408"/>
      <c r="CO404" s="408">
        <v>-24586.685909999997</v>
      </c>
      <c r="CP404" s="408">
        <v>0</v>
      </c>
      <c r="CQ404" s="408">
        <v>31</v>
      </c>
      <c r="CR404" s="408">
        <v>-190.87638287022128</v>
      </c>
      <c r="CS404" s="408">
        <v>0</v>
      </c>
      <c r="CT404" s="408">
        <v>0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-24.909207786786283</v>
      </c>
      <c r="DA404" s="408">
        <v>0</v>
      </c>
      <c r="DB404" s="408">
        <v>0</v>
      </c>
      <c r="DC404" s="408">
        <v>-2.7750174922402948E-6</v>
      </c>
      <c r="DD404" s="408">
        <v>0</v>
      </c>
      <c r="DE404" s="408">
        <v>0</v>
      </c>
      <c r="DF404" s="408">
        <v>0</v>
      </c>
      <c r="DG404" s="408">
        <v>-3.8281314118648879E-7</v>
      </c>
      <c r="DH404" s="408">
        <v>0</v>
      </c>
      <c r="DI404" s="408">
        <v>-141.14524607108615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-18.850127326134725</v>
      </c>
      <c r="DP404" s="408">
        <v>-5.9717985283904795</v>
      </c>
      <c r="DQ404" s="408">
        <v>0</v>
      </c>
      <c r="DR404" s="408">
        <v>0</v>
      </c>
      <c r="DS404" s="408"/>
      <c r="DT404" s="408"/>
      <c r="DU404" s="408"/>
      <c r="DV404" s="408">
        <v>39787.893206030902</v>
      </c>
      <c r="DW404" s="408">
        <v>0</v>
      </c>
      <c r="DX404" s="408">
        <v>0</v>
      </c>
      <c r="DY404" s="408">
        <v>-24586.68591</v>
      </c>
      <c r="DZ404" s="408">
        <v>0</v>
      </c>
      <c r="EA404" s="408">
        <v>0</v>
      </c>
      <c r="EB404" s="408">
        <v>0</v>
      </c>
      <c r="EC404" s="408">
        <v>-24395.752626566551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265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411</v>
      </c>
      <c r="B405" s="408" t="s">
        <v>1031</v>
      </c>
      <c r="C405" s="408" t="s">
        <v>2235</v>
      </c>
      <c r="D405" s="408" t="s">
        <v>596</v>
      </c>
      <c r="E405" s="408" t="s">
        <v>993</v>
      </c>
      <c r="F405" s="408" t="s">
        <v>1317</v>
      </c>
      <c r="G405" s="408" t="s">
        <v>1317</v>
      </c>
      <c r="H405" s="408" t="s">
        <v>1317</v>
      </c>
      <c r="I405" s="408" t="s">
        <v>968</v>
      </c>
      <c r="J405" s="408" t="s">
        <v>2228</v>
      </c>
      <c r="K405" s="828">
        <v>44621</v>
      </c>
      <c r="L405" s="408">
        <v>0</v>
      </c>
      <c r="M405" s="408">
        <v>0</v>
      </c>
      <c r="N405" s="408">
        <v>9.1430000000000007</v>
      </c>
      <c r="O405" s="408">
        <v>9.1430000000000007</v>
      </c>
      <c r="P405" s="408">
        <v>9.1430000000000007</v>
      </c>
      <c r="Q405" s="408">
        <v>9.1430000000000007</v>
      </c>
      <c r="R405" s="408"/>
      <c r="S405" s="408">
        <v>2641.06</v>
      </c>
      <c r="T405" s="408">
        <v>252.22</v>
      </c>
      <c r="U405" s="408"/>
      <c r="V405" s="408">
        <v>26453.259040000004</v>
      </c>
      <c r="W405" s="408">
        <v>26453.259040000004</v>
      </c>
      <c r="X405" s="408">
        <v>15701.63962</v>
      </c>
      <c r="Y405" s="408">
        <v>0</v>
      </c>
      <c r="Z405" s="408">
        <v>492.00536757678771</v>
      </c>
      <c r="AA405" s="408">
        <v>0</v>
      </c>
      <c r="AB405" s="408">
        <v>0</v>
      </c>
      <c r="AC405" s="408">
        <v>0</v>
      </c>
      <c r="AD405" s="408">
        <v>5922.5335945002444</v>
      </c>
      <c r="AE405" s="408">
        <v>17482.241985022294</v>
      </c>
      <c r="AF405" s="408">
        <v>2306.0727630418364</v>
      </c>
      <c r="AG405" s="408">
        <v>0</v>
      </c>
      <c r="AH405" s="408">
        <v>0</v>
      </c>
      <c r="AI405" s="408">
        <v>0</v>
      </c>
      <c r="AJ405" s="408">
        <v>0</v>
      </c>
      <c r="AK405" s="408">
        <v>0</v>
      </c>
      <c r="AL405" s="408">
        <v>87.416489829305334</v>
      </c>
      <c r="AM405" s="408"/>
      <c r="AN405" s="408">
        <v>21.997199816432921</v>
      </c>
      <c r="AO405" s="408">
        <v>0</v>
      </c>
      <c r="AP405" s="408">
        <v>0</v>
      </c>
      <c r="AQ405" s="408">
        <v>0</v>
      </c>
      <c r="AR405" s="408">
        <v>0</v>
      </c>
      <c r="AS405" s="408">
        <v>0</v>
      </c>
      <c r="AT405" s="408">
        <v>0</v>
      </c>
      <c r="AU405" s="408">
        <v>0</v>
      </c>
      <c r="AV405" s="408">
        <v>0</v>
      </c>
      <c r="AW405" s="408">
        <v>0</v>
      </c>
      <c r="AX405" s="408">
        <v>0</v>
      </c>
      <c r="AY405" s="408">
        <v>0</v>
      </c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>
        <v>0</v>
      </c>
      <c r="BG405" s="408">
        <v>141.01103775389333</v>
      </c>
      <c r="BH405" s="408">
        <v>0</v>
      </c>
      <c r="BI405" s="408">
        <v>0</v>
      </c>
      <c r="BJ405" s="408">
        <v>0</v>
      </c>
      <c r="BK405" s="408">
        <v>0</v>
      </c>
      <c r="BL405" s="408">
        <v>0</v>
      </c>
      <c r="BM405" s="408"/>
      <c r="BN405" s="408"/>
      <c r="BO405" s="408"/>
      <c r="BP405" s="408"/>
      <c r="BQ405" s="408"/>
      <c r="BR405" s="408"/>
      <c r="BS405" s="408"/>
      <c r="BT405" s="408"/>
      <c r="BU405" s="408"/>
      <c r="BV405" s="408">
        <v>2447.08380079573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15696.4876</v>
      </c>
      <c r="CJ405" s="408">
        <v>-10756.801439999999</v>
      </c>
      <c r="CK405" s="408"/>
      <c r="CL405" s="408"/>
      <c r="CM405" s="408"/>
      <c r="CN405" s="408"/>
      <c r="CO405" s="408">
        <v>-10751.619420000001</v>
      </c>
      <c r="CP405" s="408">
        <v>0</v>
      </c>
      <c r="CQ405" s="408">
        <v>31</v>
      </c>
      <c r="CR405" s="408">
        <v>-32.437921929737058</v>
      </c>
      <c r="CS405" s="408">
        <v>0</v>
      </c>
      <c r="CT405" s="408">
        <v>0</v>
      </c>
      <c r="CU405" s="408">
        <v>0</v>
      </c>
      <c r="CV405" s="408">
        <v>0</v>
      </c>
      <c r="CW405" s="408">
        <v>0</v>
      </c>
      <c r="CX405" s="408">
        <v>0</v>
      </c>
      <c r="CY405" s="408">
        <v>0</v>
      </c>
      <c r="CZ405" s="408">
        <v>-15.221432887638912</v>
      </c>
      <c r="DA405" s="408">
        <v>0</v>
      </c>
      <c r="DB405" s="408">
        <v>0</v>
      </c>
      <c r="DC405" s="408">
        <v>-3.2329671739717014E-7</v>
      </c>
      <c r="DD405" s="408">
        <v>0</v>
      </c>
      <c r="DE405" s="408">
        <v>0</v>
      </c>
      <c r="DF405" s="408">
        <v>0</v>
      </c>
      <c r="DG405" s="408">
        <v>-1.9769004211411811E-8</v>
      </c>
      <c r="DH405" s="408">
        <v>0</v>
      </c>
      <c r="DI405" s="408">
        <v>-14.306083879767925</v>
      </c>
      <c r="DJ405" s="408"/>
      <c r="DK405" s="408">
        <v>0</v>
      </c>
      <c r="DL405" s="408">
        <v>0</v>
      </c>
      <c r="DM405" s="408">
        <v>0</v>
      </c>
      <c r="DN405" s="408">
        <v>0</v>
      </c>
      <c r="DO405" s="408">
        <v>-2.1960870314714782</v>
      </c>
      <c r="DP405" s="408">
        <v>-0.71431778779322386</v>
      </c>
      <c r="DQ405" s="408">
        <v>0</v>
      </c>
      <c r="DR405" s="408">
        <v>0</v>
      </c>
      <c r="DS405" s="408"/>
      <c r="DT405" s="408"/>
      <c r="DU405" s="408"/>
      <c r="DV405" s="408">
        <v>17482.241985022294</v>
      </c>
      <c r="DW405" s="408">
        <v>0</v>
      </c>
      <c r="DX405" s="408">
        <v>0</v>
      </c>
      <c r="DY405" s="408">
        <v>-10751.619420000003</v>
      </c>
      <c r="DZ405" s="408">
        <v>0</v>
      </c>
      <c r="EA405" s="408">
        <v>0</v>
      </c>
      <c r="EB405" s="408">
        <v>0</v>
      </c>
      <c r="EC405" s="408">
        <v>-10719.151391502513</v>
      </c>
      <c r="ED405" s="408">
        <v>0</v>
      </c>
      <c r="EE405" s="408">
        <v>0</v>
      </c>
      <c r="EF405" s="408">
        <v>0</v>
      </c>
      <c r="EG405" s="408">
        <v>0</v>
      </c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>
        <v>0</v>
      </c>
      <c r="EN405" s="408">
        <v>0</v>
      </c>
      <c r="EO405" s="408">
        <v>0</v>
      </c>
      <c r="EP405" s="408">
        <v>0</v>
      </c>
      <c r="EQ405" s="408">
        <v>0</v>
      </c>
      <c r="ER405" s="408">
        <v>0</v>
      </c>
      <c r="ES405" s="408">
        <v>0</v>
      </c>
      <c r="ET405" s="408">
        <v>0</v>
      </c>
      <c r="EU405" s="408">
        <v>0</v>
      </c>
      <c r="EV405" s="408">
        <v>265</v>
      </c>
      <c r="EW405" s="408">
        <v>0</v>
      </c>
      <c r="EX405" s="408">
        <v>0</v>
      </c>
      <c r="EY405" s="408">
        <v>0</v>
      </c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412</v>
      </c>
      <c r="B406" s="408" t="s">
        <v>2230</v>
      </c>
      <c r="C406" s="408" t="s">
        <v>2235</v>
      </c>
      <c r="D406" s="408" t="s">
        <v>596</v>
      </c>
      <c r="E406" s="408" t="s">
        <v>993</v>
      </c>
      <c r="F406" s="408" t="s">
        <v>1317</v>
      </c>
      <c r="G406" s="408" t="s">
        <v>1317</v>
      </c>
      <c r="H406" s="408" t="s">
        <v>1317</v>
      </c>
      <c r="I406" s="408" t="s">
        <v>968</v>
      </c>
      <c r="J406" s="408" t="s">
        <v>2228</v>
      </c>
      <c r="K406" s="828">
        <v>44621</v>
      </c>
      <c r="L406" s="408">
        <v>0</v>
      </c>
      <c r="M406" s="408">
        <v>0</v>
      </c>
      <c r="N406" s="408">
        <v>0.65600000000000003</v>
      </c>
      <c r="O406" s="408">
        <v>0.65600000000000003</v>
      </c>
      <c r="P406" s="408">
        <v>0.65600000000000003</v>
      </c>
      <c r="Q406" s="408">
        <v>0.65600000000000003</v>
      </c>
      <c r="R406" s="408"/>
      <c r="S406" s="408">
        <v>2641.06</v>
      </c>
      <c r="T406" s="408">
        <v>252.22</v>
      </c>
      <c r="U406" s="408"/>
      <c r="V406" s="408">
        <v>1897.9916800000001</v>
      </c>
      <c r="W406" s="408">
        <v>1897.9916800000001</v>
      </c>
      <c r="X406" s="408">
        <v>1126.5750399999999</v>
      </c>
      <c r="Y406" s="408">
        <v>0</v>
      </c>
      <c r="Z406" s="408">
        <v>35.300833548110326</v>
      </c>
      <c r="AA406" s="408">
        <v>0</v>
      </c>
      <c r="AB406" s="408">
        <v>0</v>
      </c>
      <c r="AC406" s="408">
        <v>0</v>
      </c>
      <c r="AD406" s="408">
        <v>424.93514579373948</v>
      </c>
      <c r="AE406" s="408">
        <v>1254.3312634993574</v>
      </c>
      <c r="AF406" s="408">
        <v>165.45813546488512</v>
      </c>
      <c r="AG406" s="408">
        <v>0</v>
      </c>
      <c r="AH406" s="408">
        <v>0</v>
      </c>
      <c r="AI406" s="408">
        <v>0</v>
      </c>
      <c r="AJ406" s="408">
        <v>0</v>
      </c>
      <c r="AK406" s="408">
        <v>0</v>
      </c>
      <c r="AL406" s="408">
        <v>6.2720351447035219</v>
      </c>
      <c r="AM406" s="408"/>
      <c r="AN406" s="408">
        <v>1.5782744262911512</v>
      </c>
      <c r="AO406" s="408">
        <v>0</v>
      </c>
      <c r="AP406" s="408">
        <v>0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0</v>
      </c>
      <c r="BE406" s="408">
        <v>0</v>
      </c>
      <c r="BF406" s="408">
        <v>0</v>
      </c>
      <c r="BG406" s="408">
        <v>10.117383874718804</v>
      </c>
      <c r="BH406" s="408">
        <v>0</v>
      </c>
      <c r="BI406" s="408">
        <v>0</v>
      </c>
      <c r="BJ406" s="408">
        <v>0</v>
      </c>
      <c r="BK406" s="408">
        <v>0</v>
      </c>
      <c r="BL406" s="408">
        <v>0</v>
      </c>
      <c r="BM406" s="408"/>
      <c r="BN406" s="408"/>
      <c r="BO406" s="408"/>
      <c r="BP406" s="408"/>
      <c r="BQ406" s="408"/>
      <c r="BR406" s="408"/>
      <c r="BS406" s="408"/>
      <c r="BT406" s="408"/>
      <c r="BU406" s="408"/>
      <c r="BV406" s="408">
        <v>175.57551933960391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1133.4444000000001</v>
      </c>
      <c r="CJ406" s="408">
        <v>-764.57727999999997</v>
      </c>
      <c r="CK406" s="408"/>
      <c r="CL406" s="408"/>
      <c r="CM406" s="408"/>
      <c r="CN406" s="408"/>
      <c r="CO406" s="408">
        <v>-771.41664000000003</v>
      </c>
      <c r="CP406" s="408">
        <v>0</v>
      </c>
      <c r="CQ406" s="408">
        <v>31</v>
      </c>
      <c r="CR406" s="408">
        <v>-2.3273845330752465</v>
      </c>
      <c r="CS406" s="408">
        <v>0</v>
      </c>
      <c r="CT406" s="408">
        <v>0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-1.092120745301429</v>
      </c>
      <c r="DA406" s="408">
        <v>0</v>
      </c>
      <c r="DB406" s="408">
        <v>0</v>
      </c>
      <c r="DC406" s="408">
        <v>-2.3196179199658218E-8</v>
      </c>
      <c r="DD406" s="408">
        <v>0</v>
      </c>
      <c r="DE406" s="408">
        <v>0</v>
      </c>
      <c r="DF406" s="408">
        <v>0</v>
      </c>
      <c r="DG406" s="408">
        <v>-1.418403172692706E-9</v>
      </c>
      <c r="DH406" s="408">
        <v>0</v>
      </c>
      <c r="DI406" s="408">
        <v>-1.026445480162721</v>
      </c>
      <c r="DJ406" s="408"/>
      <c r="DK406" s="408">
        <v>0</v>
      </c>
      <c r="DL406" s="408">
        <v>0</v>
      </c>
      <c r="DM406" s="408">
        <v>0</v>
      </c>
      <c r="DN406" s="408">
        <v>0</v>
      </c>
      <c r="DO406" s="408">
        <v>-0.15756678252710188</v>
      </c>
      <c r="DP406" s="408">
        <v>-5.1251500469468914E-2</v>
      </c>
      <c r="DQ406" s="408">
        <v>0</v>
      </c>
      <c r="DR406" s="408">
        <v>0</v>
      </c>
      <c r="DS406" s="408"/>
      <c r="DT406" s="408"/>
      <c r="DU406" s="408"/>
      <c r="DV406" s="408">
        <v>1254.3312634993574</v>
      </c>
      <c r="DW406" s="408">
        <v>0</v>
      </c>
      <c r="DX406" s="408">
        <v>0</v>
      </c>
      <c r="DY406" s="408">
        <v>-771.41664000000014</v>
      </c>
      <c r="DZ406" s="408">
        <v>0</v>
      </c>
      <c r="EA406" s="408">
        <v>0</v>
      </c>
      <c r="EB406" s="408">
        <v>0</v>
      </c>
      <c r="EC406" s="408">
        <v>-769.08709535444041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265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413</v>
      </c>
      <c r="B407" s="408" t="s">
        <v>1031</v>
      </c>
      <c r="C407" s="408" t="s">
        <v>2235</v>
      </c>
      <c r="D407" s="408" t="s">
        <v>596</v>
      </c>
      <c r="E407" s="408" t="s">
        <v>993</v>
      </c>
      <c r="F407" s="408" t="s">
        <v>1317</v>
      </c>
      <c r="G407" s="408" t="s">
        <v>1317</v>
      </c>
      <c r="H407" s="408" t="s">
        <v>1317</v>
      </c>
      <c r="I407" s="408" t="s">
        <v>2236</v>
      </c>
      <c r="J407" s="408" t="s">
        <v>2228</v>
      </c>
      <c r="K407" s="828">
        <v>44621</v>
      </c>
      <c r="L407" s="408">
        <v>0</v>
      </c>
      <c r="M407" s="408">
        <v>0</v>
      </c>
      <c r="N407" s="408">
        <v>207.25399999999999</v>
      </c>
      <c r="O407" s="408">
        <v>207.25399999999999</v>
      </c>
      <c r="P407" s="408">
        <v>207.25399999999999</v>
      </c>
      <c r="Q407" s="408">
        <v>207.25399999999999</v>
      </c>
      <c r="R407" s="408"/>
      <c r="S407" s="408">
        <v>81.2</v>
      </c>
      <c r="T407" s="408">
        <v>252.22</v>
      </c>
      <c r="U407" s="408"/>
      <c r="V407" s="408">
        <v>69102.628679999994</v>
      </c>
      <c r="W407" s="408">
        <v>69102.628679999994</v>
      </c>
      <c r="X407" s="408">
        <v>68712.99115999999</v>
      </c>
      <c r="Y407" s="408">
        <v>0</v>
      </c>
      <c r="Z407" s="408">
        <v>11152.803286859844</v>
      </c>
      <c r="AA407" s="408">
        <v>0</v>
      </c>
      <c r="AB407" s="408">
        <v>0</v>
      </c>
      <c r="AC407" s="408">
        <v>0</v>
      </c>
      <c r="AD407" s="408">
        <v>0</v>
      </c>
      <c r="AE407" s="408">
        <v>0</v>
      </c>
      <c r="AF407" s="408">
        <v>52274.17745066966</v>
      </c>
      <c r="AG407" s="408">
        <v>0</v>
      </c>
      <c r="AH407" s="408">
        <v>0</v>
      </c>
      <c r="AI407" s="408">
        <v>0</v>
      </c>
      <c r="AJ407" s="408">
        <v>0</v>
      </c>
      <c r="AK407" s="408">
        <v>0</v>
      </c>
      <c r="AL407" s="408">
        <v>1981.5615425005847</v>
      </c>
      <c r="AM407" s="408"/>
      <c r="AN407" s="408">
        <v>498.63367065022288</v>
      </c>
      <c r="AO407" s="408">
        <v>0</v>
      </c>
      <c r="AP407" s="408">
        <v>0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0</v>
      </c>
      <c r="BF407" s="408">
        <v>0</v>
      </c>
      <c r="BG407" s="408">
        <v>3196.4455450776991</v>
      </c>
      <c r="BH407" s="408">
        <v>0</v>
      </c>
      <c r="BI407" s="408">
        <v>0</v>
      </c>
      <c r="BJ407" s="408">
        <v>0</v>
      </c>
      <c r="BK407" s="408">
        <v>0</v>
      </c>
      <c r="BL407" s="408">
        <v>0</v>
      </c>
      <c r="BM407" s="408"/>
      <c r="BN407" s="408"/>
      <c r="BO407" s="408"/>
      <c r="BP407" s="408"/>
      <c r="BQ407" s="408"/>
      <c r="BR407" s="408"/>
      <c r="BS407" s="408"/>
      <c r="BT407" s="408"/>
      <c r="BU407" s="408"/>
      <c r="BV407" s="408">
        <v>55470.622995747362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68711.665000000008</v>
      </c>
      <c r="CJ407" s="408">
        <v>-390.99367999997048</v>
      </c>
      <c r="CK407" s="408"/>
      <c r="CL407" s="408"/>
      <c r="CM407" s="408"/>
      <c r="CN407" s="408"/>
      <c r="CO407" s="408">
        <v>-389.63752000000198</v>
      </c>
      <c r="CP407" s="408">
        <v>0</v>
      </c>
      <c r="CQ407" s="408">
        <v>31</v>
      </c>
      <c r="CR407" s="408">
        <v>-390.26426992572669</v>
      </c>
      <c r="CS407" s="408">
        <v>0</v>
      </c>
      <c r="CT407" s="408">
        <v>0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0</v>
      </c>
      <c r="DA407" s="408">
        <v>0</v>
      </c>
      <c r="DB407" s="408">
        <v>0</v>
      </c>
      <c r="DC407" s="408">
        <v>-7.3285045800730586E-6</v>
      </c>
      <c r="DD407" s="408">
        <v>0</v>
      </c>
      <c r="DE407" s="408">
        <v>0</v>
      </c>
      <c r="DF407" s="408">
        <v>0</v>
      </c>
      <c r="DG407" s="408">
        <v>-4.4812441046815366E-7</v>
      </c>
      <c r="DH407" s="408">
        <v>0</v>
      </c>
      <c r="DI407" s="408">
        <v>-324.2910541854344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-49.781015161390087</v>
      </c>
      <c r="DP407" s="408">
        <v>-16.192192802285547</v>
      </c>
      <c r="DQ407" s="408">
        <v>0</v>
      </c>
      <c r="DR407" s="408">
        <v>0</v>
      </c>
      <c r="DS407" s="408"/>
      <c r="DT407" s="408"/>
      <c r="DU407" s="408"/>
      <c r="DV407" s="408">
        <v>0</v>
      </c>
      <c r="DW407" s="408">
        <v>0</v>
      </c>
      <c r="DX407" s="408">
        <v>0</v>
      </c>
      <c r="DY407" s="408">
        <v>-389.63752000000022</v>
      </c>
      <c r="DZ407" s="408">
        <v>0</v>
      </c>
      <c r="EA407" s="408">
        <v>0</v>
      </c>
      <c r="EB407" s="408">
        <v>0</v>
      </c>
      <c r="EC407" s="408">
        <v>0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265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414</v>
      </c>
      <c r="B408" s="408" t="s">
        <v>2230</v>
      </c>
      <c r="C408" s="408" t="s">
        <v>2235</v>
      </c>
      <c r="D408" s="408" t="s">
        <v>596</v>
      </c>
      <c r="E408" s="408" t="s">
        <v>993</v>
      </c>
      <c r="F408" s="408" t="s">
        <v>1317</v>
      </c>
      <c r="G408" s="408" t="s">
        <v>1317</v>
      </c>
      <c r="H408" s="408" t="s">
        <v>1317</v>
      </c>
      <c r="I408" s="408" t="s">
        <v>2236</v>
      </c>
      <c r="J408" s="408" t="s">
        <v>2228</v>
      </c>
      <c r="K408" s="828">
        <v>44621</v>
      </c>
      <c r="L408" s="408">
        <v>0</v>
      </c>
      <c r="M408" s="408">
        <v>0</v>
      </c>
      <c r="N408" s="408">
        <v>11.465999999999999</v>
      </c>
      <c r="O408" s="408">
        <v>11.465999999999999</v>
      </c>
      <c r="P408" s="408">
        <v>11.465999999999999</v>
      </c>
      <c r="Q408" s="408">
        <v>11.465999999999999</v>
      </c>
      <c r="R408" s="408"/>
      <c r="S408" s="408">
        <v>81.2</v>
      </c>
      <c r="T408" s="408">
        <v>252.22</v>
      </c>
      <c r="U408" s="408"/>
      <c r="V408" s="408">
        <v>3822.9937199999995</v>
      </c>
      <c r="W408" s="408">
        <v>3822.9937199999995</v>
      </c>
      <c r="X408" s="408">
        <v>3801.4376399999996</v>
      </c>
      <c r="Y408" s="408">
        <v>0</v>
      </c>
      <c r="Z408" s="408">
        <v>617.01121564425762</v>
      </c>
      <c r="AA408" s="408">
        <v>0</v>
      </c>
      <c r="AB408" s="408">
        <v>0</v>
      </c>
      <c r="AC408" s="408">
        <v>0</v>
      </c>
      <c r="AD408" s="408">
        <v>0</v>
      </c>
      <c r="AE408" s="408">
        <v>0</v>
      </c>
      <c r="AF408" s="408">
        <v>2891.9862518908117</v>
      </c>
      <c r="AG408" s="408">
        <v>0</v>
      </c>
      <c r="AH408" s="408">
        <v>0</v>
      </c>
      <c r="AI408" s="408">
        <v>0</v>
      </c>
      <c r="AJ408" s="408">
        <v>0</v>
      </c>
      <c r="AK408" s="408">
        <v>0</v>
      </c>
      <c r="AL408" s="408">
        <v>109.62676062373563</v>
      </c>
      <c r="AM408" s="408"/>
      <c r="AN408" s="408">
        <v>27.586119774168196</v>
      </c>
      <c r="AO408" s="408">
        <v>0</v>
      </c>
      <c r="AP408" s="408">
        <v>0</v>
      </c>
      <c r="AQ408" s="408">
        <v>0</v>
      </c>
      <c r="AR408" s="408">
        <v>0</v>
      </c>
      <c r="AS408" s="408">
        <v>0</v>
      </c>
      <c r="AT408" s="408">
        <v>0</v>
      </c>
      <c r="AU408" s="408">
        <v>0</v>
      </c>
      <c r="AV408" s="408">
        <v>0</v>
      </c>
      <c r="AW408" s="408">
        <v>0</v>
      </c>
      <c r="AX408" s="408">
        <v>0</v>
      </c>
      <c r="AY408" s="408">
        <v>0</v>
      </c>
      <c r="AZ408" s="408">
        <v>0</v>
      </c>
      <c r="BA408" s="408"/>
      <c r="BB408" s="408">
        <v>0</v>
      </c>
      <c r="BC408" s="408">
        <v>0</v>
      </c>
      <c r="BD408" s="408">
        <v>0</v>
      </c>
      <c r="BE408" s="408">
        <v>0</v>
      </c>
      <c r="BF408" s="408">
        <v>0</v>
      </c>
      <c r="BG408" s="408">
        <v>176.83829802976493</v>
      </c>
      <c r="BH408" s="408">
        <v>0</v>
      </c>
      <c r="BI408" s="408">
        <v>0</v>
      </c>
      <c r="BJ408" s="408">
        <v>0</v>
      </c>
      <c r="BK408" s="408">
        <v>0</v>
      </c>
      <c r="BL408" s="408">
        <v>0</v>
      </c>
      <c r="BM408" s="408"/>
      <c r="BN408" s="408"/>
      <c r="BO408" s="408"/>
      <c r="BP408" s="408"/>
      <c r="BQ408" s="408"/>
      <c r="BR408" s="408"/>
      <c r="BS408" s="408"/>
      <c r="BT408" s="408"/>
      <c r="BU408" s="408"/>
      <c r="BV408" s="408">
        <v>3068.8245499205768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3802.7638000000002</v>
      </c>
      <c r="CJ408" s="408">
        <v>-20.259919999999966</v>
      </c>
      <c r="CK408" s="408"/>
      <c r="CL408" s="408"/>
      <c r="CM408" s="408"/>
      <c r="CN408" s="408"/>
      <c r="CO408" s="408">
        <v>-21.556080000000108</v>
      </c>
      <c r="CP408" s="408">
        <v>0</v>
      </c>
      <c r="CQ408" s="408">
        <v>31</v>
      </c>
      <c r="CR408" s="408">
        <v>-21.590753949108148</v>
      </c>
      <c r="CS408" s="408">
        <v>0</v>
      </c>
      <c r="CT408" s="408">
        <v>0</v>
      </c>
      <c r="CU408" s="408">
        <v>0</v>
      </c>
      <c r="CV408" s="408">
        <v>0</v>
      </c>
      <c r="CW408" s="408">
        <v>0</v>
      </c>
      <c r="CX408" s="408">
        <v>0</v>
      </c>
      <c r="CY408" s="408">
        <v>0</v>
      </c>
      <c r="CZ408" s="408">
        <v>0</v>
      </c>
      <c r="DA408" s="408">
        <v>0</v>
      </c>
      <c r="DB408" s="408">
        <v>0</v>
      </c>
      <c r="DC408" s="408">
        <v>-4.0543773138779216E-7</v>
      </c>
      <c r="DD408" s="408">
        <v>0</v>
      </c>
      <c r="DE408" s="408">
        <v>0</v>
      </c>
      <c r="DF408" s="408">
        <v>0</v>
      </c>
      <c r="DG408" s="408">
        <v>-2.4791773967081099E-8</v>
      </c>
      <c r="DH408" s="408">
        <v>0</v>
      </c>
      <c r="DI408" s="408">
        <v>-17.940890054185616</v>
      </c>
      <c r="DJ408" s="408"/>
      <c r="DK408" s="408">
        <v>0</v>
      </c>
      <c r="DL408" s="408">
        <v>0</v>
      </c>
      <c r="DM408" s="408">
        <v>0</v>
      </c>
      <c r="DN408" s="408">
        <v>0</v>
      </c>
      <c r="DO408" s="408">
        <v>-2.7540559884996298</v>
      </c>
      <c r="DP408" s="408">
        <v>-0.89580747619348955</v>
      </c>
      <c r="DQ408" s="408">
        <v>0</v>
      </c>
      <c r="DR408" s="408">
        <v>0</v>
      </c>
      <c r="DS408" s="408"/>
      <c r="DT408" s="408"/>
      <c r="DU408" s="408"/>
      <c r="DV408" s="408">
        <v>0</v>
      </c>
      <c r="DW408" s="408">
        <v>0</v>
      </c>
      <c r="DX408" s="408">
        <v>0</v>
      </c>
      <c r="DY408" s="408">
        <v>-21.556080000000065</v>
      </c>
      <c r="DZ408" s="408">
        <v>0</v>
      </c>
      <c r="EA408" s="408">
        <v>0</v>
      </c>
      <c r="EB408" s="408">
        <v>0</v>
      </c>
      <c r="EC408" s="408">
        <v>0</v>
      </c>
      <c r="ED408" s="408">
        <v>0</v>
      </c>
      <c r="EE408" s="408">
        <v>0</v>
      </c>
      <c r="EF408" s="408">
        <v>0</v>
      </c>
      <c r="EG408" s="408">
        <v>0</v>
      </c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>
        <v>0</v>
      </c>
      <c r="EN408" s="408">
        <v>0</v>
      </c>
      <c r="EO408" s="408">
        <v>0</v>
      </c>
      <c r="EP408" s="408">
        <v>0</v>
      </c>
      <c r="EQ408" s="408">
        <v>0</v>
      </c>
      <c r="ER408" s="408">
        <v>0</v>
      </c>
      <c r="ES408" s="408">
        <v>0</v>
      </c>
      <c r="ET408" s="408">
        <v>0</v>
      </c>
      <c r="EU408" s="408">
        <v>0</v>
      </c>
      <c r="EV408" s="408">
        <v>265</v>
      </c>
      <c r="EW408" s="408">
        <v>0</v>
      </c>
      <c r="EX408" s="408">
        <v>0</v>
      </c>
      <c r="EY408" s="408">
        <v>0</v>
      </c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415</v>
      </c>
      <c r="B409" s="408" t="s">
        <v>1031</v>
      </c>
      <c r="C409" s="408" t="s">
        <v>2235</v>
      </c>
      <c r="D409" s="408" t="s">
        <v>596</v>
      </c>
      <c r="E409" s="408" t="s">
        <v>993</v>
      </c>
      <c r="F409" s="408" t="s">
        <v>1317</v>
      </c>
      <c r="G409" s="408" t="s">
        <v>1317</v>
      </c>
      <c r="H409" s="408" t="s">
        <v>1317</v>
      </c>
      <c r="I409" s="408" t="s">
        <v>1317</v>
      </c>
      <c r="J409" s="408" t="s">
        <v>2228</v>
      </c>
      <c r="K409" s="828">
        <v>44621</v>
      </c>
      <c r="L409" s="408">
        <v>2552</v>
      </c>
      <c r="M409" s="408">
        <v>2552</v>
      </c>
      <c r="N409" s="408">
        <v>0</v>
      </c>
      <c r="O409" s="408">
        <v>0</v>
      </c>
      <c r="P409" s="408">
        <v>0</v>
      </c>
      <c r="Q409" s="408">
        <v>0</v>
      </c>
      <c r="R409" s="408">
        <v>74.44</v>
      </c>
      <c r="S409" s="408"/>
      <c r="T409" s="408"/>
      <c r="U409" s="408">
        <v>189970.88</v>
      </c>
      <c r="V409" s="408"/>
      <c r="W409" s="408">
        <v>189970.88</v>
      </c>
      <c r="X409" s="408">
        <v>115911.84000000001</v>
      </c>
      <c r="Y409" s="408">
        <v>0</v>
      </c>
      <c r="Z409" s="408">
        <v>0</v>
      </c>
      <c r="AA409" s="408">
        <v>0</v>
      </c>
      <c r="AB409" s="408">
        <v>0</v>
      </c>
      <c r="AC409" s="408">
        <v>0</v>
      </c>
      <c r="AD409" s="408">
        <v>69458.020137713</v>
      </c>
      <c r="AE409" s="408">
        <v>120509.36480802277</v>
      </c>
      <c r="AF409" s="408"/>
      <c r="AG409" s="408"/>
      <c r="AH409" s="408"/>
      <c r="AI409" s="408">
        <v>0</v>
      </c>
      <c r="AJ409" s="408">
        <v>0</v>
      </c>
      <c r="AK409" s="408">
        <v>0</v>
      </c>
      <c r="AL409" s="408">
        <v>0</v>
      </c>
      <c r="AM409" s="408"/>
      <c r="AN409" s="408">
        <v>0</v>
      </c>
      <c r="AO409" s="408">
        <v>0</v>
      </c>
      <c r="AP409" s="408">
        <v>0</v>
      </c>
      <c r="AQ409" s="408">
        <v>0</v>
      </c>
      <c r="AR409" s="408">
        <v>0</v>
      </c>
      <c r="AS409" s="408"/>
      <c r="AT409" s="408"/>
      <c r="AU409" s="408">
        <v>0</v>
      </c>
      <c r="AV409" s="408">
        <v>0</v>
      </c>
      <c r="AW409" s="408">
        <v>0</v>
      </c>
      <c r="AX409" s="408"/>
      <c r="AY409" s="408"/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0</v>
      </c>
      <c r="BF409" s="408"/>
      <c r="BG409" s="408">
        <v>0</v>
      </c>
      <c r="BH409" s="408">
        <v>0</v>
      </c>
      <c r="BI409" s="408">
        <v>0</v>
      </c>
      <c r="BJ409" s="408">
        <v>0</v>
      </c>
      <c r="BK409" s="408">
        <v>70190</v>
      </c>
      <c r="BL409" s="408">
        <v>15</v>
      </c>
      <c r="BM409" s="408"/>
      <c r="BN409" s="408"/>
      <c r="BO409" s="408"/>
      <c r="BP409" s="408"/>
      <c r="BQ409" s="408"/>
      <c r="BR409" s="408"/>
      <c r="BS409" s="408"/>
      <c r="BT409" s="408"/>
      <c r="BU409" s="408"/>
      <c r="BV409" s="408">
        <v>0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115911.84000000001</v>
      </c>
      <c r="CJ409" s="408">
        <v>-74059.070000000022</v>
      </c>
      <c r="CK409" s="408"/>
      <c r="CL409" s="408"/>
      <c r="CM409" s="408"/>
      <c r="CN409" s="408"/>
      <c r="CO409" s="408">
        <v>-74059.039999999994</v>
      </c>
      <c r="CP409" s="408">
        <v>0</v>
      </c>
      <c r="CQ409" s="408">
        <v>31</v>
      </c>
      <c r="CR409" s="408">
        <v>-178.5132283615967</v>
      </c>
      <c r="CS409" s="408">
        <v>0</v>
      </c>
      <c r="CT409" s="408">
        <v>0</v>
      </c>
      <c r="CU409" s="408">
        <v>0</v>
      </c>
      <c r="CV409" s="408">
        <v>0</v>
      </c>
      <c r="CW409" s="408"/>
      <c r="CX409" s="408"/>
      <c r="CY409" s="408"/>
      <c r="CZ409" s="408">
        <v>-178.5132283615967</v>
      </c>
      <c r="DA409" s="408">
        <v>0</v>
      </c>
      <c r="DB409" s="408">
        <v>0</v>
      </c>
      <c r="DC409" s="408"/>
      <c r="DD409" s="408"/>
      <c r="DE409" s="408">
        <v>0</v>
      </c>
      <c r="DF409" s="408">
        <v>0</v>
      </c>
      <c r="DG409" s="408">
        <v>0</v>
      </c>
      <c r="DH409" s="408">
        <v>0</v>
      </c>
      <c r="DI409" s="408">
        <v>0</v>
      </c>
      <c r="DJ409" s="408"/>
      <c r="DK409" s="408">
        <v>0</v>
      </c>
      <c r="DL409" s="408">
        <v>0</v>
      </c>
      <c r="DM409" s="408"/>
      <c r="DN409" s="408">
        <v>0</v>
      </c>
      <c r="DO409" s="408">
        <v>0</v>
      </c>
      <c r="DP409" s="408">
        <v>0</v>
      </c>
      <c r="DQ409" s="408">
        <v>0</v>
      </c>
      <c r="DR409" s="408">
        <v>0</v>
      </c>
      <c r="DS409" s="408"/>
      <c r="DT409" s="408"/>
      <c r="DU409" s="408">
        <v>120509.36480802277</v>
      </c>
      <c r="DV409" s="408"/>
      <c r="DW409" s="408">
        <v>0</v>
      </c>
      <c r="DX409" s="408">
        <v>0</v>
      </c>
      <c r="DY409" s="408">
        <v>-74059.039999999994</v>
      </c>
      <c r="DZ409" s="408"/>
      <c r="EA409" s="408">
        <v>0</v>
      </c>
      <c r="EB409" s="408"/>
      <c r="EC409" s="408">
        <v>-73889.729165040859</v>
      </c>
      <c r="ED409" s="408"/>
      <c r="EE409" s="408">
        <v>0</v>
      </c>
      <c r="EF409" s="408">
        <v>0</v>
      </c>
      <c r="EG409" s="408"/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/>
      <c r="EN409" s="408"/>
      <c r="EO409" s="408">
        <v>0</v>
      </c>
      <c r="EP409" s="408">
        <v>0</v>
      </c>
      <c r="EQ409" s="408"/>
      <c r="ER409" s="408">
        <v>0</v>
      </c>
      <c r="ES409" s="408"/>
      <c r="ET409" s="408">
        <v>0</v>
      </c>
      <c r="EU409" s="408"/>
      <c r="EV409" s="408">
        <v>265</v>
      </c>
      <c r="EW409" s="408"/>
      <c r="EX409" s="408"/>
      <c r="EY409" s="408"/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416</v>
      </c>
      <c r="B410" s="408" t="s">
        <v>2230</v>
      </c>
      <c r="C410" s="408" t="s">
        <v>2235</v>
      </c>
      <c r="D410" s="408" t="s">
        <v>596</v>
      </c>
      <c r="E410" s="408" t="s">
        <v>993</v>
      </c>
      <c r="F410" s="408" t="s">
        <v>1317</v>
      </c>
      <c r="G410" s="408" t="s">
        <v>1317</v>
      </c>
      <c r="H410" s="408" t="s">
        <v>1317</v>
      </c>
      <c r="I410" s="408" t="s">
        <v>1317</v>
      </c>
      <c r="J410" s="408" t="s">
        <v>2228</v>
      </c>
      <c r="K410" s="828">
        <v>44621</v>
      </c>
      <c r="L410" s="408">
        <v>140</v>
      </c>
      <c r="M410" s="408">
        <v>140</v>
      </c>
      <c r="N410" s="408">
        <v>0</v>
      </c>
      <c r="O410" s="408">
        <v>0</v>
      </c>
      <c r="P410" s="408">
        <v>0</v>
      </c>
      <c r="Q410" s="408">
        <v>0</v>
      </c>
      <c r="R410" s="408">
        <v>74.44</v>
      </c>
      <c r="S410" s="408"/>
      <c r="T410" s="408"/>
      <c r="U410" s="408">
        <v>10421.6</v>
      </c>
      <c r="V410" s="408"/>
      <c r="W410" s="408">
        <v>10421.6</v>
      </c>
      <c r="X410" s="408">
        <v>6358.8</v>
      </c>
      <c r="Y410" s="408">
        <v>0</v>
      </c>
      <c r="Z410" s="408">
        <v>0</v>
      </c>
      <c r="AA410" s="408">
        <v>0</v>
      </c>
      <c r="AB410" s="408">
        <v>0</v>
      </c>
      <c r="AC410" s="408">
        <v>0</v>
      </c>
      <c r="AD410" s="408">
        <v>3810.3929542632522</v>
      </c>
      <c r="AE410" s="408">
        <v>6611.0153107849483</v>
      </c>
      <c r="AF410" s="408"/>
      <c r="AG410" s="408"/>
      <c r="AH410" s="408"/>
      <c r="AI410" s="408">
        <v>0</v>
      </c>
      <c r="AJ410" s="408">
        <v>0</v>
      </c>
      <c r="AK410" s="408">
        <v>0</v>
      </c>
      <c r="AL410" s="408">
        <v>0</v>
      </c>
      <c r="AM410" s="408"/>
      <c r="AN410" s="408">
        <v>0</v>
      </c>
      <c r="AO410" s="408">
        <v>0</v>
      </c>
      <c r="AP410" s="408">
        <v>0</v>
      </c>
      <c r="AQ410" s="408">
        <v>0</v>
      </c>
      <c r="AR410" s="408">
        <v>0</v>
      </c>
      <c r="AS410" s="408"/>
      <c r="AT410" s="408"/>
      <c r="AU410" s="408">
        <v>0</v>
      </c>
      <c r="AV410" s="408">
        <v>0</v>
      </c>
      <c r="AW410" s="408">
        <v>0</v>
      </c>
      <c r="AX410" s="408"/>
      <c r="AY410" s="408"/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0</v>
      </c>
      <c r="BF410" s="408"/>
      <c r="BG410" s="408">
        <v>0</v>
      </c>
      <c r="BH410" s="408">
        <v>0</v>
      </c>
      <c r="BI410" s="408">
        <v>0</v>
      </c>
      <c r="BJ410" s="408">
        <v>0</v>
      </c>
      <c r="BK410" s="408">
        <v>4266.2299999999996</v>
      </c>
      <c r="BL410" s="408">
        <v>1</v>
      </c>
      <c r="BM410" s="408"/>
      <c r="BN410" s="408"/>
      <c r="BO410" s="408"/>
      <c r="BP410" s="408"/>
      <c r="BQ410" s="408"/>
      <c r="BR410" s="408"/>
      <c r="BS410" s="408"/>
      <c r="BT410" s="408"/>
      <c r="BU410" s="408"/>
      <c r="BV410" s="408">
        <v>0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6358.8</v>
      </c>
      <c r="CJ410" s="408">
        <v>-4062.8300000000008</v>
      </c>
      <c r="CK410" s="408"/>
      <c r="CL410" s="408"/>
      <c r="CM410" s="408"/>
      <c r="CN410" s="408"/>
      <c r="CO410" s="408">
        <v>-4062.7999999999993</v>
      </c>
      <c r="CP410" s="408">
        <v>0</v>
      </c>
      <c r="CQ410" s="408">
        <v>31</v>
      </c>
      <c r="CR410" s="408">
        <v>-9.7930454430343161</v>
      </c>
      <c r="CS410" s="408">
        <v>0</v>
      </c>
      <c r="CT410" s="408">
        <v>0</v>
      </c>
      <c r="CU410" s="408">
        <v>0</v>
      </c>
      <c r="CV410" s="408">
        <v>0</v>
      </c>
      <c r="CW410" s="408"/>
      <c r="CX410" s="408"/>
      <c r="CY410" s="408"/>
      <c r="CZ410" s="408">
        <v>-9.7930454430343161</v>
      </c>
      <c r="DA410" s="408">
        <v>0</v>
      </c>
      <c r="DB410" s="408">
        <v>0</v>
      </c>
      <c r="DC410" s="408"/>
      <c r="DD410" s="408"/>
      <c r="DE410" s="408">
        <v>0</v>
      </c>
      <c r="DF410" s="408">
        <v>0</v>
      </c>
      <c r="DG410" s="408">
        <v>0</v>
      </c>
      <c r="DH410" s="408">
        <v>0</v>
      </c>
      <c r="DI410" s="408">
        <v>0</v>
      </c>
      <c r="DJ410" s="408"/>
      <c r="DK410" s="408">
        <v>0</v>
      </c>
      <c r="DL410" s="408">
        <v>0</v>
      </c>
      <c r="DM410" s="408"/>
      <c r="DN410" s="408">
        <v>0</v>
      </c>
      <c r="DO410" s="408">
        <v>0</v>
      </c>
      <c r="DP410" s="408">
        <v>0</v>
      </c>
      <c r="DQ410" s="408">
        <v>0</v>
      </c>
      <c r="DR410" s="408">
        <v>0</v>
      </c>
      <c r="DS410" s="408"/>
      <c r="DT410" s="408"/>
      <c r="DU410" s="408">
        <v>6611.0153107849483</v>
      </c>
      <c r="DV410" s="408"/>
      <c r="DW410" s="408">
        <v>0</v>
      </c>
      <c r="DX410" s="408">
        <v>0</v>
      </c>
      <c r="DY410" s="408">
        <v>-4062.8</v>
      </c>
      <c r="DZ410" s="408"/>
      <c r="EA410" s="408">
        <v>0</v>
      </c>
      <c r="EB410" s="408"/>
      <c r="EC410" s="408">
        <v>-4053.5117880508305</v>
      </c>
      <c r="ED410" s="408"/>
      <c r="EE410" s="408">
        <v>0</v>
      </c>
      <c r="EF410" s="408">
        <v>0</v>
      </c>
      <c r="EG410" s="408"/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/>
      <c r="EN410" s="408"/>
      <c r="EO410" s="408">
        <v>0</v>
      </c>
      <c r="EP410" s="408">
        <v>0</v>
      </c>
      <c r="EQ410" s="408"/>
      <c r="ER410" s="408">
        <v>0</v>
      </c>
      <c r="ES410" s="408"/>
      <c r="ET410" s="408">
        <v>0</v>
      </c>
      <c r="EU410" s="408"/>
      <c r="EV410" s="408">
        <v>265</v>
      </c>
      <c r="EW410" s="408"/>
      <c r="EX410" s="408"/>
      <c r="EY410" s="408"/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417</v>
      </c>
      <c r="B411" s="408" t="s">
        <v>1031</v>
      </c>
      <c r="C411" s="408" t="s">
        <v>2227</v>
      </c>
      <c r="D411" s="408" t="s">
        <v>2237</v>
      </c>
      <c r="E411" s="408" t="s">
        <v>969</v>
      </c>
      <c r="F411" s="408" t="s">
        <v>1317</v>
      </c>
      <c r="G411" s="408" t="s">
        <v>1317</v>
      </c>
      <c r="H411" s="408" t="s">
        <v>1317</v>
      </c>
      <c r="I411" s="408" t="s">
        <v>1317</v>
      </c>
      <c r="J411" s="408" t="s">
        <v>2228</v>
      </c>
      <c r="K411" s="828">
        <v>44621</v>
      </c>
      <c r="L411" s="408">
        <v>0</v>
      </c>
      <c r="M411" s="408">
        <v>0</v>
      </c>
      <c r="N411" s="408">
        <v>4474.9430000000002</v>
      </c>
      <c r="O411" s="408">
        <v>4474.9430000000002</v>
      </c>
      <c r="P411" s="408">
        <v>4474.9430000000002</v>
      </c>
      <c r="Q411" s="408">
        <v>4474.9430000000002</v>
      </c>
      <c r="R411" s="408"/>
      <c r="S411" s="408">
        <v>739.04</v>
      </c>
      <c r="T411" s="408">
        <v>252.22</v>
      </c>
      <c r="U411" s="408"/>
      <c r="V411" s="408">
        <v>4435831.9981800001</v>
      </c>
      <c r="W411" s="408">
        <v>4435831.9981800001</v>
      </c>
      <c r="X411" s="408">
        <v>3033877.1057100003</v>
      </c>
      <c r="Y411" s="408">
        <v>0</v>
      </c>
      <c r="Z411" s="408">
        <v>276789.35025981476</v>
      </c>
      <c r="AA411" s="408">
        <v>0</v>
      </c>
      <c r="AB411" s="408">
        <v>0</v>
      </c>
      <c r="AC411" s="408">
        <v>0</v>
      </c>
      <c r="AD411" s="408">
        <v>552644.63514854049</v>
      </c>
      <c r="AE411" s="408">
        <v>2268741.3726866492</v>
      </c>
      <c r="AF411" s="408">
        <v>1128682.5077616454</v>
      </c>
      <c r="AG411" s="408">
        <v>0</v>
      </c>
      <c r="AH411" s="408">
        <v>0</v>
      </c>
      <c r="AI411" s="408">
        <v>0</v>
      </c>
      <c r="AJ411" s="408">
        <v>0</v>
      </c>
      <c r="AK411" s="408">
        <v>0</v>
      </c>
      <c r="AL411" s="408">
        <v>42785.060619733253</v>
      </c>
      <c r="AM411" s="408"/>
      <c r="AN411" s="408">
        <v>10486.127394827818</v>
      </c>
      <c r="AO411" s="408">
        <v>0</v>
      </c>
      <c r="AP411" s="408">
        <v>0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</v>
      </c>
      <c r="BF411" s="408">
        <v>0</v>
      </c>
      <c r="BG411" s="408">
        <v>155702.27635588392</v>
      </c>
      <c r="BH411" s="408">
        <v>0</v>
      </c>
      <c r="BI411" s="408">
        <v>0</v>
      </c>
      <c r="BJ411" s="408">
        <v>0</v>
      </c>
      <c r="BK411" s="408">
        <v>123628.87</v>
      </c>
      <c r="BL411" s="408">
        <v>12092</v>
      </c>
      <c r="BM411" s="408"/>
      <c r="BN411" s="408"/>
      <c r="BO411" s="408"/>
      <c r="BP411" s="408"/>
      <c r="BQ411" s="408"/>
      <c r="BR411" s="408">
        <v>364036.61304999987</v>
      </c>
      <c r="BS411" s="408"/>
      <c r="BT411" s="408"/>
      <c r="BU411" s="408"/>
      <c r="BV411" s="408">
        <v>1284384.7841175292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2669838.7028000001</v>
      </c>
      <c r="CJ411" s="408">
        <v>-1233698.8555299994</v>
      </c>
      <c r="CK411" s="408"/>
      <c r="CL411" s="408"/>
      <c r="CM411" s="408"/>
      <c r="CN411" s="408"/>
      <c r="CO411" s="408">
        <v>-1401954.8924699998</v>
      </c>
      <c r="CP411" s="408">
        <v>0</v>
      </c>
      <c r="CQ411" s="408">
        <v>31</v>
      </c>
      <c r="CR411" s="408">
        <v>-10883.942626568489</v>
      </c>
      <c r="CS411" s="408">
        <v>0</v>
      </c>
      <c r="CT411" s="408">
        <v>0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-1420.3453792864457</v>
      </c>
      <c r="DA411" s="408">
        <v>0</v>
      </c>
      <c r="DB411" s="408">
        <v>0</v>
      </c>
      <c r="DC411" s="408">
        <v>-1.5823403373360634E-4</v>
      </c>
      <c r="DD411" s="408">
        <v>0</v>
      </c>
      <c r="DE411" s="408">
        <v>0</v>
      </c>
      <c r="DF411" s="408">
        <v>0</v>
      </c>
      <c r="DG411" s="408">
        <v>-2.1828367607668042E-5</v>
      </c>
      <c r="DH411" s="408">
        <v>0</v>
      </c>
      <c r="DI411" s="408">
        <v>-8048.2285820293473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-1074.8511745460055</v>
      </c>
      <c r="DP411" s="408">
        <v>-340.51731064401065</v>
      </c>
      <c r="DQ411" s="408">
        <v>0</v>
      </c>
      <c r="DR411" s="408">
        <v>0</v>
      </c>
      <c r="DS411" s="408"/>
      <c r="DT411" s="408"/>
      <c r="DU411" s="408"/>
      <c r="DV411" s="408">
        <v>2268741.3726866492</v>
      </c>
      <c r="DW411" s="408">
        <v>0</v>
      </c>
      <c r="DX411" s="408">
        <v>0</v>
      </c>
      <c r="DY411" s="408">
        <v>-1401954.8924700001</v>
      </c>
      <c r="DZ411" s="408">
        <v>0</v>
      </c>
      <c r="EA411" s="408">
        <v>0</v>
      </c>
      <c r="EB411" s="408">
        <v>0</v>
      </c>
      <c r="EC411" s="408">
        <v>-1391067.7053222596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265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418</v>
      </c>
      <c r="B412" s="408" t="s">
        <v>2229</v>
      </c>
      <c r="C412" s="408" t="s">
        <v>2227</v>
      </c>
      <c r="D412" s="408" t="s">
        <v>2237</v>
      </c>
      <c r="E412" s="408" t="s">
        <v>969</v>
      </c>
      <c r="F412" s="408" t="s">
        <v>1317</v>
      </c>
      <c r="G412" s="408" t="s">
        <v>1317</v>
      </c>
      <c r="H412" s="408" t="s">
        <v>1317</v>
      </c>
      <c r="I412" s="408" t="s">
        <v>1317</v>
      </c>
      <c r="J412" s="408" t="s">
        <v>2228</v>
      </c>
      <c r="K412" s="828">
        <v>44621</v>
      </c>
      <c r="L412" s="408">
        <v>0</v>
      </c>
      <c r="M412" s="408">
        <v>0</v>
      </c>
      <c r="N412" s="408">
        <v>15.605</v>
      </c>
      <c r="O412" s="408">
        <v>15.605</v>
      </c>
      <c r="P412" s="408">
        <v>15.605</v>
      </c>
      <c r="Q412" s="408">
        <v>15.605</v>
      </c>
      <c r="R412" s="408"/>
      <c r="S412" s="408">
        <v>739.04</v>
      </c>
      <c r="T412" s="408">
        <v>252.22</v>
      </c>
      <c r="U412" s="408"/>
      <c r="V412" s="408">
        <v>15468.612300000001</v>
      </c>
      <c r="W412" s="408">
        <v>15468.612300000001</v>
      </c>
      <c r="X412" s="408">
        <v>10579.721850000002</v>
      </c>
      <c r="Y412" s="408">
        <v>0</v>
      </c>
      <c r="Z412" s="408">
        <v>965.21850910825219</v>
      </c>
      <c r="AA412" s="408">
        <v>0</v>
      </c>
      <c r="AB412" s="408">
        <v>0</v>
      </c>
      <c r="AC412" s="408">
        <v>0</v>
      </c>
      <c r="AD412" s="408">
        <v>1927.179749885747</v>
      </c>
      <c r="AE412" s="408">
        <v>7911.5441516853207</v>
      </c>
      <c r="AF412" s="408">
        <v>3935.9362864779455</v>
      </c>
      <c r="AG412" s="408">
        <v>0</v>
      </c>
      <c r="AH412" s="408">
        <v>0</v>
      </c>
      <c r="AI412" s="408">
        <v>0</v>
      </c>
      <c r="AJ412" s="408">
        <v>0</v>
      </c>
      <c r="AK412" s="408">
        <v>0</v>
      </c>
      <c r="AL412" s="408">
        <v>149.19986041630861</v>
      </c>
      <c r="AM412" s="408"/>
      <c r="AN412" s="408">
        <v>36.567173703952896</v>
      </c>
      <c r="AO412" s="408">
        <v>0</v>
      </c>
      <c r="AP412" s="408">
        <v>0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0</v>
      </c>
      <c r="BF412" s="408">
        <v>0</v>
      </c>
      <c r="BG412" s="408">
        <v>542.96423944027185</v>
      </c>
      <c r="BH412" s="408">
        <v>0</v>
      </c>
      <c r="BI412" s="408">
        <v>0</v>
      </c>
      <c r="BJ412" s="408">
        <v>0</v>
      </c>
      <c r="BK412" s="408">
        <v>0</v>
      </c>
      <c r="BL412" s="408">
        <v>0</v>
      </c>
      <c r="BM412" s="408"/>
      <c r="BN412" s="408"/>
      <c r="BO412" s="408"/>
      <c r="BP412" s="408"/>
      <c r="BQ412" s="408"/>
      <c r="BR412" s="408">
        <v>1269.4667499999996</v>
      </c>
      <c r="BS412" s="408"/>
      <c r="BT412" s="408"/>
      <c r="BU412" s="408"/>
      <c r="BV412" s="408">
        <v>4478.9005259182177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9313.2381999999998</v>
      </c>
      <c r="CJ412" s="408">
        <v>-4299.1893500000024</v>
      </c>
      <c r="CK412" s="408"/>
      <c r="CL412" s="408"/>
      <c r="CM412" s="408"/>
      <c r="CN412" s="408"/>
      <c r="CO412" s="408">
        <v>-4888.8904499999999</v>
      </c>
      <c r="CP412" s="408">
        <v>0</v>
      </c>
      <c r="CQ412" s="408">
        <v>31</v>
      </c>
      <c r="CR412" s="408">
        <v>-37.954433092800173</v>
      </c>
      <c r="CS412" s="408">
        <v>0</v>
      </c>
      <c r="CT412" s="408">
        <v>0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-4.9530216683799608</v>
      </c>
      <c r="DA412" s="408">
        <v>0</v>
      </c>
      <c r="DB412" s="408">
        <v>0</v>
      </c>
      <c r="DC412" s="408">
        <v>-5.5179316404974088E-7</v>
      </c>
      <c r="DD412" s="408">
        <v>0</v>
      </c>
      <c r="DE412" s="408">
        <v>0</v>
      </c>
      <c r="DF412" s="408">
        <v>0</v>
      </c>
      <c r="DG412" s="408">
        <v>-7.6119704317534342E-8</v>
      </c>
      <c r="DH412" s="408">
        <v>0</v>
      </c>
      <c r="DI412" s="408">
        <v>-28.06574452961047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-3.7482159166698352</v>
      </c>
      <c r="DP412" s="408">
        <v>-1.187450350227877</v>
      </c>
      <c r="DQ412" s="408">
        <v>0</v>
      </c>
      <c r="DR412" s="408">
        <v>0</v>
      </c>
      <c r="DS412" s="408"/>
      <c r="DT412" s="408"/>
      <c r="DU412" s="408"/>
      <c r="DV412" s="408">
        <v>7911.5441516853207</v>
      </c>
      <c r="DW412" s="408">
        <v>0</v>
      </c>
      <c r="DX412" s="408">
        <v>0</v>
      </c>
      <c r="DY412" s="408">
        <v>-4888.890449999999</v>
      </c>
      <c r="DZ412" s="408">
        <v>0</v>
      </c>
      <c r="EA412" s="408">
        <v>0</v>
      </c>
      <c r="EB412" s="408">
        <v>0</v>
      </c>
      <c r="EC412" s="408">
        <v>-4850.924702628361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265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419</v>
      </c>
      <c r="B413" s="408" t="s">
        <v>2230</v>
      </c>
      <c r="C413" s="408" t="s">
        <v>2227</v>
      </c>
      <c r="D413" s="408" t="s">
        <v>2237</v>
      </c>
      <c r="E413" s="408" t="s">
        <v>969</v>
      </c>
      <c r="F413" s="408" t="s">
        <v>1317</v>
      </c>
      <c r="G413" s="408" t="s">
        <v>1317</v>
      </c>
      <c r="H413" s="408" t="s">
        <v>1317</v>
      </c>
      <c r="I413" s="408" t="s">
        <v>1317</v>
      </c>
      <c r="J413" s="408" t="s">
        <v>2228</v>
      </c>
      <c r="K413" s="828">
        <v>44621</v>
      </c>
      <c r="L413" s="408">
        <v>0</v>
      </c>
      <c r="M413" s="408">
        <v>0</v>
      </c>
      <c r="N413" s="408">
        <v>194.76499999999999</v>
      </c>
      <c r="O413" s="408">
        <v>194.76499999999999</v>
      </c>
      <c r="P413" s="408">
        <v>194.76499999999999</v>
      </c>
      <c r="Q413" s="408">
        <v>194.76499999999999</v>
      </c>
      <c r="R413" s="408"/>
      <c r="S413" s="408">
        <v>739.04</v>
      </c>
      <c r="T413" s="408">
        <v>252.22</v>
      </c>
      <c r="U413" s="408"/>
      <c r="V413" s="408">
        <v>193062.75389999995</v>
      </c>
      <c r="W413" s="408">
        <v>193062.75389999995</v>
      </c>
      <c r="X413" s="408">
        <v>132044.82704999999</v>
      </c>
      <c r="Y413" s="408">
        <v>0</v>
      </c>
      <c r="Z413" s="408">
        <v>12046.830049757687</v>
      </c>
      <c r="AA413" s="408">
        <v>0</v>
      </c>
      <c r="AB413" s="408">
        <v>0</v>
      </c>
      <c r="AC413" s="408">
        <v>0</v>
      </c>
      <c r="AD413" s="408">
        <v>24053.006343255205</v>
      </c>
      <c r="AE413" s="408">
        <v>98743.473034475566</v>
      </c>
      <c r="AF413" s="408">
        <v>49124.167307649921</v>
      </c>
      <c r="AG413" s="408">
        <v>0</v>
      </c>
      <c r="AH413" s="408">
        <v>0</v>
      </c>
      <c r="AI413" s="408">
        <v>0</v>
      </c>
      <c r="AJ413" s="408">
        <v>0</v>
      </c>
      <c r="AK413" s="408">
        <v>0</v>
      </c>
      <c r="AL413" s="408">
        <v>1862.1538490216178</v>
      </c>
      <c r="AM413" s="408"/>
      <c r="AN413" s="408">
        <v>456.3925399840042</v>
      </c>
      <c r="AO413" s="408">
        <v>0</v>
      </c>
      <c r="AP413" s="408">
        <v>0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>
        <v>0</v>
      </c>
      <c r="BG413" s="408">
        <v>6776.7017042348307</v>
      </c>
      <c r="BH413" s="408">
        <v>0</v>
      </c>
      <c r="BI413" s="408">
        <v>0</v>
      </c>
      <c r="BJ413" s="408">
        <v>0</v>
      </c>
      <c r="BK413" s="408">
        <v>9002.6299999999992</v>
      </c>
      <c r="BL413" s="408">
        <v>968</v>
      </c>
      <c r="BM413" s="408"/>
      <c r="BN413" s="408"/>
      <c r="BO413" s="408"/>
      <c r="BP413" s="408"/>
      <c r="BQ413" s="408"/>
      <c r="BR413" s="408">
        <v>15844.132749999993</v>
      </c>
      <c r="BS413" s="408"/>
      <c r="BT413" s="408"/>
      <c r="BU413" s="408"/>
      <c r="BV413" s="408">
        <v>55900.869011884752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116203.67740000002</v>
      </c>
      <c r="CJ413" s="408">
        <v>-53691.809749999986</v>
      </c>
      <c r="CK413" s="408"/>
      <c r="CL413" s="408"/>
      <c r="CM413" s="408"/>
      <c r="CN413" s="408"/>
      <c r="CO413" s="408">
        <v>-61017.926849999989</v>
      </c>
      <c r="CP413" s="408">
        <v>0</v>
      </c>
      <c r="CQ413" s="408">
        <v>31</v>
      </c>
      <c r="CR413" s="408">
        <v>-473.7068350733316</v>
      </c>
      <c r="CS413" s="408">
        <v>0</v>
      </c>
      <c r="CT413" s="408">
        <v>0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-61.818344456394698</v>
      </c>
      <c r="DA413" s="408">
        <v>0</v>
      </c>
      <c r="DB413" s="408">
        <v>0</v>
      </c>
      <c r="DC413" s="408">
        <v>-6.8868976086378098E-6</v>
      </c>
      <c r="DD413" s="408">
        <v>0</v>
      </c>
      <c r="DE413" s="408">
        <v>0</v>
      </c>
      <c r="DF413" s="408">
        <v>0</v>
      </c>
      <c r="DG413" s="408">
        <v>-9.5004543254617602E-7</v>
      </c>
      <c r="DH413" s="408">
        <v>0</v>
      </c>
      <c r="DI413" s="408">
        <v>-350.28674997177586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-46.781241461723994</v>
      </c>
      <c r="DP413" s="408">
        <v>-14.820491346500035</v>
      </c>
      <c r="DQ413" s="408">
        <v>0</v>
      </c>
      <c r="DR413" s="408">
        <v>0</v>
      </c>
      <c r="DS413" s="408"/>
      <c r="DT413" s="408"/>
      <c r="DU413" s="408"/>
      <c r="DV413" s="408">
        <v>98743.473034475566</v>
      </c>
      <c r="DW413" s="408">
        <v>0</v>
      </c>
      <c r="DX413" s="408">
        <v>0</v>
      </c>
      <c r="DY413" s="408">
        <v>-61017.926849999974</v>
      </c>
      <c r="DZ413" s="408">
        <v>0</v>
      </c>
      <c r="EA413" s="408">
        <v>0</v>
      </c>
      <c r="EB413" s="408">
        <v>0</v>
      </c>
      <c r="EC413" s="408">
        <v>-60544.078802141135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265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420</v>
      </c>
      <c r="B414" s="408" t="s">
        <v>2230</v>
      </c>
      <c r="C414" s="408" t="s">
        <v>2227</v>
      </c>
      <c r="D414" s="408" t="s">
        <v>2237</v>
      </c>
      <c r="E414" s="408" t="s">
        <v>969</v>
      </c>
      <c r="F414" s="408" t="s">
        <v>1317</v>
      </c>
      <c r="G414" s="408" t="s">
        <v>1317</v>
      </c>
      <c r="H414" s="408" t="s">
        <v>1317</v>
      </c>
      <c r="I414" s="408" t="s">
        <v>1317</v>
      </c>
      <c r="J414" s="408" t="s">
        <v>2228</v>
      </c>
      <c r="K414" s="828">
        <v>44621</v>
      </c>
      <c r="L414" s="408">
        <v>0</v>
      </c>
      <c r="M414" s="408">
        <v>0</v>
      </c>
      <c r="N414" s="408">
        <v>86.06</v>
      </c>
      <c r="O414" s="408">
        <v>86.06</v>
      </c>
      <c r="P414" s="408">
        <v>86.06</v>
      </c>
      <c r="Q414" s="408">
        <v>86.06</v>
      </c>
      <c r="R414" s="408"/>
      <c r="S414" s="408">
        <v>739.04</v>
      </c>
      <c r="T414" s="408">
        <v>252.22</v>
      </c>
      <c r="U414" s="408"/>
      <c r="V414" s="408">
        <v>85307.835599999991</v>
      </c>
      <c r="W414" s="408">
        <v>85307.835599999991</v>
      </c>
      <c r="X414" s="408">
        <v>58346.0982</v>
      </c>
      <c r="Y414" s="408">
        <v>0</v>
      </c>
      <c r="Z414" s="408">
        <v>5323.0826590103288</v>
      </c>
      <c r="AA414" s="408">
        <v>0</v>
      </c>
      <c r="AB414" s="408">
        <v>0</v>
      </c>
      <c r="AC414" s="408">
        <v>0</v>
      </c>
      <c r="AD414" s="408">
        <v>10628.201811929985</v>
      </c>
      <c r="AE414" s="408">
        <v>43631.367490806704</v>
      </c>
      <c r="AF414" s="408">
        <v>21706.291369067094</v>
      </c>
      <c r="AG414" s="408">
        <v>0</v>
      </c>
      <c r="AH414" s="408">
        <v>0</v>
      </c>
      <c r="AI414" s="408">
        <v>0</v>
      </c>
      <c r="AJ414" s="408">
        <v>0</v>
      </c>
      <c r="AK414" s="408">
        <v>0</v>
      </c>
      <c r="AL414" s="408">
        <v>822.82217157497723</v>
      </c>
      <c r="AM414" s="408"/>
      <c r="AN414" s="408">
        <v>201.66427228210102</v>
      </c>
      <c r="AO414" s="408">
        <v>0</v>
      </c>
      <c r="AP414" s="408">
        <v>0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</v>
      </c>
      <c r="BF414" s="408">
        <v>0</v>
      </c>
      <c r="BG414" s="408">
        <v>2994.3929795725599</v>
      </c>
      <c r="BH414" s="408">
        <v>0</v>
      </c>
      <c r="BI414" s="408">
        <v>0</v>
      </c>
      <c r="BJ414" s="408">
        <v>0</v>
      </c>
      <c r="BK414" s="408">
        <v>0.96</v>
      </c>
      <c r="BL414" s="408">
        <v>2</v>
      </c>
      <c r="BM414" s="408"/>
      <c r="BN414" s="408"/>
      <c r="BO414" s="408"/>
      <c r="BP414" s="408"/>
      <c r="BQ414" s="408"/>
      <c r="BR414" s="408">
        <v>7000.9809999999979</v>
      </c>
      <c r="BS414" s="408"/>
      <c r="BT414" s="408"/>
      <c r="BU414" s="408"/>
      <c r="BV414" s="408">
        <v>24700.684348639654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51345.117200000008</v>
      </c>
      <c r="CJ414" s="408">
        <v>-23725.911399999997</v>
      </c>
      <c r="CK414" s="408"/>
      <c r="CL414" s="408"/>
      <c r="CM414" s="408"/>
      <c r="CN414" s="408"/>
      <c r="CO414" s="408">
        <v>-26961.737399999998</v>
      </c>
      <c r="CP414" s="408">
        <v>0</v>
      </c>
      <c r="CQ414" s="408">
        <v>31</v>
      </c>
      <c r="CR414" s="408">
        <v>-209.31486779662373</v>
      </c>
      <c r="CS414" s="408">
        <v>0</v>
      </c>
      <c r="CT414" s="408">
        <v>0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-27.315414596654591</v>
      </c>
      <c r="DA414" s="408">
        <v>0</v>
      </c>
      <c r="DB414" s="408">
        <v>0</v>
      </c>
      <c r="DC414" s="408">
        <v>-3.0430855986196548E-6</v>
      </c>
      <c r="DD414" s="408">
        <v>0</v>
      </c>
      <c r="DE414" s="408">
        <v>0</v>
      </c>
      <c r="DF414" s="408">
        <v>0</v>
      </c>
      <c r="DG414" s="408">
        <v>-4.1979274101322517E-7</v>
      </c>
      <c r="DH414" s="408">
        <v>0</v>
      </c>
      <c r="DI414" s="408">
        <v>-154.7797484279572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-20.671032476040182</v>
      </c>
      <c r="DP414" s="408">
        <v>-6.548668833105495</v>
      </c>
      <c r="DQ414" s="408">
        <v>0</v>
      </c>
      <c r="DR414" s="408">
        <v>0</v>
      </c>
      <c r="DS414" s="408"/>
      <c r="DT414" s="408"/>
      <c r="DU414" s="408"/>
      <c r="DV414" s="408">
        <v>43631.367490806704</v>
      </c>
      <c r="DW414" s="408">
        <v>0</v>
      </c>
      <c r="DX414" s="408">
        <v>0</v>
      </c>
      <c r="DY414" s="408">
        <v>-26961.737399999998</v>
      </c>
      <c r="DZ414" s="408">
        <v>0</v>
      </c>
      <c r="EA414" s="408">
        <v>0</v>
      </c>
      <c r="EB414" s="408">
        <v>0</v>
      </c>
      <c r="EC414" s="408">
        <v>-26752.360135097508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265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421</v>
      </c>
      <c r="B415" s="408" t="s">
        <v>2230</v>
      </c>
      <c r="C415" s="408" t="s">
        <v>2239</v>
      </c>
      <c r="D415" s="408" t="s">
        <v>596</v>
      </c>
      <c r="E415" s="408" t="s">
        <v>969</v>
      </c>
      <c r="F415" s="408" t="s">
        <v>1317</v>
      </c>
      <c r="G415" s="408" t="s">
        <v>1317</v>
      </c>
      <c r="H415" s="408" t="s">
        <v>1317</v>
      </c>
      <c r="I415" s="408" t="s">
        <v>968</v>
      </c>
      <c r="J415" s="408" t="s">
        <v>2228</v>
      </c>
      <c r="K415" s="828">
        <v>44621</v>
      </c>
      <c r="L415" s="408">
        <v>17</v>
      </c>
      <c r="M415" s="408">
        <v>16.32</v>
      </c>
      <c r="N415" s="408">
        <v>0</v>
      </c>
      <c r="O415" s="408">
        <v>0</v>
      </c>
      <c r="P415" s="408">
        <v>0</v>
      </c>
      <c r="Q415" s="408">
        <v>0</v>
      </c>
      <c r="R415" s="408">
        <v>106.38</v>
      </c>
      <c r="S415" s="408"/>
      <c r="T415" s="408"/>
      <c r="U415" s="408">
        <v>1808.46</v>
      </c>
      <c r="V415" s="408"/>
      <c r="W415" s="408">
        <v>1808.46</v>
      </c>
      <c r="X415" s="408">
        <v>978.52</v>
      </c>
      <c r="Y415" s="408">
        <v>0</v>
      </c>
      <c r="Z415" s="408">
        <v>0</v>
      </c>
      <c r="AA415" s="408">
        <v>0</v>
      </c>
      <c r="AB415" s="408">
        <v>0</v>
      </c>
      <c r="AC415" s="408">
        <v>0</v>
      </c>
      <c r="AD415" s="408">
        <v>456.90756969082878</v>
      </c>
      <c r="AE415" s="408">
        <v>1351.5850360201932</v>
      </c>
      <c r="AF415" s="408"/>
      <c r="AG415" s="408"/>
      <c r="AH415" s="408"/>
      <c r="AI415" s="408">
        <v>0</v>
      </c>
      <c r="AJ415" s="408">
        <v>0</v>
      </c>
      <c r="AK415" s="408">
        <v>0</v>
      </c>
      <c r="AL415" s="408">
        <v>0</v>
      </c>
      <c r="AM415" s="408"/>
      <c r="AN415" s="408">
        <v>0</v>
      </c>
      <c r="AO415" s="408">
        <v>0</v>
      </c>
      <c r="AP415" s="408">
        <v>0</v>
      </c>
      <c r="AQ415" s="408">
        <v>0</v>
      </c>
      <c r="AR415" s="408">
        <v>0</v>
      </c>
      <c r="AS415" s="408"/>
      <c r="AT415" s="408"/>
      <c r="AU415" s="408">
        <v>0</v>
      </c>
      <c r="AV415" s="408">
        <v>0</v>
      </c>
      <c r="AW415" s="408">
        <v>0</v>
      </c>
      <c r="AX415" s="408"/>
      <c r="AY415" s="408"/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/>
      <c r="BG415" s="408">
        <v>0</v>
      </c>
      <c r="BH415" s="408">
        <v>0</v>
      </c>
      <c r="BI415" s="408">
        <v>0</v>
      </c>
      <c r="BJ415" s="408">
        <v>0</v>
      </c>
      <c r="BK415" s="408">
        <v>0</v>
      </c>
      <c r="BL415" s="408">
        <v>0</v>
      </c>
      <c r="BM415" s="408"/>
      <c r="BN415" s="408"/>
      <c r="BO415" s="408"/>
      <c r="BP415" s="408"/>
      <c r="BQ415" s="408"/>
      <c r="BR415" s="408">
        <v>39.140799999999984</v>
      </c>
      <c r="BS415" s="408"/>
      <c r="BT415" s="408"/>
      <c r="BU415" s="408"/>
      <c r="BV415" s="408">
        <v>0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939.37920000000008</v>
      </c>
      <c r="CJ415" s="408">
        <v>-796.77239999999983</v>
      </c>
      <c r="CK415" s="408"/>
      <c r="CL415" s="408"/>
      <c r="CM415" s="408"/>
      <c r="CN415" s="408"/>
      <c r="CO415" s="408">
        <v>-829.93999999999983</v>
      </c>
      <c r="CP415" s="408">
        <v>0</v>
      </c>
      <c r="CQ415" s="408">
        <v>31</v>
      </c>
      <c r="CR415" s="408">
        <v>-1.1742926902696809</v>
      </c>
      <c r="CS415" s="408">
        <v>0</v>
      </c>
      <c r="CT415" s="408">
        <v>0</v>
      </c>
      <c r="CU415" s="408">
        <v>0</v>
      </c>
      <c r="CV415" s="408">
        <v>0</v>
      </c>
      <c r="CW415" s="408"/>
      <c r="CX415" s="408"/>
      <c r="CY415" s="408"/>
      <c r="CZ415" s="408">
        <v>-1.1742926902696809</v>
      </c>
      <c r="DA415" s="408">
        <v>0</v>
      </c>
      <c r="DB415" s="408">
        <v>0</v>
      </c>
      <c r="DC415" s="408"/>
      <c r="DD415" s="408"/>
      <c r="DE415" s="408">
        <v>0</v>
      </c>
      <c r="DF415" s="408">
        <v>0</v>
      </c>
      <c r="DG415" s="408">
        <v>0</v>
      </c>
      <c r="DH415" s="408">
        <v>0</v>
      </c>
      <c r="DI415" s="408">
        <v>0</v>
      </c>
      <c r="DJ415" s="408"/>
      <c r="DK415" s="408">
        <v>0</v>
      </c>
      <c r="DL415" s="408">
        <v>0</v>
      </c>
      <c r="DM415" s="408"/>
      <c r="DN415" s="408">
        <v>0</v>
      </c>
      <c r="DO415" s="408">
        <v>0</v>
      </c>
      <c r="DP415" s="408">
        <v>0</v>
      </c>
      <c r="DQ415" s="408">
        <v>0</v>
      </c>
      <c r="DR415" s="408">
        <v>0</v>
      </c>
      <c r="DS415" s="408"/>
      <c r="DT415" s="408"/>
      <c r="DU415" s="408">
        <v>1351.5850360201932</v>
      </c>
      <c r="DV415" s="408"/>
      <c r="DW415" s="408">
        <v>0</v>
      </c>
      <c r="DX415" s="408">
        <v>0</v>
      </c>
      <c r="DY415" s="408">
        <v>-829.94</v>
      </c>
      <c r="DZ415" s="408"/>
      <c r="EA415" s="408">
        <v>0</v>
      </c>
      <c r="EB415" s="408"/>
      <c r="EC415" s="408">
        <v>-828.71777155367818</v>
      </c>
      <c r="ED415" s="408"/>
      <c r="EE415" s="408">
        <v>0</v>
      </c>
      <c r="EF415" s="408">
        <v>0</v>
      </c>
      <c r="EG415" s="408"/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/>
      <c r="EN415" s="408"/>
      <c r="EO415" s="408">
        <v>0</v>
      </c>
      <c r="EP415" s="408">
        <v>0</v>
      </c>
      <c r="EQ415" s="408"/>
      <c r="ER415" s="408">
        <v>0</v>
      </c>
      <c r="ES415" s="408"/>
      <c r="ET415" s="408">
        <v>0</v>
      </c>
      <c r="EU415" s="408"/>
      <c r="EV415" s="408">
        <v>265</v>
      </c>
      <c r="EW415" s="408"/>
      <c r="EX415" s="408"/>
      <c r="EY415" s="408"/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422</v>
      </c>
      <c r="B416" s="408" t="s">
        <v>2230</v>
      </c>
      <c r="C416" s="408" t="s">
        <v>2239</v>
      </c>
      <c r="D416" s="408" t="s">
        <v>596</v>
      </c>
      <c r="E416" s="408" t="s">
        <v>969</v>
      </c>
      <c r="F416" s="408" t="s">
        <v>1317</v>
      </c>
      <c r="G416" s="408" t="s">
        <v>1317</v>
      </c>
      <c r="H416" s="408" t="s">
        <v>1317</v>
      </c>
      <c r="I416" s="408" t="s">
        <v>968</v>
      </c>
      <c r="J416" s="408" t="s">
        <v>2228</v>
      </c>
      <c r="K416" s="828">
        <v>44621</v>
      </c>
      <c r="L416" s="408">
        <v>-5</v>
      </c>
      <c r="M416" s="408">
        <v>-4.8</v>
      </c>
      <c r="N416" s="408">
        <v>0</v>
      </c>
      <c r="O416" s="408">
        <v>0</v>
      </c>
      <c r="P416" s="408">
        <v>0</v>
      </c>
      <c r="Q416" s="408">
        <v>0</v>
      </c>
      <c r="R416" s="408">
        <v>106.38</v>
      </c>
      <c r="S416" s="408"/>
      <c r="T416" s="408"/>
      <c r="U416" s="408">
        <v>-531.9</v>
      </c>
      <c r="V416" s="408"/>
      <c r="W416" s="408">
        <v>-531.9</v>
      </c>
      <c r="X416" s="408">
        <v>-287.8</v>
      </c>
      <c r="Y416" s="408">
        <v>0</v>
      </c>
      <c r="Z416" s="408">
        <v>0</v>
      </c>
      <c r="AA416" s="408">
        <v>0</v>
      </c>
      <c r="AB416" s="408">
        <v>0</v>
      </c>
      <c r="AC416" s="408">
        <v>0</v>
      </c>
      <c r="AD416" s="408">
        <v>-134.38457932083199</v>
      </c>
      <c r="AE416" s="408">
        <v>-397.52501059417449</v>
      </c>
      <c r="AF416" s="408"/>
      <c r="AG416" s="408"/>
      <c r="AH416" s="408"/>
      <c r="AI416" s="408">
        <v>0</v>
      </c>
      <c r="AJ416" s="408">
        <v>0</v>
      </c>
      <c r="AK416" s="408">
        <v>0</v>
      </c>
      <c r="AL416" s="408">
        <v>0</v>
      </c>
      <c r="AM416" s="408"/>
      <c r="AN416" s="408">
        <v>0</v>
      </c>
      <c r="AO416" s="408">
        <v>0</v>
      </c>
      <c r="AP416" s="408">
        <v>0</v>
      </c>
      <c r="AQ416" s="408">
        <v>0</v>
      </c>
      <c r="AR416" s="408">
        <v>0</v>
      </c>
      <c r="AS416" s="408"/>
      <c r="AT416" s="408"/>
      <c r="AU416" s="408">
        <v>0</v>
      </c>
      <c r="AV416" s="408">
        <v>0</v>
      </c>
      <c r="AW416" s="408">
        <v>0</v>
      </c>
      <c r="AX416" s="408"/>
      <c r="AY416" s="408"/>
      <c r="AZ416" s="408">
        <v>0</v>
      </c>
      <c r="BA416" s="408"/>
      <c r="BB416" s="408">
        <v>0</v>
      </c>
      <c r="BC416" s="408">
        <v>0</v>
      </c>
      <c r="BD416" s="408">
        <v>0</v>
      </c>
      <c r="BE416" s="408">
        <v>0</v>
      </c>
      <c r="BF416" s="408"/>
      <c r="BG416" s="408">
        <v>0</v>
      </c>
      <c r="BH416" s="408">
        <v>0</v>
      </c>
      <c r="BI416" s="408">
        <v>0</v>
      </c>
      <c r="BJ416" s="408">
        <v>0</v>
      </c>
      <c r="BK416" s="408">
        <v>0</v>
      </c>
      <c r="BL416" s="408">
        <v>0</v>
      </c>
      <c r="BM416" s="408"/>
      <c r="BN416" s="408"/>
      <c r="BO416" s="408"/>
      <c r="BP416" s="408"/>
      <c r="BQ416" s="408"/>
      <c r="BR416" s="408">
        <v>-11.512000000000011</v>
      </c>
      <c r="BS416" s="408"/>
      <c r="BT416" s="408"/>
      <c r="BU416" s="408"/>
      <c r="BV416" s="408">
        <v>0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-276.28800000000001</v>
      </c>
      <c r="CJ416" s="408">
        <v>234.30599999999998</v>
      </c>
      <c r="CK416" s="408"/>
      <c r="CL416" s="408"/>
      <c r="CM416" s="408"/>
      <c r="CN416" s="408"/>
      <c r="CO416" s="408">
        <v>244.09999999999997</v>
      </c>
      <c r="CP416" s="408">
        <v>0</v>
      </c>
      <c r="CQ416" s="408">
        <v>31</v>
      </c>
      <c r="CR416" s="408">
        <v>0.34538020302048267</v>
      </c>
      <c r="CS416" s="408">
        <v>0</v>
      </c>
      <c r="CT416" s="408">
        <v>0</v>
      </c>
      <c r="CU416" s="408">
        <v>0</v>
      </c>
      <c r="CV416" s="408">
        <v>0</v>
      </c>
      <c r="CW416" s="408"/>
      <c r="CX416" s="408"/>
      <c r="CY416" s="408"/>
      <c r="CZ416" s="408">
        <v>0.34538020302048267</v>
      </c>
      <c r="DA416" s="408">
        <v>0</v>
      </c>
      <c r="DB416" s="408">
        <v>0</v>
      </c>
      <c r="DC416" s="408"/>
      <c r="DD416" s="408"/>
      <c r="DE416" s="408">
        <v>0</v>
      </c>
      <c r="DF416" s="408">
        <v>0</v>
      </c>
      <c r="DG416" s="408">
        <v>0</v>
      </c>
      <c r="DH416" s="408">
        <v>0</v>
      </c>
      <c r="DI416" s="408">
        <v>0</v>
      </c>
      <c r="DJ416" s="408"/>
      <c r="DK416" s="408">
        <v>0</v>
      </c>
      <c r="DL416" s="408">
        <v>0</v>
      </c>
      <c r="DM416" s="408"/>
      <c r="DN416" s="408">
        <v>0</v>
      </c>
      <c r="DO416" s="408">
        <v>0</v>
      </c>
      <c r="DP416" s="408">
        <v>0</v>
      </c>
      <c r="DQ416" s="408">
        <v>0</v>
      </c>
      <c r="DR416" s="408">
        <v>0</v>
      </c>
      <c r="DS416" s="408"/>
      <c r="DT416" s="408"/>
      <c r="DU416" s="408">
        <v>-397.52501059417449</v>
      </c>
      <c r="DV416" s="408"/>
      <c r="DW416" s="408">
        <v>0</v>
      </c>
      <c r="DX416" s="408">
        <v>0</v>
      </c>
      <c r="DY416" s="408">
        <v>244.09999999999997</v>
      </c>
      <c r="DZ416" s="408"/>
      <c r="EA416" s="408">
        <v>0</v>
      </c>
      <c r="EB416" s="408"/>
      <c r="EC416" s="408">
        <v>243.7405210451995</v>
      </c>
      <c r="ED416" s="408"/>
      <c r="EE416" s="408">
        <v>0</v>
      </c>
      <c r="EF416" s="408">
        <v>0</v>
      </c>
      <c r="EG416" s="408"/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/>
      <c r="EN416" s="408"/>
      <c r="EO416" s="408">
        <v>0</v>
      </c>
      <c r="EP416" s="408">
        <v>0</v>
      </c>
      <c r="EQ416" s="408"/>
      <c r="ER416" s="408">
        <v>0</v>
      </c>
      <c r="ES416" s="408"/>
      <c r="ET416" s="408">
        <v>0</v>
      </c>
      <c r="EU416" s="408"/>
      <c r="EV416" s="408">
        <v>265</v>
      </c>
      <c r="EW416" s="408"/>
      <c r="EX416" s="408"/>
      <c r="EY416" s="408"/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423</v>
      </c>
      <c r="B417" s="408" t="s">
        <v>2230</v>
      </c>
      <c r="C417" s="408" t="s">
        <v>2239</v>
      </c>
      <c r="D417" s="408" t="s">
        <v>596</v>
      </c>
      <c r="E417" s="408" t="s">
        <v>969</v>
      </c>
      <c r="F417" s="408" t="s">
        <v>1317</v>
      </c>
      <c r="G417" s="408" t="s">
        <v>1317</v>
      </c>
      <c r="H417" s="408" t="s">
        <v>1317</v>
      </c>
      <c r="I417" s="408" t="s">
        <v>2236</v>
      </c>
      <c r="J417" s="408" t="s">
        <v>2228</v>
      </c>
      <c r="K417" s="828">
        <v>44621</v>
      </c>
      <c r="L417" s="408">
        <v>69</v>
      </c>
      <c r="M417" s="408">
        <v>66.239999999999995</v>
      </c>
      <c r="N417" s="408">
        <v>0</v>
      </c>
      <c r="O417" s="408">
        <v>0</v>
      </c>
      <c r="P417" s="408">
        <v>0</v>
      </c>
      <c r="Q417" s="408">
        <v>0</v>
      </c>
      <c r="R417" s="408">
        <v>74.44</v>
      </c>
      <c r="S417" s="408"/>
      <c r="T417" s="408"/>
      <c r="U417" s="408">
        <v>5136.3599999999997</v>
      </c>
      <c r="V417" s="408"/>
      <c r="W417" s="408">
        <v>5136.3599999999997</v>
      </c>
      <c r="X417" s="408">
        <v>3133.98</v>
      </c>
      <c r="Y417" s="408">
        <v>0</v>
      </c>
      <c r="Z417" s="408">
        <v>0</v>
      </c>
      <c r="AA417" s="408">
        <v>0</v>
      </c>
      <c r="AB417" s="408">
        <v>0</v>
      </c>
      <c r="AC417" s="408">
        <v>0</v>
      </c>
      <c r="AD417" s="408">
        <v>1877.9793846011742</v>
      </c>
      <c r="AE417" s="408">
        <v>3258.2861174582958</v>
      </c>
      <c r="AF417" s="408"/>
      <c r="AG417" s="408"/>
      <c r="AH417" s="408"/>
      <c r="AI417" s="408">
        <v>0</v>
      </c>
      <c r="AJ417" s="408">
        <v>0</v>
      </c>
      <c r="AK417" s="408">
        <v>0</v>
      </c>
      <c r="AL417" s="408">
        <v>0</v>
      </c>
      <c r="AM417" s="408"/>
      <c r="AN417" s="408">
        <v>0</v>
      </c>
      <c r="AO417" s="408">
        <v>0</v>
      </c>
      <c r="AP417" s="408">
        <v>0</v>
      </c>
      <c r="AQ417" s="408">
        <v>0</v>
      </c>
      <c r="AR417" s="408">
        <v>0</v>
      </c>
      <c r="AS417" s="408"/>
      <c r="AT417" s="408"/>
      <c r="AU417" s="408">
        <v>0</v>
      </c>
      <c r="AV417" s="408">
        <v>0</v>
      </c>
      <c r="AW417" s="408">
        <v>0</v>
      </c>
      <c r="AX417" s="408"/>
      <c r="AY417" s="408"/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0</v>
      </c>
      <c r="BF417" s="408"/>
      <c r="BG417" s="408">
        <v>0</v>
      </c>
      <c r="BH417" s="408">
        <v>0</v>
      </c>
      <c r="BI417" s="408">
        <v>0</v>
      </c>
      <c r="BJ417" s="408">
        <v>0</v>
      </c>
      <c r="BK417" s="408">
        <v>0</v>
      </c>
      <c r="BL417" s="408">
        <v>0</v>
      </c>
      <c r="BM417" s="408"/>
      <c r="BN417" s="408"/>
      <c r="BO417" s="408"/>
      <c r="BP417" s="408"/>
      <c r="BQ417" s="408"/>
      <c r="BR417" s="408">
        <v>125.35920000000024</v>
      </c>
      <c r="BS417" s="408"/>
      <c r="BT417" s="408"/>
      <c r="BU417" s="408"/>
      <c r="BV417" s="408">
        <v>0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3008.6207999999997</v>
      </c>
      <c r="CJ417" s="408">
        <v>-1922.3148000000001</v>
      </c>
      <c r="CK417" s="408"/>
      <c r="CL417" s="408"/>
      <c r="CM417" s="408"/>
      <c r="CN417" s="408"/>
      <c r="CO417" s="408">
        <v>-2002.3799999999997</v>
      </c>
      <c r="CP417" s="408">
        <v>0</v>
      </c>
      <c r="CQ417" s="408">
        <v>31</v>
      </c>
      <c r="CR417" s="408">
        <v>-4.8265723969238934</v>
      </c>
      <c r="CS417" s="408">
        <v>0</v>
      </c>
      <c r="CT417" s="408">
        <v>0</v>
      </c>
      <c r="CU417" s="408">
        <v>0</v>
      </c>
      <c r="CV417" s="408">
        <v>0</v>
      </c>
      <c r="CW417" s="408"/>
      <c r="CX417" s="408"/>
      <c r="CY417" s="408"/>
      <c r="CZ417" s="408">
        <v>-4.8265723969238934</v>
      </c>
      <c r="DA417" s="408">
        <v>0</v>
      </c>
      <c r="DB417" s="408">
        <v>0</v>
      </c>
      <c r="DC417" s="408"/>
      <c r="DD417" s="408"/>
      <c r="DE417" s="408">
        <v>0</v>
      </c>
      <c r="DF417" s="408">
        <v>0</v>
      </c>
      <c r="DG417" s="408">
        <v>0</v>
      </c>
      <c r="DH417" s="408">
        <v>0</v>
      </c>
      <c r="DI417" s="408">
        <v>0</v>
      </c>
      <c r="DJ417" s="408"/>
      <c r="DK417" s="408">
        <v>0</v>
      </c>
      <c r="DL417" s="408">
        <v>0</v>
      </c>
      <c r="DM417" s="408"/>
      <c r="DN417" s="408">
        <v>0</v>
      </c>
      <c r="DO417" s="408">
        <v>0</v>
      </c>
      <c r="DP417" s="408">
        <v>0</v>
      </c>
      <c r="DQ417" s="408">
        <v>0</v>
      </c>
      <c r="DR417" s="408">
        <v>0</v>
      </c>
      <c r="DS417" s="408"/>
      <c r="DT417" s="408"/>
      <c r="DU417" s="408">
        <v>3258.2861174582958</v>
      </c>
      <c r="DV417" s="408"/>
      <c r="DW417" s="408">
        <v>0</v>
      </c>
      <c r="DX417" s="408">
        <v>0</v>
      </c>
      <c r="DY417" s="408">
        <v>-2002.3799999999997</v>
      </c>
      <c r="DZ417" s="408"/>
      <c r="EA417" s="408">
        <v>0</v>
      </c>
      <c r="EB417" s="408"/>
      <c r="EC417" s="408">
        <v>-1997.8022383964806</v>
      </c>
      <c r="ED417" s="408"/>
      <c r="EE417" s="408">
        <v>0</v>
      </c>
      <c r="EF417" s="408">
        <v>0</v>
      </c>
      <c r="EG417" s="408"/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/>
      <c r="EN417" s="408"/>
      <c r="EO417" s="408">
        <v>0</v>
      </c>
      <c r="EP417" s="408">
        <v>0</v>
      </c>
      <c r="EQ417" s="408"/>
      <c r="ER417" s="408">
        <v>0</v>
      </c>
      <c r="ES417" s="408"/>
      <c r="ET417" s="408">
        <v>0</v>
      </c>
      <c r="EU417" s="408"/>
      <c r="EV417" s="408">
        <v>265</v>
      </c>
      <c r="EW417" s="408"/>
      <c r="EX417" s="408"/>
      <c r="EY417" s="408"/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424</v>
      </c>
      <c r="B418" s="408" t="s">
        <v>2230</v>
      </c>
      <c r="C418" s="408" t="s">
        <v>2239</v>
      </c>
      <c r="D418" s="408" t="s">
        <v>596</v>
      </c>
      <c r="E418" s="408" t="s">
        <v>969</v>
      </c>
      <c r="F418" s="408" t="s">
        <v>1317</v>
      </c>
      <c r="G418" s="408" t="s">
        <v>1317</v>
      </c>
      <c r="H418" s="408" t="s">
        <v>1317</v>
      </c>
      <c r="I418" s="408" t="s">
        <v>2236</v>
      </c>
      <c r="J418" s="408" t="s">
        <v>2228</v>
      </c>
      <c r="K418" s="828">
        <v>44621</v>
      </c>
      <c r="L418" s="408">
        <v>-5</v>
      </c>
      <c r="M418" s="408">
        <v>-4.8</v>
      </c>
      <c r="N418" s="408">
        <v>0</v>
      </c>
      <c r="O418" s="408">
        <v>0</v>
      </c>
      <c r="P418" s="408">
        <v>0</v>
      </c>
      <c r="Q418" s="408">
        <v>0</v>
      </c>
      <c r="R418" s="408">
        <v>74.44</v>
      </c>
      <c r="S418" s="408"/>
      <c r="T418" s="408"/>
      <c r="U418" s="408">
        <v>-372.2</v>
      </c>
      <c r="V418" s="408"/>
      <c r="W418" s="408">
        <v>-372.2</v>
      </c>
      <c r="X418" s="408">
        <v>-227.10000000000002</v>
      </c>
      <c r="Y418" s="408">
        <v>0</v>
      </c>
      <c r="Z418" s="408">
        <v>0</v>
      </c>
      <c r="AA418" s="408">
        <v>0</v>
      </c>
      <c r="AB418" s="408">
        <v>0</v>
      </c>
      <c r="AC418" s="408">
        <v>0</v>
      </c>
      <c r="AD418" s="408">
        <v>-136.085462652259</v>
      </c>
      <c r="AE418" s="408">
        <v>-236.10768967089101</v>
      </c>
      <c r="AF418" s="408"/>
      <c r="AG418" s="408"/>
      <c r="AH418" s="408"/>
      <c r="AI418" s="408">
        <v>0</v>
      </c>
      <c r="AJ418" s="408">
        <v>0</v>
      </c>
      <c r="AK418" s="408">
        <v>0</v>
      </c>
      <c r="AL418" s="408">
        <v>0</v>
      </c>
      <c r="AM418" s="408"/>
      <c r="AN418" s="408">
        <v>0</v>
      </c>
      <c r="AO418" s="408">
        <v>0</v>
      </c>
      <c r="AP418" s="408">
        <v>0</v>
      </c>
      <c r="AQ418" s="408">
        <v>0</v>
      </c>
      <c r="AR418" s="408">
        <v>0</v>
      </c>
      <c r="AS418" s="408"/>
      <c r="AT418" s="408"/>
      <c r="AU418" s="408">
        <v>0</v>
      </c>
      <c r="AV418" s="408">
        <v>0</v>
      </c>
      <c r="AW418" s="408">
        <v>0</v>
      </c>
      <c r="AX418" s="408"/>
      <c r="AY418" s="408"/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</v>
      </c>
      <c r="BF418" s="408"/>
      <c r="BG418" s="408">
        <v>0</v>
      </c>
      <c r="BH418" s="408">
        <v>0</v>
      </c>
      <c r="BI418" s="408">
        <v>0</v>
      </c>
      <c r="BJ418" s="408">
        <v>0</v>
      </c>
      <c r="BK418" s="408">
        <v>0</v>
      </c>
      <c r="BL418" s="408">
        <v>0</v>
      </c>
      <c r="BM418" s="408"/>
      <c r="BN418" s="408"/>
      <c r="BO418" s="408"/>
      <c r="BP418" s="408"/>
      <c r="BQ418" s="408"/>
      <c r="BR418" s="408">
        <v>-9.0840000000000085</v>
      </c>
      <c r="BS418" s="408"/>
      <c r="BT418" s="408"/>
      <c r="BU418" s="408"/>
      <c r="BV418" s="408">
        <v>0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-218.01599999999999</v>
      </c>
      <c r="CJ418" s="408">
        <v>139.26599999999999</v>
      </c>
      <c r="CK418" s="408"/>
      <c r="CL418" s="408"/>
      <c r="CM418" s="408"/>
      <c r="CN418" s="408"/>
      <c r="CO418" s="408">
        <v>145.09999999999997</v>
      </c>
      <c r="CP418" s="408">
        <v>0</v>
      </c>
      <c r="CQ418" s="408">
        <v>31</v>
      </c>
      <c r="CR418" s="408">
        <v>0.34975162296549911</v>
      </c>
      <c r="CS418" s="408">
        <v>0</v>
      </c>
      <c r="CT418" s="408">
        <v>0</v>
      </c>
      <c r="CU418" s="408">
        <v>0</v>
      </c>
      <c r="CV418" s="408">
        <v>0</v>
      </c>
      <c r="CW418" s="408"/>
      <c r="CX418" s="408"/>
      <c r="CY418" s="408"/>
      <c r="CZ418" s="408">
        <v>0.34975162296549911</v>
      </c>
      <c r="DA418" s="408">
        <v>0</v>
      </c>
      <c r="DB418" s="408">
        <v>0</v>
      </c>
      <c r="DC418" s="408"/>
      <c r="DD418" s="408"/>
      <c r="DE418" s="408">
        <v>0</v>
      </c>
      <c r="DF418" s="408">
        <v>0</v>
      </c>
      <c r="DG418" s="408">
        <v>0</v>
      </c>
      <c r="DH418" s="408">
        <v>0</v>
      </c>
      <c r="DI418" s="408">
        <v>0</v>
      </c>
      <c r="DJ418" s="408"/>
      <c r="DK418" s="408">
        <v>0</v>
      </c>
      <c r="DL418" s="408">
        <v>0</v>
      </c>
      <c r="DM418" s="408"/>
      <c r="DN418" s="408">
        <v>0</v>
      </c>
      <c r="DO418" s="408">
        <v>0</v>
      </c>
      <c r="DP418" s="408">
        <v>0</v>
      </c>
      <c r="DQ418" s="408">
        <v>0</v>
      </c>
      <c r="DR418" s="408">
        <v>0</v>
      </c>
      <c r="DS418" s="408"/>
      <c r="DT418" s="408"/>
      <c r="DU418" s="408">
        <v>-236.10768967089101</v>
      </c>
      <c r="DV418" s="408"/>
      <c r="DW418" s="408">
        <v>0</v>
      </c>
      <c r="DX418" s="408">
        <v>0</v>
      </c>
      <c r="DY418" s="408">
        <v>145.09999999999997</v>
      </c>
      <c r="DZ418" s="408"/>
      <c r="EA418" s="408">
        <v>0</v>
      </c>
      <c r="EB418" s="408"/>
      <c r="EC418" s="408">
        <v>144.76827814467251</v>
      </c>
      <c r="ED418" s="408"/>
      <c r="EE418" s="408">
        <v>0</v>
      </c>
      <c r="EF418" s="408">
        <v>0</v>
      </c>
      <c r="EG418" s="408"/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/>
      <c r="EN418" s="408"/>
      <c r="EO418" s="408">
        <v>0</v>
      </c>
      <c r="EP418" s="408">
        <v>0</v>
      </c>
      <c r="EQ418" s="408"/>
      <c r="ER418" s="408">
        <v>0</v>
      </c>
      <c r="ES418" s="408"/>
      <c r="ET418" s="408">
        <v>0</v>
      </c>
      <c r="EU418" s="408"/>
      <c r="EV418" s="408">
        <v>265</v>
      </c>
      <c r="EW418" s="408"/>
      <c r="EX418" s="408"/>
      <c r="EY418" s="408"/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425</v>
      </c>
      <c r="B419" s="408" t="s">
        <v>2230</v>
      </c>
      <c r="C419" s="408" t="s">
        <v>2239</v>
      </c>
      <c r="D419" s="408" t="s">
        <v>596</v>
      </c>
      <c r="E419" s="408" t="s">
        <v>969</v>
      </c>
      <c r="F419" s="408" t="s">
        <v>1317</v>
      </c>
      <c r="G419" s="408" t="s">
        <v>1317</v>
      </c>
      <c r="H419" s="408" t="s">
        <v>1317</v>
      </c>
      <c r="I419" s="408" t="s">
        <v>1317</v>
      </c>
      <c r="J419" s="408" t="s">
        <v>2228</v>
      </c>
      <c r="K419" s="828">
        <v>44621</v>
      </c>
      <c r="L419" s="408">
        <v>0</v>
      </c>
      <c r="M419" s="408">
        <v>0</v>
      </c>
      <c r="N419" s="408">
        <v>0</v>
      </c>
      <c r="O419" s="408">
        <v>0</v>
      </c>
      <c r="P419" s="408">
        <v>0</v>
      </c>
      <c r="Q419" s="408">
        <v>0</v>
      </c>
      <c r="R419" s="408"/>
      <c r="S419" s="408"/>
      <c r="T419" s="408"/>
      <c r="U419" s="408"/>
      <c r="V419" s="408"/>
      <c r="W419" s="408"/>
      <c r="X419" s="408"/>
      <c r="Y419" s="408"/>
      <c r="Z419" s="408"/>
      <c r="AA419" s="408">
        <v>0</v>
      </c>
      <c r="AB419" s="408"/>
      <c r="AC419" s="408"/>
      <c r="AD419" s="408"/>
      <c r="AE419" s="408"/>
      <c r="AF419" s="408"/>
      <c r="AG419" s="408"/>
      <c r="AH419" s="408"/>
      <c r="AI419" s="408"/>
      <c r="AJ419" s="408"/>
      <c r="AK419" s="408"/>
      <c r="AL419" s="408"/>
      <c r="AM419" s="408"/>
      <c r="AN419" s="408"/>
      <c r="AO419" s="408"/>
      <c r="AP419" s="408"/>
      <c r="AQ419" s="408"/>
      <c r="AR419" s="408"/>
      <c r="AS419" s="408"/>
      <c r="AT419" s="408"/>
      <c r="AU419" s="408"/>
      <c r="AV419" s="408"/>
      <c r="AW419" s="408"/>
      <c r="AX419" s="408"/>
      <c r="AY419" s="408"/>
      <c r="AZ419" s="408">
        <v>0</v>
      </c>
      <c r="BA419" s="408"/>
      <c r="BB419" s="408"/>
      <c r="BC419" s="408"/>
      <c r="BD419" s="408"/>
      <c r="BE419" s="408"/>
      <c r="BF419" s="408"/>
      <c r="BG419" s="408"/>
      <c r="BH419" s="408"/>
      <c r="BI419" s="408">
        <v>0</v>
      </c>
      <c r="BJ419" s="408">
        <v>0</v>
      </c>
      <c r="BK419" s="408">
        <v>1.52</v>
      </c>
      <c r="BL419" s="408">
        <v>1</v>
      </c>
      <c r="BM419" s="408"/>
      <c r="BN419" s="408"/>
      <c r="BO419" s="408"/>
      <c r="BP419" s="408"/>
      <c r="BQ419" s="408"/>
      <c r="BR419" s="408"/>
      <c r="BS419" s="408"/>
      <c r="BT419" s="408"/>
      <c r="BU419" s="408"/>
      <c r="BV419" s="408"/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/>
      <c r="CJ419" s="408">
        <v>-0.03</v>
      </c>
      <c r="CK419" s="408"/>
      <c r="CL419" s="408"/>
      <c r="CM419" s="408"/>
      <c r="CN419" s="408"/>
      <c r="CO419" s="408">
        <v>0</v>
      </c>
      <c r="CP419" s="408">
        <v>0</v>
      </c>
      <c r="CQ419" s="408">
        <v>31</v>
      </c>
      <c r="CR419" s="408"/>
      <c r="CS419" s="408"/>
      <c r="CT419" s="408"/>
      <c r="CU419" s="408"/>
      <c r="CV419" s="408"/>
      <c r="CW419" s="408"/>
      <c r="CX419" s="408"/>
      <c r="CY419" s="408"/>
      <c r="CZ419" s="408"/>
      <c r="DA419" s="408"/>
      <c r="DB419" s="408"/>
      <c r="DC419" s="408"/>
      <c r="DD419" s="408"/>
      <c r="DE419" s="408"/>
      <c r="DF419" s="408"/>
      <c r="DG419" s="408"/>
      <c r="DH419" s="408"/>
      <c r="DI419" s="408"/>
      <c r="DJ419" s="408"/>
      <c r="DK419" s="408">
        <v>0</v>
      </c>
      <c r="DL419" s="408"/>
      <c r="DM419" s="408"/>
      <c r="DN419" s="408"/>
      <c r="DO419" s="408"/>
      <c r="DP419" s="408"/>
      <c r="DQ419" s="408"/>
      <c r="DR419" s="408"/>
      <c r="DS419" s="408"/>
      <c r="DT419" s="408"/>
      <c r="DU419" s="408"/>
      <c r="DV419" s="408"/>
      <c r="DW419" s="408"/>
      <c r="DX419" s="408"/>
      <c r="DY419" s="408"/>
      <c r="DZ419" s="408"/>
      <c r="EA419" s="408"/>
      <c r="EB419" s="408"/>
      <c r="EC419" s="408"/>
      <c r="ED419" s="408"/>
      <c r="EE419" s="408"/>
      <c r="EF419" s="408"/>
      <c r="EG419" s="408"/>
      <c r="EH419" s="408"/>
      <c r="EI419" s="408"/>
      <c r="EJ419" s="408"/>
      <c r="EK419" s="408"/>
      <c r="EL419" s="408"/>
      <c r="EM419" s="408"/>
      <c r="EN419" s="408"/>
      <c r="EO419" s="408"/>
      <c r="EP419" s="408"/>
      <c r="EQ419" s="408"/>
      <c r="ER419" s="408"/>
      <c r="ES419" s="408"/>
      <c r="ET419" s="408"/>
      <c r="EU419" s="408"/>
      <c r="EV419" s="408">
        <v>265</v>
      </c>
      <c r="EW419" s="408"/>
      <c r="EX419" s="408"/>
      <c r="EY419" s="408"/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426</v>
      </c>
      <c r="B420" s="408" t="s">
        <v>2230</v>
      </c>
      <c r="C420" s="408" t="s">
        <v>2239</v>
      </c>
      <c r="D420" s="408" t="s">
        <v>596</v>
      </c>
      <c r="E420" s="408" t="s">
        <v>969</v>
      </c>
      <c r="F420" s="408" t="s">
        <v>1317</v>
      </c>
      <c r="G420" s="408" t="s">
        <v>1317</v>
      </c>
      <c r="H420" s="408" t="s">
        <v>1317</v>
      </c>
      <c r="I420" s="408" t="s">
        <v>1317</v>
      </c>
      <c r="J420" s="408" t="s">
        <v>2228</v>
      </c>
      <c r="K420" s="828">
        <v>44621</v>
      </c>
      <c r="L420" s="408">
        <v>0</v>
      </c>
      <c r="M420" s="408">
        <v>0</v>
      </c>
      <c r="N420" s="408">
        <v>0</v>
      </c>
      <c r="O420" s="408">
        <v>0</v>
      </c>
      <c r="P420" s="408">
        <v>0</v>
      </c>
      <c r="Q420" s="408">
        <v>0</v>
      </c>
      <c r="R420" s="408"/>
      <c r="S420" s="408"/>
      <c r="T420" s="408"/>
      <c r="U420" s="408"/>
      <c r="V420" s="408"/>
      <c r="W420" s="408"/>
      <c r="X420" s="408"/>
      <c r="Y420" s="408"/>
      <c r="Z420" s="408"/>
      <c r="AA420" s="408">
        <v>0</v>
      </c>
      <c r="AB420" s="408"/>
      <c r="AC420" s="408"/>
      <c r="AD420" s="408"/>
      <c r="AE420" s="408"/>
      <c r="AF420" s="408"/>
      <c r="AG420" s="408"/>
      <c r="AH420" s="408"/>
      <c r="AI420" s="408"/>
      <c r="AJ420" s="408"/>
      <c r="AK420" s="408"/>
      <c r="AL420" s="408"/>
      <c r="AM420" s="408"/>
      <c r="AN420" s="408"/>
      <c r="AO420" s="408"/>
      <c r="AP420" s="408"/>
      <c r="AQ420" s="408"/>
      <c r="AR420" s="408"/>
      <c r="AS420" s="408"/>
      <c r="AT420" s="408"/>
      <c r="AU420" s="408"/>
      <c r="AV420" s="408"/>
      <c r="AW420" s="408"/>
      <c r="AX420" s="408"/>
      <c r="AY420" s="408"/>
      <c r="AZ420" s="408">
        <v>0</v>
      </c>
      <c r="BA420" s="408"/>
      <c r="BB420" s="408"/>
      <c r="BC420" s="408"/>
      <c r="BD420" s="408"/>
      <c r="BE420" s="408"/>
      <c r="BF420" s="408"/>
      <c r="BG420" s="408"/>
      <c r="BH420" s="408"/>
      <c r="BI420" s="408">
        <v>0</v>
      </c>
      <c r="BJ420" s="408">
        <v>0</v>
      </c>
      <c r="BK420" s="408">
        <v>0</v>
      </c>
      <c r="BL420" s="408">
        <v>2</v>
      </c>
      <c r="BM420" s="408"/>
      <c r="BN420" s="408"/>
      <c r="BO420" s="408"/>
      <c r="BP420" s="408"/>
      <c r="BQ420" s="408"/>
      <c r="BR420" s="408"/>
      <c r="BS420" s="408"/>
      <c r="BT420" s="408"/>
      <c r="BU420" s="408"/>
      <c r="BV420" s="408"/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/>
      <c r="CJ420" s="408">
        <v>-0.03</v>
      </c>
      <c r="CK420" s="408"/>
      <c r="CL420" s="408"/>
      <c r="CM420" s="408"/>
      <c r="CN420" s="408"/>
      <c r="CO420" s="408">
        <v>0</v>
      </c>
      <c r="CP420" s="408">
        <v>0</v>
      </c>
      <c r="CQ420" s="408">
        <v>31</v>
      </c>
      <c r="CR420" s="408"/>
      <c r="CS420" s="408"/>
      <c r="CT420" s="408"/>
      <c r="CU420" s="408"/>
      <c r="CV420" s="408"/>
      <c r="CW420" s="408"/>
      <c r="CX420" s="408"/>
      <c r="CY420" s="408"/>
      <c r="CZ420" s="408"/>
      <c r="DA420" s="408"/>
      <c r="DB420" s="408"/>
      <c r="DC420" s="408"/>
      <c r="DD420" s="408"/>
      <c r="DE420" s="408"/>
      <c r="DF420" s="408"/>
      <c r="DG420" s="408"/>
      <c r="DH420" s="408"/>
      <c r="DI420" s="408"/>
      <c r="DJ420" s="408"/>
      <c r="DK420" s="408">
        <v>0</v>
      </c>
      <c r="DL420" s="408"/>
      <c r="DM420" s="408"/>
      <c r="DN420" s="408"/>
      <c r="DO420" s="408"/>
      <c r="DP420" s="408"/>
      <c r="DQ420" s="408"/>
      <c r="DR420" s="408"/>
      <c r="DS420" s="408"/>
      <c r="DT420" s="408"/>
      <c r="DU420" s="408"/>
      <c r="DV420" s="408"/>
      <c r="DW420" s="408"/>
      <c r="DX420" s="408"/>
      <c r="DY420" s="408"/>
      <c r="DZ420" s="408"/>
      <c r="EA420" s="408"/>
      <c r="EB420" s="408"/>
      <c r="EC420" s="408"/>
      <c r="ED420" s="408"/>
      <c r="EE420" s="408"/>
      <c r="EF420" s="408"/>
      <c r="EG420" s="408"/>
      <c r="EH420" s="408"/>
      <c r="EI420" s="408"/>
      <c r="EJ420" s="408"/>
      <c r="EK420" s="408"/>
      <c r="EL420" s="408"/>
      <c r="EM420" s="408"/>
      <c r="EN420" s="408"/>
      <c r="EO420" s="408"/>
      <c r="EP420" s="408"/>
      <c r="EQ420" s="408"/>
      <c r="ER420" s="408"/>
      <c r="ES420" s="408"/>
      <c r="ET420" s="408"/>
      <c r="EU420" s="408"/>
      <c r="EV420" s="408">
        <v>265</v>
      </c>
      <c r="EW420" s="408"/>
      <c r="EX420" s="408"/>
      <c r="EY420" s="408"/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427</v>
      </c>
      <c r="B421" s="408" t="s">
        <v>1031</v>
      </c>
      <c r="C421" s="408" t="s">
        <v>2235</v>
      </c>
      <c r="D421" s="408" t="s">
        <v>596</v>
      </c>
      <c r="E421" s="408" t="s">
        <v>969</v>
      </c>
      <c r="F421" s="408" t="s">
        <v>1317</v>
      </c>
      <c r="G421" s="408" t="s">
        <v>1317</v>
      </c>
      <c r="H421" s="408" t="s">
        <v>1317</v>
      </c>
      <c r="I421" s="408" t="s">
        <v>968</v>
      </c>
      <c r="J421" s="408" t="s">
        <v>2228</v>
      </c>
      <c r="K421" s="828">
        <v>44621</v>
      </c>
      <c r="L421" s="408">
        <v>0</v>
      </c>
      <c r="M421" s="408">
        <v>0</v>
      </c>
      <c r="N421" s="408">
        <v>8.6219999999999999</v>
      </c>
      <c r="O421" s="408">
        <v>8.27712</v>
      </c>
      <c r="P421" s="408">
        <v>8.6219999999999999</v>
      </c>
      <c r="Q421" s="408">
        <v>8.27712</v>
      </c>
      <c r="R421" s="408"/>
      <c r="S421" s="408">
        <v>2641.06</v>
      </c>
      <c r="T421" s="408">
        <v>252.22</v>
      </c>
      <c r="U421" s="408"/>
      <c r="V421" s="408">
        <v>24945.86016</v>
      </c>
      <c r="W421" s="408">
        <v>24945.86016</v>
      </c>
      <c r="X421" s="408">
        <v>14806.905479999999</v>
      </c>
      <c r="Y421" s="408">
        <v>0</v>
      </c>
      <c r="Z421" s="408">
        <v>463.96918727409638</v>
      </c>
      <c r="AA421" s="408">
        <v>0</v>
      </c>
      <c r="AB421" s="408">
        <v>0</v>
      </c>
      <c r="AC421" s="408">
        <v>0</v>
      </c>
      <c r="AD421" s="408">
        <v>5585.0469924293011</v>
      </c>
      <c r="AE421" s="408">
        <v>16486.042917517469</v>
      </c>
      <c r="AF421" s="408">
        <v>2174.6647011863406</v>
      </c>
      <c r="AG421" s="408">
        <v>0</v>
      </c>
      <c r="AH421" s="408">
        <v>0</v>
      </c>
      <c r="AI421" s="408">
        <v>0</v>
      </c>
      <c r="AJ421" s="408">
        <v>0</v>
      </c>
      <c r="AK421" s="408">
        <v>0</v>
      </c>
      <c r="AL421" s="408">
        <v>82.435193624441709</v>
      </c>
      <c r="AM421" s="408"/>
      <c r="AN421" s="408">
        <v>20.743722718723024</v>
      </c>
      <c r="AO421" s="408">
        <v>0</v>
      </c>
      <c r="AP421" s="408">
        <v>0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0</v>
      </c>
      <c r="BE421" s="408">
        <v>0</v>
      </c>
      <c r="BF421" s="408">
        <v>0</v>
      </c>
      <c r="BG421" s="408">
        <v>132.97573745095355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>
        <v>592.27621919999967</v>
      </c>
      <c r="BS421" s="408"/>
      <c r="BT421" s="408"/>
      <c r="BU421" s="408"/>
      <c r="BV421" s="408">
        <v>2307.6404386372942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14219.575199999999</v>
      </c>
      <c r="CJ421" s="408">
        <v>-9728.4805535999949</v>
      </c>
      <c r="CK421" s="408"/>
      <c r="CL421" s="408"/>
      <c r="CM421" s="408"/>
      <c r="CN421" s="408"/>
      <c r="CO421" s="408">
        <v>-10138.954680000001</v>
      </c>
      <c r="CP421" s="408">
        <v>0</v>
      </c>
      <c r="CQ421" s="408">
        <v>31</v>
      </c>
      <c r="CR421" s="408">
        <v>-30.589496103926649</v>
      </c>
      <c r="CS421" s="408">
        <v>0</v>
      </c>
      <c r="CT421" s="408">
        <v>0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-14.354062600592442</v>
      </c>
      <c r="DA421" s="408">
        <v>0</v>
      </c>
      <c r="DB421" s="408">
        <v>0</v>
      </c>
      <c r="DC421" s="408">
        <v>-3.0487399271805771E-7</v>
      </c>
      <c r="DD421" s="408">
        <v>0</v>
      </c>
      <c r="DE421" s="408">
        <v>0</v>
      </c>
      <c r="DF421" s="408">
        <v>0</v>
      </c>
      <c r="DG421" s="408">
        <v>-1.8642481336428318E-8</v>
      </c>
      <c r="DH421" s="408">
        <v>0</v>
      </c>
      <c r="DI421" s="408">
        <v>-13.490873368845996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-2.0709463398607824</v>
      </c>
      <c r="DP421" s="408">
        <v>-0.67361347110939107</v>
      </c>
      <c r="DQ421" s="408">
        <v>0</v>
      </c>
      <c r="DR421" s="408">
        <v>0</v>
      </c>
      <c r="DS421" s="408"/>
      <c r="DT421" s="408"/>
      <c r="DU421" s="408"/>
      <c r="DV421" s="408">
        <v>16486.042917517469</v>
      </c>
      <c r="DW421" s="408">
        <v>0</v>
      </c>
      <c r="DX421" s="408">
        <v>0</v>
      </c>
      <c r="DY421" s="408">
        <v>-10138.954680000001</v>
      </c>
      <c r="DZ421" s="408">
        <v>0</v>
      </c>
      <c r="EA421" s="408">
        <v>0</v>
      </c>
      <c r="EB421" s="408">
        <v>0</v>
      </c>
      <c r="EC421" s="408">
        <v>-10108.336792905466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265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428</v>
      </c>
      <c r="B422" s="408" t="s">
        <v>1031</v>
      </c>
      <c r="C422" s="408" t="s">
        <v>2235</v>
      </c>
      <c r="D422" s="408" t="s">
        <v>596</v>
      </c>
      <c r="E422" s="408" t="s">
        <v>969</v>
      </c>
      <c r="F422" s="408" t="s">
        <v>1317</v>
      </c>
      <c r="G422" s="408" t="s">
        <v>1317</v>
      </c>
      <c r="H422" s="408" t="s">
        <v>1317</v>
      </c>
      <c r="I422" s="408" t="s">
        <v>2236</v>
      </c>
      <c r="J422" s="408" t="s">
        <v>2228</v>
      </c>
      <c r="K422" s="828">
        <v>44621</v>
      </c>
      <c r="L422" s="408">
        <v>0</v>
      </c>
      <c r="M422" s="408">
        <v>0</v>
      </c>
      <c r="N422" s="408">
        <v>80.394999999999996</v>
      </c>
      <c r="O422" s="408">
        <v>77.179199999999994</v>
      </c>
      <c r="P422" s="408">
        <v>80.394999999999996</v>
      </c>
      <c r="Q422" s="408">
        <v>77.179199999999994</v>
      </c>
      <c r="R422" s="408"/>
      <c r="S422" s="408">
        <v>81.2</v>
      </c>
      <c r="T422" s="408">
        <v>252.22</v>
      </c>
      <c r="U422" s="408"/>
      <c r="V422" s="408">
        <v>26805.300899999998</v>
      </c>
      <c r="W422" s="408">
        <v>26805.300899999998</v>
      </c>
      <c r="X422" s="408">
        <v>26654.158299999996</v>
      </c>
      <c r="Y422" s="408">
        <v>0</v>
      </c>
      <c r="Z422" s="408">
        <v>4326.2355382626974</v>
      </c>
      <c r="AA422" s="408">
        <v>0</v>
      </c>
      <c r="AB422" s="408">
        <v>0</v>
      </c>
      <c r="AC422" s="408">
        <v>0</v>
      </c>
      <c r="AD422" s="408">
        <v>0</v>
      </c>
      <c r="AE422" s="408">
        <v>0</v>
      </c>
      <c r="AF422" s="408">
        <v>20277.449391310118</v>
      </c>
      <c r="AG422" s="408">
        <v>0</v>
      </c>
      <c r="AH422" s="408">
        <v>0</v>
      </c>
      <c r="AI422" s="408">
        <v>0</v>
      </c>
      <c r="AJ422" s="408">
        <v>0</v>
      </c>
      <c r="AK422" s="408">
        <v>0</v>
      </c>
      <c r="AL422" s="408">
        <v>768.65894124762133</v>
      </c>
      <c r="AM422" s="408"/>
      <c r="AN422" s="408">
        <v>193.42282393548336</v>
      </c>
      <c r="AO422" s="408">
        <v>0</v>
      </c>
      <c r="AP422" s="408">
        <v>0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0</v>
      </c>
      <c r="BF422" s="408">
        <v>0</v>
      </c>
      <c r="BG422" s="408">
        <v>1239.9193240975885</v>
      </c>
      <c r="BH422" s="408">
        <v>0</v>
      </c>
      <c r="BI422" s="408">
        <v>0</v>
      </c>
      <c r="BJ422" s="408">
        <v>0</v>
      </c>
      <c r="BK422" s="408">
        <v>0</v>
      </c>
      <c r="BL422" s="408">
        <v>0</v>
      </c>
      <c r="BM422" s="408"/>
      <c r="BN422" s="408"/>
      <c r="BO422" s="408"/>
      <c r="BP422" s="408"/>
      <c r="BQ422" s="408"/>
      <c r="BR422" s="408">
        <v>1066.1663320000005</v>
      </c>
      <c r="BS422" s="408"/>
      <c r="BT422" s="408"/>
      <c r="BU422" s="408"/>
      <c r="BV422" s="408">
        <v>21517.368715407705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25588.257200000004</v>
      </c>
      <c r="CJ422" s="408">
        <v>-144.86166399999274</v>
      </c>
      <c r="CK422" s="408"/>
      <c r="CL422" s="408"/>
      <c r="CM422" s="408"/>
      <c r="CN422" s="408"/>
      <c r="CO422" s="408">
        <v>-151.14260000000078</v>
      </c>
      <c r="CP422" s="408">
        <v>0</v>
      </c>
      <c r="CQ422" s="408">
        <v>31</v>
      </c>
      <c r="CR422" s="408">
        <v>-151.38571984463124</v>
      </c>
      <c r="CS422" s="408">
        <v>0</v>
      </c>
      <c r="CT422" s="408">
        <v>0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0</v>
      </c>
      <c r="DA422" s="408">
        <v>0</v>
      </c>
      <c r="DB422" s="408">
        <v>0</v>
      </c>
      <c r="DC422" s="408">
        <v>-2.8427675715647638E-6</v>
      </c>
      <c r="DD422" s="408">
        <v>0</v>
      </c>
      <c r="DE422" s="408">
        <v>0</v>
      </c>
      <c r="DF422" s="408">
        <v>0</v>
      </c>
      <c r="DG422" s="408">
        <v>-1.7382990336045623E-7</v>
      </c>
      <c r="DH422" s="408">
        <v>0</v>
      </c>
      <c r="DI422" s="408">
        <v>-125.79433594158854</v>
      </c>
      <c r="DJ422" s="408"/>
      <c r="DK422" s="408">
        <v>0</v>
      </c>
      <c r="DL422" s="408">
        <v>0</v>
      </c>
      <c r="DM422" s="408">
        <v>0</v>
      </c>
      <c r="DN422" s="408">
        <v>0</v>
      </c>
      <c r="DO422" s="408">
        <v>-19.310337623881651</v>
      </c>
      <c r="DP422" s="408">
        <v>-6.2810432625654755</v>
      </c>
      <c r="DQ422" s="408">
        <v>0</v>
      </c>
      <c r="DR422" s="408">
        <v>0</v>
      </c>
      <c r="DS422" s="408"/>
      <c r="DT422" s="408"/>
      <c r="DU422" s="408"/>
      <c r="DV422" s="408">
        <v>0</v>
      </c>
      <c r="DW422" s="408">
        <v>0</v>
      </c>
      <c r="DX422" s="408">
        <v>0</v>
      </c>
      <c r="DY422" s="408">
        <v>-151.14260000000013</v>
      </c>
      <c r="DZ422" s="408">
        <v>0</v>
      </c>
      <c r="EA422" s="408">
        <v>0</v>
      </c>
      <c r="EB422" s="408">
        <v>0</v>
      </c>
      <c r="EC422" s="408">
        <v>0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0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265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429</v>
      </c>
      <c r="B423" s="408" t="s">
        <v>1031</v>
      </c>
      <c r="C423" s="408" t="s">
        <v>2235</v>
      </c>
      <c r="D423" s="408" t="s">
        <v>596</v>
      </c>
      <c r="E423" s="408" t="s">
        <v>969</v>
      </c>
      <c r="F423" s="408" t="s">
        <v>1317</v>
      </c>
      <c r="G423" s="408" t="s">
        <v>1317</v>
      </c>
      <c r="H423" s="408" t="s">
        <v>1317</v>
      </c>
      <c r="I423" s="408" t="s">
        <v>1317</v>
      </c>
      <c r="J423" s="408" t="s">
        <v>2228</v>
      </c>
      <c r="K423" s="828">
        <v>44621</v>
      </c>
      <c r="L423" s="408">
        <v>284</v>
      </c>
      <c r="M423" s="408">
        <v>272.64</v>
      </c>
      <c r="N423" s="408">
        <v>0</v>
      </c>
      <c r="O423" s="408">
        <v>0</v>
      </c>
      <c r="P423" s="408">
        <v>0</v>
      </c>
      <c r="Q423" s="408">
        <v>0</v>
      </c>
      <c r="R423" s="408">
        <v>74.44</v>
      </c>
      <c r="S423" s="408"/>
      <c r="T423" s="408"/>
      <c r="U423" s="408">
        <v>21140.959999999999</v>
      </c>
      <c r="V423" s="408"/>
      <c r="W423" s="408">
        <v>21140.959999999999</v>
      </c>
      <c r="X423" s="408">
        <v>12899.28</v>
      </c>
      <c r="Y423" s="408">
        <v>0</v>
      </c>
      <c r="Z423" s="408">
        <v>0</v>
      </c>
      <c r="AA423" s="408">
        <v>0</v>
      </c>
      <c r="AB423" s="408">
        <v>0</v>
      </c>
      <c r="AC423" s="408">
        <v>0</v>
      </c>
      <c r="AD423" s="408">
        <v>7729.6542786483114</v>
      </c>
      <c r="AE423" s="408">
        <v>13410.91677330661</v>
      </c>
      <c r="AF423" s="408"/>
      <c r="AG423" s="408"/>
      <c r="AH423" s="408"/>
      <c r="AI423" s="408">
        <v>0</v>
      </c>
      <c r="AJ423" s="408">
        <v>0</v>
      </c>
      <c r="AK423" s="408">
        <v>0</v>
      </c>
      <c r="AL423" s="408">
        <v>0</v>
      </c>
      <c r="AM423" s="408"/>
      <c r="AN423" s="408">
        <v>0</v>
      </c>
      <c r="AO423" s="408">
        <v>0</v>
      </c>
      <c r="AP423" s="408">
        <v>0</v>
      </c>
      <c r="AQ423" s="408">
        <v>0</v>
      </c>
      <c r="AR423" s="408">
        <v>0</v>
      </c>
      <c r="AS423" s="408"/>
      <c r="AT423" s="408"/>
      <c r="AU423" s="408">
        <v>0</v>
      </c>
      <c r="AV423" s="408">
        <v>0</v>
      </c>
      <c r="AW423" s="408">
        <v>0</v>
      </c>
      <c r="AX423" s="408"/>
      <c r="AY423" s="408"/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/>
      <c r="BG423" s="408">
        <v>0</v>
      </c>
      <c r="BH423" s="408">
        <v>0</v>
      </c>
      <c r="BI423" s="408">
        <v>0</v>
      </c>
      <c r="BJ423" s="408">
        <v>0</v>
      </c>
      <c r="BK423" s="408">
        <v>25.02</v>
      </c>
      <c r="BL423" s="408">
        <v>3</v>
      </c>
      <c r="BM423" s="408"/>
      <c r="BN423" s="408"/>
      <c r="BO423" s="408"/>
      <c r="BP423" s="408"/>
      <c r="BQ423" s="408"/>
      <c r="BR423" s="408">
        <v>515.97120000000064</v>
      </c>
      <c r="BS423" s="408"/>
      <c r="BT423" s="408"/>
      <c r="BU423" s="408"/>
      <c r="BV423" s="408">
        <v>0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12383.308800000001</v>
      </c>
      <c r="CJ423" s="408">
        <v>-7912.0427999999938</v>
      </c>
      <c r="CK423" s="408"/>
      <c r="CL423" s="408"/>
      <c r="CM423" s="408"/>
      <c r="CN423" s="408"/>
      <c r="CO423" s="408">
        <v>-8241.6799999999985</v>
      </c>
      <c r="CP423" s="408">
        <v>0</v>
      </c>
      <c r="CQ423" s="408">
        <v>31</v>
      </c>
      <c r="CR423" s="408">
        <v>-19.865892184440781</v>
      </c>
      <c r="CS423" s="408">
        <v>0</v>
      </c>
      <c r="CT423" s="408">
        <v>0</v>
      </c>
      <c r="CU423" s="408">
        <v>0</v>
      </c>
      <c r="CV423" s="408">
        <v>0</v>
      </c>
      <c r="CW423" s="408"/>
      <c r="CX423" s="408"/>
      <c r="CY423" s="408"/>
      <c r="CZ423" s="408">
        <v>-19.865892184440781</v>
      </c>
      <c r="DA423" s="408">
        <v>0</v>
      </c>
      <c r="DB423" s="408">
        <v>0</v>
      </c>
      <c r="DC423" s="408"/>
      <c r="DD423" s="408"/>
      <c r="DE423" s="408">
        <v>0</v>
      </c>
      <c r="DF423" s="408">
        <v>0</v>
      </c>
      <c r="DG423" s="408">
        <v>0</v>
      </c>
      <c r="DH423" s="408">
        <v>0</v>
      </c>
      <c r="DI423" s="408">
        <v>0</v>
      </c>
      <c r="DJ423" s="408"/>
      <c r="DK423" s="408">
        <v>0</v>
      </c>
      <c r="DL423" s="408">
        <v>0</v>
      </c>
      <c r="DM423" s="408"/>
      <c r="DN423" s="408">
        <v>0</v>
      </c>
      <c r="DO423" s="408">
        <v>0</v>
      </c>
      <c r="DP423" s="408">
        <v>0</v>
      </c>
      <c r="DQ423" s="408">
        <v>0</v>
      </c>
      <c r="DR423" s="408">
        <v>0</v>
      </c>
      <c r="DS423" s="408"/>
      <c r="DT423" s="408"/>
      <c r="DU423" s="408">
        <v>13410.91677330661</v>
      </c>
      <c r="DV423" s="408"/>
      <c r="DW423" s="408">
        <v>0</v>
      </c>
      <c r="DX423" s="408">
        <v>0</v>
      </c>
      <c r="DY423" s="408">
        <v>-8241.6799999999985</v>
      </c>
      <c r="DZ423" s="408"/>
      <c r="EA423" s="408">
        <v>0</v>
      </c>
      <c r="EB423" s="408"/>
      <c r="EC423" s="408">
        <v>-8222.838198617399</v>
      </c>
      <c r="ED423" s="408"/>
      <c r="EE423" s="408">
        <v>0</v>
      </c>
      <c r="EF423" s="408">
        <v>0</v>
      </c>
      <c r="EG423" s="408"/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/>
      <c r="EN423" s="408"/>
      <c r="EO423" s="408">
        <v>0</v>
      </c>
      <c r="EP423" s="408">
        <v>0</v>
      </c>
      <c r="EQ423" s="408"/>
      <c r="ER423" s="408">
        <v>0</v>
      </c>
      <c r="ES423" s="408"/>
      <c r="ET423" s="408">
        <v>0</v>
      </c>
      <c r="EU423" s="408"/>
      <c r="EV423" s="408">
        <v>265</v>
      </c>
      <c r="EW423" s="408"/>
      <c r="EX423" s="408"/>
      <c r="EY423" s="408"/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430</v>
      </c>
      <c r="B424" s="408" t="s">
        <v>2230</v>
      </c>
      <c r="C424" s="408" t="s">
        <v>2235</v>
      </c>
      <c r="D424" s="408" t="s">
        <v>596</v>
      </c>
      <c r="E424" s="408" t="s">
        <v>969</v>
      </c>
      <c r="F424" s="408" t="s">
        <v>1317</v>
      </c>
      <c r="G424" s="408" t="s">
        <v>1317</v>
      </c>
      <c r="H424" s="408" t="s">
        <v>1317</v>
      </c>
      <c r="I424" s="408" t="s">
        <v>1317</v>
      </c>
      <c r="J424" s="408" t="s">
        <v>2228</v>
      </c>
      <c r="K424" s="828">
        <v>44621</v>
      </c>
      <c r="L424" s="408">
        <v>378</v>
      </c>
      <c r="M424" s="408">
        <v>362.88</v>
      </c>
      <c r="N424" s="408">
        <v>0</v>
      </c>
      <c r="O424" s="408">
        <v>0</v>
      </c>
      <c r="P424" s="408">
        <v>0</v>
      </c>
      <c r="Q424" s="408">
        <v>0</v>
      </c>
      <c r="R424" s="408">
        <v>74.44</v>
      </c>
      <c r="S424" s="408"/>
      <c r="T424" s="408"/>
      <c r="U424" s="408">
        <v>28138.32</v>
      </c>
      <c r="V424" s="408"/>
      <c r="W424" s="408">
        <v>28138.32</v>
      </c>
      <c r="X424" s="408">
        <v>17168.760000000002</v>
      </c>
      <c r="Y424" s="408">
        <v>0</v>
      </c>
      <c r="Z424" s="408">
        <v>0</v>
      </c>
      <c r="AA424" s="408">
        <v>0</v>
      </c>
      <c r="AB424" s="408">
        <v>0</v>
      </c>
      <c r="AC424" s="408">
        <v>0</v>
      </c>
      <c r="AD424" s="408">
        <v>10288.06097651078</v>
      </c>
      <c r="AE424" s="408">
        <v>17849.741339119359</v>
      </c>
      <c r="AF424" s="408"/>
      <c r="AG424" s="408"/>
      <c r="AH424" s="408"/>
      <c r="AI424" s="408">
        <v>0</v>
      </c>
      <c r="AJ424" s="408">
        <v>0</v>
      </c>
      <c r="AK424" s="408">
        <v>0</v>
      </c>
      <c r="AL424" s="408">
        <v>0</v>
      </c>
      <c r="AM424" s="408"/>
      <c r="AN424" s="408">
        <v>0</v>
      </c>
      <c r="AO424" s="408">
        <v>0</v>
      </c>
      <c r="AP424" s="408">
        <v>0</v>
      </c>
      <c r="AQ424" s="408">
        <v>0</v>
      </c>
      <c r="AR424" s="408">
        <v>0</v>
      </c>
      <c r="AS424" s="408"/>
      <c r="AT424" s="408"/>
      <c r="AU424" s="408">
        <v>0</v>
      </c>
      <c r="AV424" s="408">
        <v>0</v>
      </c>
      <c r="AW424" s="408">
        <v>0</v>
      </c>
      <c r="AX424" s="408"/>
      <c r="AY424" s="408"/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/>
      <c r="BG424" s="408">
        <v>0</v>
      </c>
      <c r="BH424" s="408">
        <v>0</v>
      </c>
      <c r="BI424" s="408">
        <v>0</v>
      </c>
      <c r="BJ424" s="408">
        <v>0</v>
      </c>
      <c r="BK424" s="408">
        <v>7.93</v>
      </c>
      <c r="BL424" s="408">
        <v>3</v>
      </c>
      <c r="BM424" s="408"/>
      <c r="BN424" s="408"/>
      <c r="BO424" s="408"/>
      <c r="BP424" s="408"/>
      <c r="BQ424" s="408"/>
      <c r="BR424" s="408">
        <v>686.75040000000024</v>
      </c>
      <c r="BS424" s="408"/>
      <c r="BT424" s="408"/>
      <c r="BU424" s="408"/>
      <c r="BV424" s="408">
        <v>0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16482.009600000001</v>
      </c>
      <c r="CJ424" s="408">
        <v>-10530.807599999993</v>
      </c>
      <c r="CK424" s="408"/>
      <c r="CL424" s="408"/>
      <c r="CM424" s="408"/>
      <c r="CN424" s="408"/>
      <c r="CO424" s="408">
        <v>-10969.559999999998</v>
      </c>
      <c r="CP424" s="408">
        <v>0</v>
      </c>
      <c r="CQ424" s="408">
        <v>31</v>
      </c>
      <c r="CR424" s="408">
        <v>-26.441222696192199</v>
      </c>
      <c r="CS424" s="408">
        <v>0</v>
      </c>
      <c r="CT424" s="408">
        <v>0</v>
      </c>
      <c r="CU424" s="408">
        <v>0</v>
      </c>
      <c r="CV424" s="408">
        <v>0</v>
      </c>
      <c r="CW424" s="408"/>
      <c r="CX424" s="408"/>
      <c r="CY424" s="408"/>
      <c r="CZ424" s="408">
        <v>-26.441222696192199</v>
      </c>
      <c r="DA424" s="408">
        <v>0</v>
      </c>
      <c r="DB424" s="408">
        <v>0</v>
      </c>
      <c r="DC424" s="408"/>
      <c r="DD424" s="408"/>
      <c r="DE424" s="408">
        <v>0</v>
      </c>
      <c r="DF424" s="408">
        <v>0</v>
      </c>
      <c r="DG424" s="408">
        <v>0</v>
      </c>
      <c r="DH424" s="408">
        <v>0</v>
      </c>
      <c r="DI424" s="408">
        <v>0</v>
      </c>
      <c r="DJ424" s="408"/>
      <c r="DK424" s="408">
        <v>0</v>
      </c>
      <c r="DL424" s="408">
        <v>0</v>
      </c>
      <c r="DM424" s="408"/>
      <c r="DN424" s="408">
        <v>0</v>
      </c>
      <c r="DO424" s="408">
        <v>0</v>
      </c>
      <c r="DP424" s="408">
        <v>0</v>
      </c>
      <c r="DQ424" s="408">
        <v>0</v>
      </c>
      <c r="DR424" s="408">
        <v>0</v>
      </c>
      <c r="DS424" s="408"/>
      <c r="DT424" s="408"/>
      <c r="DU424" s="408">
        <v>17849.741339119359</v>
      </c>
      <c r="DV424" s="408"/>
      <c r="DW424" s="408">
        <v>0</v>
      </c>
      <c r="DX424" s="408">
        <v>0</v>
      </c>
      <c r="DY424" s="408">
        <v>-10969.559999999998</v>
      </c>
      <c r="DZ424" s="408"/>
      <c r="EA424" s="408">
        <v>0</v>
      </c>
      <c r="EB424" s="408"/>
      <c r="EC424" s="408">
        <v>-10944.48182773724</v>
      </c>
      <c r="ED424" s="408"/>
      <c r="EE424" s="408">
        <v>0</v>
      </c>
      <c r="EF424" s="408">
        <v>0</v>
      </c>
      <c r="EG424" s="408"/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/>
      <c r="EN424" s="408"/>
      <c r="EO424" s="408">
        <v>0</v>
      </c>
      <c r="EP424" s="408">
        <v>0</v>
      </c>
      <c r="EQ424" s="408"/>
      <c r="ER424" s="408">
        <v>0</v>
      </c>
      <c r="ES424" s="408"/>
      <c r="ET424" s="408">
        <v>0</v>
      </c>
      <c r="EU424" s="408"/>
      <c r="EV424" s="408">
        <v>265</v>
      </c>
      <c r="EW424" s="408"/>
      <c r="EX424" s="408"/>
      <c r="EY424" s="408"/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431</v>
      </c>
      <c r="B425" s="408" t="s">
        <v>2230</v>
      </c>
      <c r="C425" s="408" t="s">
        <v>2235</v>
      </c>
      <c r="D425" s="408" t="s">
        <v>596</v>
      </c>
      <c r="E425" s="408" t="s">
        <v>969</v>
      </c>
      <c r="F425" s="408" t="s">
        <v>1317</v>
      </c>
      <c r="G425" s="408" t="s">
        <v>1317</v>
      </c>
      <c r="H425" s="408" t="s">
        <v>1317</v>
      </c>
      <c r="I425" s="408" t="s">
        <v>1317</v>
      </c>
      <c r="J425" s="408" t="s">
        <v>2228</v>
      </c>
      <c r="K425" s="828">
        <v>44621</v>
      </c>
      <c r="L425" s="408">
        <v>-3</v>
      </c>
      <c r="M425" s="408">
        <v>-2.88</v>
      </c>
      <c r="N425" s="408">
        <v>0</v>
      </c>
      <c r="O425" s="408">
        <v>0</v>
      </c>
      <c r="P425" s="408">
        <v>0</v>
      </c>
      <c r="Q425" s="408">
        <v>0</v>
      </c>
      <c r="R425" s="408">
        <v>74.44</v>
      </c>
      <c r="S425" s="408"/>
      <c r="T425" s="408"/>
      <c r="U425" s="408">
        <v>-223.32</v>
      </c>
      <c r="V425" s="408"/>
      <c r="W425" s="408">
        <v>-223.32</v>
      </c>
      <c r="X425" s="408">
        <v>-136.26</v>
      </c>
      <c r="Y425" s="408">
        <v>0</v>
      </c>
      <c r="Z425" s="408">
        <v>0</v>
      </c>
      <c r="AA425" s="408">
        <v>0</v>
      </c>
      <c r="AB425" s="408">
        <v>0</v>
      </c>
      <c r="AC425" s="408">
        <v>0</v>
      </c>
      <c r="AD425" s="408">
        <v>-81.651277591355409</v>
      </c>
      <c r="AE425" s="408">
        <v>-141.6646138025346</v>
      </c>
      <c r="AF425" s="408"/>
      <c r="AG425" s="408"/>
      <c r="AH425" s="408"/>
      <c r="AI425" s="408">
        <v>0</v>
      </c>
      <c r="AJ425" s="408">
        <v>0</v>
      </c>
      <c r="AK425" s="408">
        <v>0</v>
      </c>
      <c r="AL425" s="408">
        <v>0</v>
      </c>
      <c r="AM425" s="408"/>
      <c r="AN425" s="408">
        <v>0</v>
      </c>
      <c r="AO425" s="408">
        <v>0</v>
      </c>
      <c r="AP425" s="408">
        <v>0</v>
      </c>
      <c r="AQ425" s="408">
        <v>0</v>
      </c>
      <c r="AR425" s="408">
        <v>0</v>
      </c>
      <c r="AS425" s="408"/>
      <c r="AT425" s="408"/>
      <c r="AU425" s="408">
        <v>0</v>
      </c>
      <c r="AV425" s="408">
        <v>0</v>
      </c>
      <c r="AW425" s="408">
        <v>0</v>
      </c>
      <c r="AX425" s="408"/>
      <c r="AY425" s="408"/>
      <c r="AZ425" s="408">
        <v>0</v>
      </c>
      <c r="BA425" s="408"/>
      <c r="BB425" s="408">
        <v>0</v>
      </c>
      <c r="BC425" s="408">
        <v>0</v>
      </c>
      <c r="BD425" s="408">
        <v>0</v>
      </c>
      <c r="BE425" s="408">
        <v>0</v>
      </c>
      <c r="BF425" s="408"/>
      <c r="BG425" s="408">
        <v>0</v>
      </c>
      <c r="BH425" s="408">
        <v>0</v>
      </c>
      <c r="BI425" s="408">
        <v>0</v>
      </c>
      <c r="BJ425" s="408">
        <v>0</v>
      </c>
      <c r="BK425" s="408">
        <v>0</v>
      </c>
      <c r="BL425" s="408">
        <v>2</v>
      </c>
      <c r="BM425" s="408"/>
      <c r="BN425" s="408"/>
      <c r="BO425" s="408"/>
      <c r="BP425" s="408"/>
      <c r="BQ425" s="408"/>
      <c r="BR425" s="408">
        <v>-5.4504000000000055</v>
      </c>
      <c r="BS425" s="408"/>
      <c r="BT425" s="408"/>
      <c r="BU425" s="408"/>
      <c r="BV425" s="408">
        <v>0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-130.80959999999999</v>
      </c>
      <c r="CJ425" s="408">
        <v>83.547600000000017</v>
      </c>
      <c r="CK425" s="408"/>
      <c r="CL425" s="408"/>
      <c r="CM425" s="408"/>
      <c r="CN425" s="408"/>
      <c r="CO425" s="408">
        <v>87.059999999999988</v>
      </c>
      <c r="CP425" s="408">
        <v>0</v>
      </c>
      <c r="CQ425" s="408">
        <v>31</v>
      </c>
      <c r="CR425" s="408">
        <v>0.20985097377931083</v>
      </c>
      <c r="CS425" s="408">
        <v>0</v>
      </c>
      <c r="CT425" s="408">
        <v>0</v>
      </c>
      <c r="CU425" s="408">
        <v>0</v>
      </c>
      <c r="CV425" s="408">
        <v>0</v>
      </c>
      <c r="CW425" s="408"/>
      <c r="CX425" s="408"/>
      <c r="CY425" s="408"/>
      <c r="CZ425" s="408">
        <v>0.20985097377931083</v>
      </c>
      <c r="DA425" s="408">
        <v>0</v>
      </c>
      <c r="DB425" s="408">
        <v>0</v>
      </c>
      <c r="DC425" s="408"/>
      <c r="DD425" s="408"/>
      <c r="DE425" s="408">
        <v>0</v>
      </c>
      <c r="DF425" s="408">
        <v>0</v>
      </c>
      <c r="DG425" s="408">
        <v>0</v>
      </c>
      <c r="DH425" s="408">
        <v>0</v>
      </c>
      <c r="DI425" s="408">
        <v>0</v>
      </c>
      <c r="DJ425" s="408"/>
      <c r="DK425" s="408">
        <v>0</v>
      </c>
      <c r="DL425" s="408">
        <v>0</v>
      </c>
      <c r="DM425" s="408"/>
      <c r="DN425" s="408">
        <v>0</v>
      </c>
      <c r="DO425" s="408">
        <v>0</v>
      </c>
      <c r="DP425" s="408">
        <v>0</v>
      </c>
      <c r="DQ425" s="408">
        <v>0</v>
      </c>
      <c r="DR425" s="408">
        <v>0</v>
      </c>
      <c r="DS425" s="408"/>
      <c r="DT425" s="408"/>
      <c r="DU425" s="408">
        <v>-141.6646138025346</v>
      </c>
      <c r="DV425" s="408"/>
      <c r="DW425" s="408">
        <v>0</v>
      </c>
      <c r="DX425" s="408">
        <v>0</v>
      </c>
      <c r="DY425" s="408">
        <v>87.06</v>
      </c>
      <c r="DZ425" s="408"/>
      <c r="EA425" s="408">
        <v>0</v>
      </c>
      <c r="EB425" s="408"/>
      <c r="EC425" s="408">
        <v>86.86096688680351</v>
      </c>
      <c r="ED425" s="408"/>
      <c r="EE425" s="408">
        <v>0</v>
      </c>
      <c r="EF425" s="408">
        <v>0</v>
      </c>
      <c r="EG425" s="408"/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/>
      <c r="EN425" s="408"/>
      <c r="EO425" s="408">
        <v>0</v>
      </c>
      <c r="EP425" s="408">
        <v>0</v>
      </c>
      <c r="EQ425" s="408"/>
      <c r="ER425" s="408">
        <v>0</v>
      </c>
      <c r="ES425" s="408"/>
      <c r="ET425" s="408">
        <v>0</v>
      </c>
      <c r="EU425" s="408"/>
      <c r="EV425" s="408">
        <v>265</v>
      </c>
      <c r="EW425" s="408"/>
      <c r="EX425" s="408"/>
      <c r="EY425" s="408"/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432</v>
      </c>
      <c r="B426" s="408" t="s">
        <v>1031</v>
      </c>
      <c r="C426" s="408" t="s">
        <v>2227</v>
      </c>
      <c r="D426" s="408" t="s">
        <v>1952</v>
      </c>
      <c r="E426" s="408" t="s">
        <v>2238</v>
      </c>
      <c r="F426" s="408" t="s">
        <v>1317</v>
      </c>
      <c r="G426" s="408" t="s">
        <v>1317</v>
      </c>
      <c r="H426" s="408" t="s">
        <v>1317</v>
      </c>
      <c r="I426" s="408" t="s">
        <v>1317</v>
      </c>
      <c r="J426" s="408" t="s">
        <v>2228</v>
      </c>
      <c r="K426" s="828">
        <v>44621</v>
      </c>
      <c r="L426" s="408">
        <v>0</v>
      </c>
      <c r="M426" s="408">
        <v>0</v>
      </c>
      <c r="N426" s="408">
        <v>237.785</v>
      </c>
      <c r="O426" s="408">
        <v>237.785</v>
      </c>
      <c r="P426" s="408">
        <v>237.785</v>
      </c>
      <c r="Q426" s="408">
        <v>237.785</v>
      </c>
      <c r="R426" s="408"/>
      <c r="S426" s="408">
        <v>739.04</v>
      </c>
      <c r="T426" s="408">
        <v>252.22</v>
      </c>
      <c r="U426" s="408"/>
      <c r="V426" s="408">
        <v>235706.75909999997</v>
      </c>
      <c r="W426" s="408">
        <v>235706.75909999997</v>
      </c>
      <c r="X426" s="408">
        <v>161211.09645000001</v>
      </c>
      <c r="Y426" s="408">
        <v>0</v>
      </c>
      <c r="Z426" s="408">
        <v>14707.75284769662</v>
      </c>
      <c r="AA426" s="408">
        <v>0</v>
      </c>
      <c r="AB426" s="408">
        <v>0</v>
      </c>
      <c r="AC426" s="408">
        <v>0</v>
      </c>
      <c r="AD426" s="408">
        <v>29365.872273411238</v>
      </c>
      <c r="AE426" s="408">
        <v>120554.08690217839</v>
      </c>
      <c r="AF426" s="408">
        <v>59974.790764508696</v>
      </c>
      <c r="AG426" s="408">
        <v>0</v>
      </c>
      <c r="AH426" s="408">
        <v>0</v>
      </c>
      <c r="AI426" s="408">
        <v>0</v>
      </c>
      <c r="AJ426" s="408">
        <v>0</v>
      </c>
      <c r="AK426" s="408">
        <v>0</v>
      </c>
      <c r="AL426" s="408">
        <v>2273.4693245172666</v>
      </c>
      <c r="AM426" s="408"/>
      <c r="AN426" s="408">
        <v>557.20124313966289</v>
      </c>
      <c r="AO426" s="408">
        <v>0</v>
      </c>
      <c r="AP426" s="408">
        <v>0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0</v>
      </c>
      <c r="BF426" s="408">
        <v>0</v>
      </c>
      <c r="BG426" s="408">
        <v>8273.5502515414955</v>
      </c>
      <c r="BH426" s="408">
        <v>0</v>
      </c>
      <c r="BI426" s="408">
        <v>0</v>
      </c>
      <c r="BJ426" s="408">
        <v>0</v>
      </c>
      <c r="BK426" s="408">
        <v>59736.89</v>
      </c>
      <c r="BL426" s="408">
        <v>379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68248.341016050195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161214.48629999999</v>
      </c>
      <c r="CJ426" s="408">
        <v>-74492.302800000005</v>
      </c>
      <c r="CK426" s="408"/>
      <c r="CL426" s="408"/>
      <c r="CM426" s="408"/>
      <c r="CN426" s="408"/>
      <c r="CO426" s="408">
        <v>-74495.662649999984</v>
      </c>
      <c r="CP426" s="408">
        <v>0</v>
      </c>
      <c r="CQ426" s="408">
        <v>31</v>
      </c>
      <c r="CR426" s="408">
        <v>-578.33994700234325</v>
      </c>
      <c r="CS426" s="408">
        <v>0</v>
      </c>
      <c r="CT426" s="408">
        <v>0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-75.472877758140385</v>
      </c>
      <c r="DA426" s="408">
        <v>0</v>
      </c>
      <c r="DB426" s="408">
        <v>0</v>
      </c>
      <c r="DC426" s="408">
        <v>-8.4080820670351386E-6</v>
      </c>
      <c r="DD426" s="408">
        <v>0</v>
      </c>
      <c r="DE426" s="408">
        <v>0</v>
      </c>
      <c r="DF426" s="408">
        <v>0</v>
      </c>
      <c r="DG426" s="408">
        <v>-1.1598931450862437E-6</v>
      </c>
      <c r="DH426" s="408">
        <v>0</v>
      </c>
      <c r="DI426" s="408">
        <v>-427.65863908833308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-57.114355767083907</v>
      </c>
      <c r="DP426" s="408">
        <v>-18.094064820822609</v>
      </c>
      <c r="DQ426" s="408">
        <v>0</v>
      </c>
      <c r="DR426" s="408">
        <v>0</v>
      </c>
      <c r="DS426" s="408"/>
      <c r="DT426" s="408"/>
      <c r="DU426" s="408"/>
      <c r="DV426" s="408">
        <v>120554.08690217839</v>
      </c>
      <c r="DW426" s="408">
        <v>0</v>
      </c>
      <c r="DX426" s="408">
        <v>0</v>
      </c>
      <c r="DY426" s="408">
        <v>-74495.662649999984</v>
      </c>
      <c r="DZ426" s="408">
        <v>0</v>
      </c>
      <c r="EA426" s="408">
        <v>0</v>
      </c>
      <c r="EB426" s="408">
        <v>0</v>
      </c>
      <c r="EC426" s="408">
        <v>-73917.150298909604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265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433</v>
      </c>
      <c r="B427" s="408" t="s">
        <v>2230</v>
      </c>
      <c r="C427" s="408" t="s">
        <v>2227</v>
      </c>
      <c r="D427" s="408" t="s">
        <v>1952</v>
      </c>
      <c r="E427" s="408" t="s">
        <v>2238</v>
      </c>
      <c r="F427" s="408" t="s">
        <v>1317</v>
      </c>
      <c r="G427" s="408" t="s">
        <v>1317</v>
      </c>
      <c r="H427" s="408" t="s">
        <v>1317</v>
      </c>
      <c r="I427" s="408" t="s">
        <v>1317</v>
      </c>
      <c r="J427" s="408" t="s">
        <v>2228</v>
      </c>
      <c r="K427" s="828">
        <v>44621</v>
      </c>
      <c r="L427" s="408">
        <v>0</v>
      </c>
      <c r="M427" s="408">
        <v>0</v>
      </c>
      <c r="N427" s="408">
        <v>3.319</v>
      </c>
      <c r="O427" s="408">
        <v>3.319</v>
      </c>
      <c r="P427" s="408">
        <v>3.319</v>
      </c>
      <c r="Q427" s="408">
        <v>3.319</v>
      </c>
      <c r="R427" s="408"/>
      <c r="S427" s="408">
        <v>739.04</v>
      </c>
      <c r="T427" s="408">
        <v>252.22</v>
      </c>
      <c r="U427" s="408"/>
      <c r="V427" s="408">
        <v>3289.9919399999999</v>
      </c>
      <c r="W427" s="408">
        <v>3289.9919399999999</v>
      </c>
      <c r="X427" s="408">
        <v>2250.1824299999998</v>
      </c>
      <c r="Y427" s="408">
        <v>0</v>
      </c>
      <c r="Z427" s="408">
        <v>205.29062683308484</v>
      </c>
      <c r="AA427" s="408">
        <v>0</v>
      </c>
      <c r="AB427" s="408">
        <v>0</v>
      </c>
      <c r="AC427" s="408">
        <v>0</v>
      </c>
      <c r="AD427" s="408">
        <v>409.88847099460395</v>
      </c>
      <c r="AE427" s="408">
        <v>1682.6924088076628</v>
      </c>
      <c r="AF427" s="408">
        <v>837.12736525602691</v>
      </c>
      <c r="AG427" s="408">
        <v>0</v>
      </c>
      <c r="AH427" s="408">
        <v>0</v>
      </c>
      <c r="AI427" s="408">
        <v>0</v>
      </c>
      <c r="AJ427" s="408">
        <v>0</v>
      </c>
      <c r="AK427" s="408">
        <v>0</v>
      </c>
      <c r="AL427" s="408">
        <v>31.733055861693579</v>
      </c>
      <c r="AM427" s="408"/>
      <c r="AN427" s="408">
        <v>7.7774078515488405</v>
      </c>
      <c r="AO427" s="408">
        <v>0</v>
      </c>
      <c r="AP427" s="408">
        <v>0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0</v>
      </c>
      <c r="BF427" s="408">
        <v>0</v>
      </c>
      <c r="BG427" s="408">
        <v>115.48210898444486</v>
      </c>
      <c r="BH427" s="408">
        <v>0</v>
      </c>
      <c r="BI427" s="408">
        <v>0</v>
      </c>
      <c r="BJ427" s="408">
        <v>0</v>
      </c>
      <c r="BK427" s="408">
        <v>969.14</v>
      </c>
      <c r="BL427" s="408">
        <v>3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952.60947424047174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2250.8604</v>
      </c>
      <c r="CJ427" s="408">
        <v>-1039.1615400000005</v>
      </c>
      <c r="CK427" s="408"/>
      <c r="CL427" s="408"/>
      <c r="CM427" s="408"/>
      <c r="CN427" s="408"/>
      <c r="CO427" s="408">
        <v>-1039.8095099999998</v>
      </c>
      <c r="CP427" s="408">
        <v>0</v>
      </c>
      <c r="CQ427" s="408">
        <v>31</v>
      </c>
      <c r="CR427" s="408">
        <v>-8.0724616107022484</v>
      </c>
      <c r="CS427" s="408">
        <v>0</v>
      </c>
      <c r="CT427" s="408">
        <v>0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-1.0534494660271321</v>
      </c>
      <c r="DA427" s="408">
        <v>0</v>
      </c>
      <c r="DB427" s="408">
        <v>0</v>
      </c>
      <c r="DC427" s="408">
        <v>-1.17359832074726E-7</v>
      </c>
      <c r="DD427" s="408">
        <v>0</v>
      </c>
      <c r="DE427" s="408">
        <v>0</v>
      </c>
      <c r="DF427" s="408">
        <v>0</v>
      </c>
      <c r="DG427" s="408">
        <v>-1.6189758866858028E-8</v>
      </c>
      <c r="DH427" s="408">
        <v>0</v>
      </c>
      <c r="DI427" s="408">
        <v>-5.9692538349104325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-0.79720145001135734</v>
      </c>
      <c r="DP427" s="408">
        <v>-0.25255672620354552</v>
      </c>
      <c r="DQ427" s="408">
        <v>0</v>
      </c>
      <c r="DR427" s="408">
        <v>0</v>
      </c>
      <c r="DS427" s="408"/>
      <c r="DT427" s="408"/>
      <c r="DU427" s="408"/>
      <c r="DV427" s="408">
        <v>1682.6924088076628</v>
      </c>
      <c r="DW427" s="408">
        <v>0</v>
      </c>
      <c r="DX427" s="408">
        <v>0</v>
      </c>
      <c r="DY427" s="408">
        <v>-1039.80951</v>
      </c>
      <c r="DZ427" s="408">
        <v>0</v>
      </c>
      <c r="EA427" s="408">
        <v>0</v>
      </c>
      <c r="EB427" s="408">
        <v>0</v>
      </c>
      <c r="EC427" s="408">
        <v>-1031.7346419752339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265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434</v>
      </c>
      <c r="B428" s="408" t="s">
        <v>1031</v>
      </c>
      <c r="C428" s="408" t="s">
        <v>2227</v>
      </c>
      <c r="D428" s="408" t="s">
        <v>2240</v>
      </c>
      <c r="E428" s="408" t="s">
        <v>2241</v>
      </c>
      <c r="F428" s="408" t="s">
        <v>2242</v>
      </c>
      <c r="G428" s="408" t="s">
        <v>1317</v>
      </c>
      <c r="H428" s="408" t="s">
        <v>1317</v>
      </c>
      <c r="I428" s="408" t="s">
        <v>1317</v>
      </c>
      <c r="J428" s="408" t="s">
        <v>2228</v>
      </c>
      <c r="K428" s="828">
        <v>44621</v>
      </c>
      <c r="L428" s="408">
        <v>0</v>
      </c>
      <c r="M428" s="408">
        <v>0</v>
      </c>
      <c r="N428" s="408">
        <v>933.61500000000001</v>
      </c>
      <c r="O428" s="408">
        <v>933.61500000000001</v>
      </c>
      <c r="P428" s="408">
        <v>933.61500000000001</v>
      </c>
      <c r="Q428" s="408">
        <v>933.61500000000001</v>
      </c>
      <c r="R428" s="408"/>
      <c r="S428" s="408">
        <v>406.47</v>
      </c>
      <c r="T428" s="408">
        <v>138.72</v>
      </c>
      <c r="U428" s="408"/>
      <c r="V428" s="408">
        <v>508997.56185000006</v>
      </c>
      <c r="W428" s="408">
        <v>508997.56185000006</v>
      </c>
      <c r="X428" s="408">
        <v>348126.36119999998</v>
      </c>
      <c r="Y428" s="408">
        <v>0</v>
      </c>
      <c r="Z428" s="408">
        <v>31760.869151528652</v>
      </c>
      <c r="AA428" s="408">
        <v>0</v>
      </c>
      <c r="AB428" s="408">
        <v>0</v>
      </c>
      <c r="AC428" s="408">
        <v>0</v>
      </c>
      <c r="AD428" s="408">
        <v>63414.556693641382</v>
      </c>
      <c r="AE428" s="408">
        <v>260332.26281618903</v>
      </c>
      <c r="AF428" s="408">
        <v>129513.42748190017</v>
      </c>
      <c r="AG428" s="408">
        <v>0</v>
      </c>
      <c r="AH428" s="408">
        <v>0</v>
      </c>
      <c r="AI428" s="408">
        <v>0</v>
      </c>
      <c r="AJ428" s="408">
        <v>0</v>
      </c>
      <c r="AK428" s="408">
        <v>0</v>
      </c>
      <c r="AL428" s="408">
        <v>4909.4761438907144</v>
      </c>
      <c r="AM428" s="408"/>
      <c r="AN428" s="408">
        <v>1203.2562661127099</v>
      </c>
      <c r="AO428" s="408">
        <v>0</v>
      </c>
      <c r="AP428" s="408">
        <v>0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>
        <v>0</v>
      </c>
      <c r="BG428" s="408">
        <v>17866.437495851715</v>
      </c>
      <c r="BH428" s="408">
        <v>0</v>
      </c>
      <c r="BI428" s="408">
        <v>0</v>
      </c>
      <c r="BJ428" s="408">
        <v>0</v>
      </c>
      <c r="BK428" s="408">
        <v>120174.57</v>
      </c>
      <c r="BL428" s="408">
        <v>39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147379.86497775189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348128.22560000001</v>
      </c>
      <c r="CJ428" s="408">
        <v>-160869.36625000008</v>
      </c>
      <c r="CK428" s="408"/>
      <c r="CL428" s="408"/>
      <c r="CM428" s="408"/>
      <c r="CN428" s="408"/>
      <c r="CO428" s="408">
        <v>-160871.20065000004</v>
      </c>
      <c r="CP428" s="408">
        <v>0</v>
      </c>
      <c r="CQ428" s="408">
        <v>31</v>
      </c>
      <c r="CR428" s="408">
        <v>-1248.9045452451392</v>
      </c>
      <c r="CS428" s="408">
        <v>0</v>
      </c>
      <c r="CT428" s="408">
        <v>0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-162.98099511123291</v>
      </c>
      <c r="DA428" s="408">
        <v>0</v>
      </c>
      <c r="DB428" s="408">
        <v>0</v>
      </c>
      <c r="DC428" s="408">
        <v>-1.8156002624891698E-5</v>
      </c>
      <c r="DD428" s="408">
        <v>0</v>
      </c>
      <c r="DE428" s="408">
        <v>0</v>
      </c>
      <c r="DF428" s="408">
        <v>0</v>
      </c>
      <c r="DG428" s="408">
        <v>-2.5047011149581522E-6</v>
      </c>
      <c r="DH428" s="408">
        <v>0</v>
      </c>
      <c r="DI428" s="408">
        <v>-923.5136202150934</v>
      </c>
      <c r="DJ428" s="408"/>
      <c r="DK428" s="408">
        <v>0</v>
      </c>
      <c r="DL428" s="408">
        <v>0</v>
      </c>
      <c r="DM428" s="408">
        <v>0</v>
      </c>
      <c r="DN428" s="408">
        <v>0</v>
      </c>
      <c r="DO428" s="408">
        <v>-123.33641984447331</v>
      </c>
      <c r="DP428" s="408">
        <v>-39.073489413677635</v>
      </c>
      <c r="DQ428" s="408">
        <v>0</v>
      </c>
      <c r="DR428" s="408">
        <v>0</v>
      </c>
      <c r="DS428" s="408"/>
      <c r="DT428" s="408"/>
      <c r="DU428" s="408"/>
      <c r="DV428" s="408">
        <v>260332.26281618903</v>
      </c>
      <c r="DW428" s="408">
        <v>0</v>
      </c>
      <c r="DX428" s="408">
        <v>0</v>
      </c>
      <c r="DY428" s="408">
        <v>-160871.20065000004</v>
      </c>
      <c r="DZ428" s="408">
        <v>0</v>
      </c>
      <c r="EA428" s="408">
        <v>0</v>
      </c>
      <c r="EB428" s="408">
        <v>0</v>
      </c>
      <c r="EC428" s="408">
        <v>-159621.45699675783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0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265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435</v>
      </c>
      <c r="B429" s="408" t="s">
        <v>1031</v>
      </c>
      <c r="C429" s="408" t="s">
        <v>2227</v>
      </c>
      <c r="D429" s="408" t="s">
        <v>1952</v>
      </c>
      <c r="E429" s="408" t="s">
        <v>996</v>
      </c>
      <c r="F429" s="408" t="s">
        <v>2243</v>
      </c>
      <c r="G429" s="408" t="s">
        <v>1317</v>
      </c>
      <c r="H429" s="408" t="s">
        <v>1317</v>
      </c>
      <c r="I429" s="408" t="s">
        <v>1317</v>
      </c>
      <c r="J429" s="408" t="s">
        <v>2228</v>
      </c>
      <c r="K429" s="828">
        <v>44621</v>
      </c>
      <c r="L429" s="408">
        <v>0</v>
      </c>
      <c r="M429" s="408">
        <v>0</v>
      </c>
      <c r="N429" s="408">
        <v>84.638000000000005</v>
      </c>
      <c r="O429" s="408">
        <v>79.559719999999999</v>
      </c>
      <c r="P429" s="408">
        <v>84.638000000000005</v>
      </c>
      <c r="Q429" s="408">
        <v>79.559719999999999</v>
      </c>
      <c r="R429" s="408"/>
      <c r="S429" s="408">
        <v>739.04</v>
      </c>
      <c r="T429" s="408">
        <v>252.22</v>
      </c>
      <c r="U429" s="408"/>
      <c r="V429" s="408">
        <v>83898.263879999999</v>
      </c>
      <c r="W429" s="408">
        <v>83898.263879999999</v>
      </c>
      <c r="X429" s="408">
        <v>57382.024860000005</v>
      </c>
      <c r="Y429" s="408">
        <v>0</v>
      </c>
      <c r="Z429" s="408">
        <v>5235.1274702918463</v>
      </c>
      <c r="AA429" s="408">
        <v>0</v>
      </c>
      <c r="AB429" s="408">
        <v>0</v>
      </c>
      <c r="AC429" s="408">
        <v>0</v>
      </c>
      <c r="AD429" s="408">
        <v>10452.588251895539</v>
      </c>
      <c r="AE429" s="408">
        <v>42910.430881790591</v>
      </c>
      <c r="AF429" s="408">
        <v>21347.630593714857</v>
      </c>
      <c r="AG429" s="408">
        <v>0</v>
      </c>
      <c r="AH429" s="408">
        <v>0</v>
      </c>
      <c r="AI429" s="408">
        <v>0</v>
      </c>
      <c r="AJ429" s="408">
        <v>0</v>
      </c>
      <c r="AK429" s="408">
        <v>0</v>
      </c>
      <c r="AL429" s="408">
        <v>809.22638807533031</v>
      </c>
      <c r="AM429" s="408"/>
      <c r="AN429" s="408">
        <v>198.3321017593826</v>
      </c>
      <c r="AO429" s="408">
        <v>0</v>
      </c>
      <c r="AP429" s="408">
        <v>0</v>
      </c>
      <c r="AQ429" s="408">
        <v>0</v>
      </c>
      <c r="AR429" s="408">
        <v>0</v>
      </c>
      <c r="AS429" s="408">
        <v>0</v>
      </c>
      <c r="AT429" s="408">
        <v>0</v>
      </c>
      <c r="AU429" s="408">
        <v>0</v>
      </c>
      <c r="AV429" s="408">
        <v>0</v>
      </c>
      <c r="AW429" s="408">
        <v>0</v>
      </c>
      <c r="AX429" s="408">
        <v>0</v>
      </c>
      <c r="AY429" s="408">
        <v>0</v>
      </c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>
        <v>0</v>
      </c>
      <c r="BG429" s="408">
        <v>2944.91555897121</v>
      </c>
      <c r="BH429" s="408">
        <v>0</v>
      </c>
      <c r="BI429" s="408">
        <v>0</v>
      </c>
      <c r="BJ429" s="408">
        <v>0</v>
      </c>
      <c r="BK429" s="408">
        <v>23126.11</v>
      </c>
      <c r="BL429" s="408">
        <v>28</v>
      </c>
      <c r="BM429" s="408"/>
      <c r="BN429" s="408"/>
      <c r="BO429" s="408"/>
      <c r="BP429" s="408"/>
      <c r="BQ429" s="408">
        <v>3442.9214916000046</v>
      </c>
      <c r="BR429" s="408"/>
      <c r="BS429" s="408"/>
      <c r="BT429" s="408"/>
      <c r="BU429" s="408"/>
      <c r="BV429" s="408">
        <v>24292.546152686067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53939.2932</v>
      </c>
      <c r="CJ429" s="408">
        <v>-24925.104847199997</v>
      </c>
      <c r="CK429" s="408"/>
      <c r="CL429" s="408"/>
      <c r="CM429" s="408"/>
      <c r="CN429" s="408"/>
      <c r="CO429" s="408">
        <v>-26516.239019999997</v>
      </c>
      <c r="CP429" s="408">
        <v>0</v>
      </c>
      <c r="CQ429" s="408">
        <v>31</v>
      </c>
      <c r="CR429" s="408">
        <v>-205.85628376216482</v>
      </c>
      <c r="CS429" s="408">
        <v>0</v>
      </c>
      <c r="CT429" s="408">
        <v>0</v>
      </c>
      <c r="CU429" s="408">
        <v>0</v>
      </c>
      <c r="CV429" s="408">
        <v>0</v>
      </c>
      <c r="CW429" s="408">
        <v>0</v>
      </c>
      <c r="CX429" s="408">
        <v>0</v>
      </c>
      <c r="CY429" s="408">
        <v>0</v>
      </c>
      <c r="CZ429" s="408">
        <v>-26.864072282496636</v>
      </c>
      <c r="DA429" s="408">
        <v>0</v>
      </c>
      <c r="DB429" s="408">
        <v>0</v>
      </c>
      <c r="DC429" s="408">
        <v>-2.9928014555480331E-6</v>
      </c>
      <c r="DD429" s="408">
        <v>0</v>
      </c>
      <c r="DE429" s="408">
        <v>0</v>
      </c>
      <c r="DF429" s="408">
        <v>0</v>
      </c>
      <c r="DG429" s="408">
        <v>-4.1285647967015393E-7</v>
      </c>
      <c r="DH429" s="408">
        <v>0</v>
      </c>
      <c r="DI429" s="408">
        <v>-152.22226757431417</v>
      </c>
      <c r="DJ429" s="408"/>
      <c r="DK429" s="408">
        <v>0</v>
      </c>
      <c r="DL429" s="408">
        <v>0</v>
      </c>
      <c r="DM429" s="408">
        <v>0</v>
      </c>
      <c r="DN429" s="408">
        <v>0</v>
      </c>
      <c r="DO429" s="408">
        <v>-20.329477651720822</v>
      </c>
      <c r="DP429" s="408">
        <v>-6.4404628479709913</v>
      </c>
      <c r="DQ429" s="408">
        <v>0</v>
      </c>
      <c r="DR429" s="408">
        <v>0</v>
      </c>
      <c r="DS429" s="408"/>
      <c r="DT429" s="408"/>
      <c r="DU429" s="408"/>
      <c r="DV429" s="408">
        <v>42910.430881790591</v>
      </c>
      <c r="DW429" s="408">
        <v>0</v>
      </c>
      <c r="DX429" s="408">
        <v>0</v>
      </c>
      <c r="DY429" s="408">
        <v>-26516.239020000001</v>
      </c>
      <c r="DZ429" s="408">
        <v>0</v>
      </c>
      <c r="EA429" s="408">
        <v>0</v>
      </c>
      <c r="EB429" s="408">
        <v>0</v>
      </c>
      <c r="EC429" s="408">
        <v>-26310.32137014157</v>
      </c>
      <c r="ED429" s="408">
        <v>0</v>
      </c>
      <c r="EE429" s="408">
        <v>0</v>
      </c>
      <c r="EF429" s="408">
        <v>0</v>
      </c>
      <c r="EG429" s="408">
        <v>0</v>
      </c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>
        <v>0</v>
      </c>
      <c r="EN429" s="408">
        <v>0</v>
      </c>
      <c r="EO429" s="408">
        <v>0</v>
      </c>
      <c r="EP429" s="408">
        <v>0</v>
      </c>
      <c r="EQ429" s="408">
        <v>0</v>
      </c>
      <c r="ER429" s="408">
        <v>0</v>
      </c>
      <c r="ES429" s="408">
        <v>0</v>
      </c>
      <c r="ET429" s="408">
        <v>0</v>
      </c>
      <c r="EU429" s="408">
        <v>0</v>
      </c>
      <c r="EV429" s="408">
        <v>265</v>
      </c>
      <c r="EW429" s="408">
        <v>0</v>
      </c>
      <c r="EX429" s="408">
        <v>0</v>
      </c>
      <c r="EY429" s="408">
        <v>0</v>
      </c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436</v>
      </c>
      <c r="B430" s="408" t="s">
        <v>1031</v>
      </c>
      <c r="C430" s="408" t="s">
        <v>2227</v>
      </c>
      <c r="D430" s="408" t="s">
        <v>1952</v>
      </c>
      <c r="E430" s="408" t="s">
        <v>2244</v>
      </c>
      <c r="F430" s="408" t="s">
        <v>1317</v>
      </c>
      <c r="G430" s="408" t="s">
        <v>1317</v>
      </c>
      <c r="H430" s="408" t="s">
        <v>1317</v>
      </c>
      <c r="I430" s="408" t="s">
        <v>1317</v>
      </c>
      <c r="J430" s="408" t="s">
        <v>2228</v>
      </c>
      <c r="K430" s="828">
        <v>44621</v>
      </c>
      <c r="L430" s="408">
        <v>0</v>
      </c>
      <c r="M430" s="408">
        <v>0</v>
      </c>
      <c r="N430" s="408">
        <v>9.032</v>
      </c>
      <c r="O430" s="408">
        <v>9.032</v>
      </c>
      <c r="P430" s="408">
        <v>9.032</v>
      </c>
      <c r="Q430" s="408">
        <v>9.032</v>
      </c>
      <c r="R430" s="408"/>
      <c r="S430" s="408">
        <v>739.04</v>
      </c>
      <c r="T430" s="408">
        <v>252.22</v>
      </c>
      <c r="U430" s="408"/>
      <c r="V430" s="408">
        <v>8953.0603199999987</v>
      </c>
      <c r="W430" s="408">
        <v>8953.0603199999987</v>
      </c>
      <c r="X430" s="408">
        <v>6123.4250400000001</v>
      </c>
      <c r="Y430" s="408">
        <v>0</v>
      </c>
      <c r="Z430" s="408">
        <v>558.65771062260387</v>
      </c>
      <c r="AA430" s="408">
        <v>0</v>
      </c>
      <c r="AB430" s="408">
        <v>0</v>
      </c>
      <c r="AC430" s="408">
        <v>0</v>
      </c>
      <c r="AD430" s="408">
        <v>1115.4301506547945</v>
      </c>
      <c r="AE430" s="408">
        <v>4579.1135391234739</v>
      </c>
      <c r="AF430" s="408">
        <v>2278.0760358518937</v>
      </c>
      <c r="AG430" s="408">
        <v>0</v>
      </c>
      <c r="AH430" s="408">
        <v>0</v>
      </c>
      <c r="AI430" s="408">
        <v>0</v>
      </c>
      <c r="AJ430" s="408">
        <v>0</v>
      </c>
      <c r="AK430" s="408">
        <v>0</v>
      </c>
      <c r="AL430" s="408">
        <v>86.355215589881411</v>
      </c>
      <c r="AM430" s="408"/>
      <c r="AN430" s="408">
        <v>21.16467240590212</v>
      </c>
      <c r="AO430" s="408">
        <v>0</v>
      </c>
      <c r="AP430" s="408">
        <v>0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0</v>
      </c>
      <c r="BF430" s="408">
        <v>0</v>
      </c>
      <c r="BG430" s="408">
        <v>314.26164758888399</v>
      </c>
      <c r="BH430" s="408">
        <v>0</v>
      </c>
      <c r="BI430" s="408">
        <v>0</v>
      </c>
      <c r="BJ430" s="408">
        <v>0</v>
      </c>
      <c r="BK430" s="408">
        <v>2468.58</v>
      </c>
      <c r="BL430" s="408">
        <v>11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2592.3376834407777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6122.0690999999988</v>
      </c>
      <c r="CJ430" s="408">
        <v>-2831.0212200000005</v>
      </c>
      <c r="CK430" s="408"/>
      <c r="CL430" s="408"/>
      <c r="CM430" s="408"/>
      <c r="CN430" s="408"/>
      <c r="CO430" s="408">
        <v>-2829.6352799999995</v>
      </c>
      <c r="CP430" s="408">
        <v>0</v>
      </c>
      <c r="CQ430" s="408">
        <v>31</v>
      </c>
      <c r="CR430" s="408">
        <v>-21.967602671847999</v>
      </c>
      <c r="CS430" s="408">
        <v>0</v>
      </c>
      <c r="CT430" s="408">
        <v>0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-2.8667537141179764</v>
      </c>
      <c r="DA430" s="408">
        <v>0</v>
      </c>
      <c r="DB430" s="408">
        <v>0</v>
      </c>
      <c r="DC430" s="408">
        <v>-3.1937179301166907E-7</v>
      </c>
      <c r="DD430" s="408">
        <v>0</v>
      </c>
      <c r="DE430" s="408">
        <v>0</v>
      </c>
      <c r="DF430" s="408">
        <v>0</v>
      </c>
      <c r="DG430" s="408">
        <v>-4.4057230752514442E-8</v>
      </c>
      <c r="DH430" s="408">
        <v>0</v>
      </c>
      <c r="DI430" s="408">
        <v>-16.244139993043291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-2.1694255789402206</v>
      </c>
      <c r="DP430" s="408">
        <v>-0.68728302231709293</v>
      </c>
      <c r="DQ430" s="408">
        <v>0</v>
      </c>
      <c r="DR430" s="408">
        <v>0</v>
      </c>
      <c r="DS430" s="408"/>
      <c r="DT430" s="408"/>
      <c r="DU430" s="408"/>
      <c r="DV430" s="408">
        <v>4579.1135391234739</v>
      </c>
      <c r="DW430" s="408">
        <v>0</v>
      </c>
      <c r="DX430" s="408">
        <v>0</v>
      </c>
      <c r="DY430" s="408">
        <v>-2829.6352799999995</v>
      </c>
      <c r="DZ430" s="408">
        <v>0</v>
      </c>
      <c r="EA430" s="408">
        <v>0</v>
      </c>
      <c r="EB430" s="408">
        <v>0</v>
      </c>
      <c r="EC430" s="408">
        <v>-2807.661128749718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265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437</v>
      </c>
      <c r="B431" s="408" t="s">
        <v>1031</v>
      </c>
      <c r="C431" s="408" t="s">
        <v>2227</v>
      </c>
      <c r="D431" s="408" t="s">
        <v>2237</v>
      </c>
      <c r="E431" s="408" t="s">
        <v>969</v>
      </c>
      <c r="F431" s="408" t="s">
        <v>2245</v>
      </c>
      <c r="G431" s="408" t="s">
        <v>2246</v>
      </c>
      <c r="H431" s="408" t="s">
        <v>1317</v>
      </c>
      <c r="I431" s="408" t="s">
        <v>1317</v>
      </c>
      <c r="J431" s="408" t="s">
        <v>2228</v>
      </c>
      <c r="K431" s="828">
        <v>44621</v>
      </c>
      <c r="L431" s="408">
        <v>0</v>
      </c>
      <c r="M431" s="408">
        <v>0</v>
      </c>
      <c r="N431" s="408">
        <v>0</v>
      </c>
      <c r="O431" s="408">
        <v>0</v>
      </c>
      <c r="P431" s="408">
        <v>0</v>
      </c>
      <c r="Q431" s="408">
        <v>0</v>
      </c>
      <c r="R431" s="408"/>
      <c r="S431" s="408"/>
      <c r="T431" s="408"/>
      <c r="U431" s="408"/>
      <c r="V431" s="408"/>
      <c r="W431" s="408"/>
      <c r="X431" s="408"/>
      <c r="Y431" s="408"/>
      <c r="Z431" s="408"/>
      <c r="AA431" s="408">
        <v>0</v>
      </c>
      <c r="AB431" s="408"/>
      <c r="AC431" s="408"/>
      <c r="AD431" s="408"/>
      <c r="AE431" s="408"/>
      <c r="AF431" s="408"/>
      <c r="AG431" s="408"/>
      <c r="AH431" s="408"/>
      <c r="AI431" s="408"/>
      <c r="AJ431" s="408"/>
      <c r="AK431" s="408"/>
      <c r="AL431" s="408"/>
      <c r="AM431" s="408"/>
      <c r="AN431" s="408"/>
      <c r="AO431" s="408"/>
      <c r="AP431" s="408"/>
      <c r="AQ431" s="408"/>
      <c r="AR431" s="408"/>
      <c r="AS431" s="408"/>
      <c r="AT431" s="408"/>
      <c r="AU431" s="408"/>
      <c r="AV431" s="408"/>
      <c r="AW431" s="408"/>
      <c r="AX431" s="408"/>
      <c r="AY431" s="408"/>
      <c r="AZ431" s="408">
        <v>0</v>
      </c>
      <c r="BA431" s="408"/>
      <c r="BB431" s="408"/>
      <c r="BC431" s="408"/>
      <c r="BD431" s="408"/>
      <c r="BE431" s="408"/>
      <c r="BF431" s="408"/>
      <c r="BG431" s="408"/>
      <c r="BH431" s="408"/>
      <c r="BI431" s="408">
        <v>0</v>
      </c>
      <c r="BJ431" s="408">
        <v>0</v>
      </c>
      <c r="BK431" s="408">
        <v>402.12</v>
      </c>
      <c r="BL431" s="408">
        <v>36</v>
      </c>
      <c r="BM431" s="408"/>
      <c r="BN431" s="408"/>
      <c r="BO431" s="408"/>
      <c r="BP431" s="408"/>
      <c r="BQ431" s="408"/>
      <c r="BR431" s="408"/>
      <c r="BS431" s="408"/>
      <c r="BT431" s="408"/>
      <c r="BU431" s="408"/>
      <c r="BV431" s="408"/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/>
      <c r="CJ431" s="408">
        <v>-0.03</v>
      </c>
      <c r="CK431" s="408"/>
      <c r="CL431" s="408"/>
      <c r="CM431" s="408"/>
      <c r="CN431" s="408"/>
      <c r="CO431" s="408">
        <v>0</v>
      </c>
      <c r="CP431" s="408">
        <v>0</v>
      </c>
      <c r="CQ431" s="408">
        <v>31</v>
      </c>
      <c r="CR431" s="408"/>
      <c r="CS431" s="408"/>
      <c r="CT431" s="408"/>
      <c r="CU431" s="408"/>
      <c r="CV431" s="408"/>
      <c r="CW431" s="408"/>
      <c r="CX431" s="408"/>
      <c r="CY431" s="408"/>
      <c r="CZ431" s="408"/>
      <c r="DA431" s="408"/>
      <c r="DB431" s="408"/>
      <c r="DC431" s="408"/>
      <c r="DD431" s="408"/>
      <c r="DE431" s="408"/>
      <c r="DF431" s="408"/>
      <c r="DG431" s="408"/>
      <c r="DH431" s="408"/>
      <c r="DI431" s="408"/>
      <c r="DJ431" s="408"/>
      <c r="DK431" s="408">
        <v>0</v>
      </c>
      <c r="DL431" s="408"/>
      <c r="DM431" s="408"/>
      <c r="DN431" s="408"/>
      <c r="DO431" s="408"/>
      <c r="DP431" s="408"/>
      <c r="DQ431" s="408"/>
      <c r="DR431" s="408"/>
      <c r="DS431" s="408"/>
      <c r="DT431" s="408"/>
      <c r="DU431" s="408"/>
      <c r="DV431" s="408"/>
      <c r="DW431" s="408"/>
      <c r="DX431" s="408"/>
      <c r="DY431" s="408"/>
      <c r="DZ431" s="408"/>
      <c r="EA431" s="408"/>
      <c r="EB431" s="408"/>
      <c r="EC431" s="408"/>
      <c r="ED431" s="408"/>
      <c r="EE431" s="408"/>
      <c r="EF431" s="408"/>
      <c r="EG431" s="408"/>
      <c r="EH431" s="408"/>
      <c r="EI431" s="408"/>
      <c r="EJ431" s="408"/>
      <c r="EK431" s="408"/>
      <c r="EL431" s="408"/>
      <c r="EM431" s="408"/>
      <c r="EN431" s="408"/>
      <c r="EO431" s="408"/>
      <c r="EP431" s="408"/>
      <c r="EQ431" s="408"/>
      <c r="ER431" s="408"/>
      <c r="ES431" s="408"/>
      <c r="ET431" s="408"/>
      <c r="EU431" s="408"/>
      <c r="EV431" s="408">
        <v>265</v>
      </c>
      <c r="EW431" s="408"/>
      <c r="EX431" s="408"/>
      <c r="EY431" s="408"/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438</v>
      </c>
      <c r="B432" s="408" t="s">
        <v>2230</v>
      </c>
      <c r="C432" s="408" t="s">
        <v>2227</v>
      </c>
      <c r="D432" s="408" t="s">
        <v>2237</v>
      </c>
      <c r="E432" s="408" t="s">
        <v>969</v>
      </c>
      <c r="F432" s="408" t="s">
        <v>2245</v>
      </c>
      <c r="G432" s="408" t="s">
        <v>2246</v>
      </c>
      <c r="H432" s="408" t="s">
        <v>1317</v>
      </c>
      <c r="I432" s="408" t="s">
        <v>1317</v>
      </c>
      <c r="J432" s="408" t="s">
        <v>2228</v>
      </c>
      <c r="K432" s="828">
        <v>44621</v>
      </c>
      <c r="L432" s="408">
        <v>0</v>
      </c>
      <c r="M432" s="408">
        <v>0</v>
      </c>
      <c r="N432" s="408">
        <v>0</v>
      </c>
      <c r="O432" s="408">
        <v>0</v>
      </c>
      <c r="P432" s="408">
        <v>0</v>
      </c>
      <c r="Q432" s="408">
        <v>0</v>
      </c>
      <c r="R432" s="408"/>
      <c r="S432" s="408"/>
      <c r="T432" s="408"/>
      <c r="U432" s="408"/>
      <c r="V432" s="408"/>
      <c r="W432" s="408"/>
      <c r="X432" s="408"/>
      <c r="Y432" s="408"/>
      <c r="Z432" s="408"/>
      <c r="AA432" s="408">
        <v>0</v>
      </c>
      <c r="AB432" s="408"/>
      <c r="AC432" s="408"/>
      <c r="AD432" s="408"/>
      <c r="AE432" s="408"/>
      <c r="AF432" s="408"/>
      <c r="AG432" s="408"/>
      <c r="AH432" s="408"/>
      <c r="AI432" s="408"/>
      <c r="AJ432" s="408"/>
      <c r="AK432" s="408"/>
      <c r="AL432" s="408"/>
      <c r="AM432" s="408"/>
      <c r="AN432" s="408"/>
      <c r="AO432" s="408"/>
      <c r="AP432" s="408"/>
      <c r="AQ432" s="408"/>
      <c r="AR432" s="408"/>
      <c r="AS432" s="408"/>
      <c r="AT432" s="408"/>
      <c r="AU432" s="408"/>
      <c r="AV432" s="408"/>
      <c r="AW432" s="408"/>
      <c r="AX432" s="408"/>
      <c r="AY432" s="408"/>
      <c r="AZ432" s="408">
        <v>0</v>
      </c>
      <c r="BA432" s="408"/>
      <c r="BB432" s="408"/>
      <c r="BC432" s="408"/>
      <c r="BD432" s="408"/>
      <c r="BE432" s="408"/>
      <c r="BF432" s="408"/>
      <c r="BG432" s="408"/>
      <c r="BH432" s="408"/>
      <c r="BI432" s="408">
        <v>0</v>
      </c>
      <c r="BJ432" s="408">
        <v>0</v>
      </c>
      <c r="BK432" s="408">
        <v>43.72</v>
      </c>
      <c r="BL432" s="408">
        <v>4</v>
      </c>
      <c r="BM432" s="408"/>
      <c r="BN432" s="408"/>
      <c r="BO432" s="408"/>
      <c r="BP432" s="408"/>
      <c r="BQ432" s="408"/>
      <c r="BR432" s="408"/>
      <c r="BS432" s="408"/>
      <c r="BT432" s="408"/>
      <c r="BU432" s="408"/>
      <c r="BV432" s="408"/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/>
      <c r="CJ432" s="408">
        <v>-0.03</v>
      </c>
      <c r="CK432" s="408"/>
      <c r="CL432" s="408"/>
      <c r="CM432" s="408"/>
      <c r="CN432" s="408"/>
      <c r="CO432" s="408">
        <v>0</v>
      </c>
      <c r="CP432" s="408">
        <v>0</v>
      </c>
      <c r="CQ432" s="408">
        <v>31</v>
      </c>
      <c r="CR432" s="408"/>
      <c r="CS432" s="408"/>
      <c r="CT432" s="408"/>
      <c r="CU432" s="408"/>
      <c r="CV432" s="408"/>
      <c r="CW432" s="408"/>
      <c r="CX432" s="408"/>
      <c r="CY432" s="408"/>
      <c r="CZ432" s="408"/>
      <c r="DA432" s="408"/>
      <c r="DB432" s="408"/>
      <c r="DC432" s="408"/>
      <c r="DD432" s="408"/>
      <c r="DE432" s="408"/>
      <c r="DF432" s="408"/>
      <c r="DG432" s="408"/>
      <c r="DH432" s="408"/>
      <c r="DI432" s="408"/>
      <c r="DJ432" s="408"/>
      <c r="DK432" s="408">
        <v>0</v>
      </c>
      <c r="DL432" s="408"/>
      <c r="DM432" s="408"/>
      <c r="DN432" s="408"/>
      <c r="DO432" s="408"/>
      <c r="DP432" s="408"/>
      <c r="DQ432" s="408"/>
      <c r="DR432" s="408"/>
      <c r="DS432" s="408"/>
      <c r="DT432" s="408"/>
      <c r="DU432" s="408"/>
      <c r="DV432" s="408"/>
      <c r="DW432" s="408"/>
      <c r="DX432" s="408"/>
      <c r="DY432" s="408"/>
      <c r="DZ432" s="408"/>
      <c r="EA432" s="408"/>
      <c r="EB432" s="408"/>
      <c r="EC432" s="408"/>
      <c r="ED432" s="408"/>
      <c r="EE432" s="408"/>
      <c r="EF432" s="408"/>
      <c r="EG432" s="408"/>
      <c r="EH432" s="408"/>
      <c r="EI432" s="408"/>
      <c r="EJ432" s="408"/>
      <c r="EK432" s="408"/>
      <c r="EL432" s="408"/>
      <c r="EM432" s="408"/>
      <c r="EN432" s="408"/>
      <c r="EO432" s="408"/>
      <c r="EP432" s="408"/>
      <c r="EQ432" s="408"/>
      <c r="ER432" s="408"/>
      <c r="ES432" s="408"/>
      <c r="ET432" s="408"/>
      <c r="EU432" s="408"/>
      <c r="EV432" s="408">
        <v>265</v>
      </c>
      <c r="EW432" s="408"/>
      <c r="EX432" s="408"/>
      <c r="EY432" s="408"/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439</v>
      </c>
      <c r="B433" s="408" t="s">
        <v>1031</v>
      </c>
      <c r="C433" s="408" t="s">
        <v>2227</v>
      </c>
      <c r="D433" s="408" t="s">
        <v>2237</v>
      </c>
      <c r="E433" s="408" t="s">
        <v>969</v>
      </c>
      <c r="F433" s="408" t="s">
        <v>2245</v>
      </c>
      <c r="G433" s="408" t="s">
        <v>2246</v>
      </c>
      <c r="H433" s="408" t="s">
        <v>1317</v>
      </c>
      <c r="I433" s="408" t="s">
        <v>1317</v>
      </c>
      <c r="J433" s="408" t="s">
        <v>2228</v>
      </c>
      <c r="K433" s="828">
        <v>44621</v>
      </c>
      <c r="L433" s="408">
        <v>0</v>
      </c>
      <c r="M433" s="408">
        <v>0</v>
      </c>
      <c r="N433" s="408">
        <v>139.81899999999999</v>
      </c>
      <c r="O433" s="408">
        <v>139.81899999999999</v>
      </c>
      <c r="P433" s="408">
        <v>139.81899999999999</v>
      </c>
      <c r="Q433" s="408">
        <v>139.81899999999999</v>
      </c>
      <c r="R433" s="408"/>
      <c r="S433" s="408">
        <v>739.04</v>
      </c>
      <c r="T433" s="408">
        <v>252.22</v>
      </c>
      <c r="U433" s="408"/>
      <c r="V433" s="408">
        <v>138596.98193999997</v>
      </c>
      <c r="W433" s="408">
        <v>138596.98193999997</v>
      </c>
      <c r="X433" s="408">
        <v>94793.087429999985</v>
      </c>
      <c r="Y433" s="408">
        <v>0</v>
      </c>
      <c r="Z433" s="408">
        <v>8648.2465059280166</v>
      </c>
      <c r="AA433" s="408">
        <v>0</v>
      </c>
      <c r="AB433" s="408">
        <v>0</v>
      </c>
      <c r="AC433" s="408">
        <v>0</v>
      </c>
      <c r="AD433" s="408">
        <v>17267.30826333068</v>
      </c>
      <c r="AE433" s="408">
        <v>70886.523021114364</v>
      </c>
      <c r="AF433" s="408">
        <v>35265.53512586093</v>
      </c>
      <c r="AG433" s="408">
        <v>0</v>
      </c>
      <c r="AH433" s="408">
        <v>0</v>
      </c>
      <c r="AI433" s="408">
        <v>0</v>
      </c>
      <c r="AJ433" s="408">
        <v>0</v>
      </c>
      <c r="AK433" s="408">
        <v>0</v>
      </c>
      <c r="AL433" s="408">
        <v>1336.8135394775938</v>
      </c>
      <c r="AM433" s="408"/>
      <c r="AN433" s="408">
        <v>327.63765845004741</v>
      </c>
      <c r="AO433" s="408">
        <v>0</v>
      </c>
      <c r="AP433" s="408">
        <v>0</v>
      </c>
      <c r="AQ433" s="408">
        <v>0</v>
      </c>
      <c r="AR433" s="408">
        <v>0</v>
      </c>
      <c r="AS433" s="408">
        <v>0</v>
      </c>
      <c r="AT433" s="408">
        <v>0</v>
      </c>
      <c r="AU433" s="408">
        <v>0</v>
      </c>
      <c r="AV433" s="408">
        <v>0</v>
      </c>
      <c r="AW433" s="408">
        <v>0</v>
      </c>
      <c r="AX433" s="408">
        <v>0</v>
      </c>
      <c r="AY433" s="408">
        <v>0</v>
      </c>
      <c r="AZ433" s="408">
        <v>0</v>
      </c>
      <c r="BA433" s="408"/>
      <c r="BB433" s="408">
        <v>0</v>
      </c>
      <c r="BC433" s="408">
        <v>0</v>
      </c>
      <c r="BD433" s="408">
        <v>0</v>
      </c>
      <c r="BE433" s="408">
        <v>0</v>
      </c>
      <c r="BF433" s="408">
        <v>0</v>
      </c>
      <c r="BG433" s="408">
        <v>4864.8969557385044</v>
      </c>
      <c r="BH433" s="408">
        <v>0</v>
      </c>
      <c r="BI433" s="408">
        <v>0</v>
      </c>
      <c r="BJ433" s="408">
        <v>0</v>
      </c>
      <c r="BK433" s="408">
        <v>0</v>
      </c>
      <c r="BL433" s="408">
        <v>0</v>
      </c>
      <c r="BM433" s="408"/>
      <c r="BN433" s="408"/>
      <c r="BO433" s="408"/>
      <c r="BP433" s="408"/>
      <c r="BQ433" s="408"/>
      <c r="BR433" s="408">
        <v>11374.275649999994</v>
      </c>
      <c r="BS433" s="408"/>
      <c r="BT433" s="408"/>
      <c r="BU433" s="408"/>
      <c r="BV433" s="408">
        <v>40130.432081599436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83419.4084</v>
      </c>
      <c r="CJ433" s="408">
        <v>-38546.133489999978</v>
      </c>
      <c r="CK433" s="408"/>
      <c r="CL433" s="408"/>
      <c r="CM433" s="408"/>
      <c r="CN433" s="408"/>
      <c r="CO433" s="408">
        <v>-43803.894509999991</v>
      </c>
      <c r="CP433" s="408">
        <v>0</v>
      </c>
      <c r="CQ433" s="408">
        <v>31</v>
      </c>
      <c r="CR433" s="408">
        <v>-340.06734255701303</v>
      </c>
      <c r="CS433" s="408">
        <v>0</v>
      </c>
      <c r="CT433" s="408">
        <v>0</v>
      </c>
      <c r="CU433" s="408">
        <v>0</v>
      </c>
      <c r="CV433" s="408">
        <v>0</v>
      </c>
      <c r="CW433" s="408">
        <v>0</v>
      </c>
      <c r="CX433" s="408">
        <v>0</v>
      </c>
      <c r="CY433" s="408">
        <v>0</v>
      </c>
      <c r="CZ433" s="408">
        <v>-44.378502829302306</v>
      </c>
      <c r="DA433" s="408">
        <v>0</v>
      </c>
      <c r="DB433" s="408">
        <v>0</v>
      </c>
      <c r="DC433" s="408">
        <v>-4.9440059228800237E-6</v>
      </c>
      <c r="DD433" s="408">
        <v>0</v>
      </c>
      <c r="DE433" s="408">
        <v>0</v>
      </c>
      <c r="DF433" s="408">
        <v>0</v>
      </c>
      <c r="DG433" s="408">
        <v>-6.8202371039660648E-7</v>
      </c>
      <c r="DH433" s="408">
        <v>0</v>
      </c>
      <c r="DI433" s="408">
        <v>-251.46583366777304</v>
      </c>
      <c r="DJ433" s="408"/>
      <c r="DK433" s="408">
        <v>0</v>
      </c>
      <c r="DL433" s="408">
        <v>0</v>
      </c>
      <c r="DM433" s="408">
        <v>0</v>
      </c>
      <c r="DN433" s="408">
        <v>0</v>
      </c>
      <c r="DO433" s="408">
        <v>-33.583582265482846</v>
      </c>
      <c r="DP433" s="408">
        <v>-10.639418168440386</v>
      </c>
      <c r="DQ433" s="408">
        <v>0</v>
      </c>
      <c r="DR433" s="408">
        <v>0</v>
      </c>
      <c r="DS433" s="408"/>
      <c r="DT433" s="408"/>
      <c r="DU433" s="408"/>
      <c r="DV433" s="408">
        <v>70886.523021114364</v>
      </c>
      <c r="DW433" s="408">
        <v>0</v>
      </c>
      <c r="DX433" s="408">
        <v>0</v>
      </c>
      <c r="DY433" s="408">
        <v>-43803.894509999984</v>
      </c>
      <c r="DZ433" s="408">
        <v>0</v>
      </c>
      <c r="EA433" s="408">
        <v>0</v>
      </c>
      <c r="EB433" s="408">
        <v>0</v>
      </c>
      <c r="EC433" s="408">
        <v>-43463.725792809651</v>
      </c>
      <c r="ED433" s="408">
        <v>0</v>
      </c>
      <c r="EE433" s="408">
        <v>0</v>
      </c>
      <c r="EF433" s="408">
        <v>0</v>
      </c>
      <c r="EG433" s="408">
        <v>0</v>
      </c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>
        <v>0</v>
      </c>
      <c r="EN433" s="408">
        <v>0</v>
      </c>
      <c r="EO433" s="408">
        <v>0</v>
      </c>
      <c r="EP433" s="408">
        <v>0</v>
      </c>
      <c r="EQ433" s="408">
        <v>0</v>
      </c>
      <c r="ER433" s="408">
        <v>0</v>
      </c>
      <c r="ES433" s="408">
        <v>0</v>
      </c>
      <c r="ET433" s="408">
        <v>0</v>
      </c>
      <c r="EU433" s="408">
        <v>0</v>
      </c>
      <c r="EV433" s="408">
        <v>265</v>
      </c>
      <c r="EW433" s="408">
        <v>0</v>
      </c>
      <c r="EX433" s="408">
        <v>0</v>
      </c>
      <c r="EY433" s="408">
        <v>0</v>
      </c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440</v>
      </c>
      <c r="B434" s="408" t="s">
        <v>2230</v>
      </c>
      <c r="C434" s="408" t="s">
        <v>2227</v>
      </c>
      <c r="D434" s="408" t="s">
        <v>2237</v>
      </c>
      <c r="E434" s="408" t="s">
        <v>969</v>
      </c>
      <c r="F434" s="408" t="s">
        <v>2245</v>
      </c>
      <c r="G434" s="408" t="s">
        <v>2246</v>
      </c>
      <c r="H434" s="408" t="s">
        <v>1317</v>
      </c>
      <c r="I434" s="408" t="s">
        <v>1317</v>
      </c>
      <c r="J434" s="408" t="s">
        <v>2228</v>
      </c>
      <c r="K434" s="828">
        <v>44621</v>
      </c>
      <c r="L434" s="408">
        <v>0</v>
      </c>
      <c r="M434" s="408">
        <v>0</v>
      </c>
      <c r="N434" s="408">
        <v>10.055</v>
      </c>
      <c r="O434" s="408">
        <v>10.055</v>
      </c>
      <c r="P434" s="408">
        <v>10.055</v>
      </c>
      <c r="Q434" s="408">
        <v>10.055</v>
      </c>
      <c r="R434" s="408"/>
      <c r="S434" s="408">
        <v>739.04</v>
      </c>
      <c r="T434" s="408">
        <v>252.22</v>
      </c>
      <c r="U434" s="408"/>
      <c r="V434" s="408">
        <v>9967.1192999999985</v>
      </c>
      <c r="W434" s="408">
        <v>9967.1192999999985</v>
      </c>
      <c r="X434" s="408">
        <v>6816.9883499999996</v>
      </c>
      <c r="Y434" s="408">
        <v>0</v>
      </c>
      <c r="Z434" s="408">
        <v>621.93348984834836</v>
      </c>
      <c r="AA434" s="408">
        <v>0</v>
      </c>
      <c r="AB434" s="408">
        <v>0</v>
      </c>
      <c r="AC434" s="408">
        <v>0</v>
      </c>
      <c r="AD434" s="408">
        <v>1241.7681759116429</v>
      </c>
      <c r="AE434" s="408">
        <v>5097.7620278882341</v>
      </c>
      <c r="AF434" s="408">
        <v>2536.0999269808226</v>
      </c>
      <c r="AG434" s="408">
        <v>0</v>
      </c>
      <c r="AH434" s="408">
        <v>0</v>
      </c>
      <c r="AI434" s="408">
        <v>0</v>
      </c>
      <c r="AJ434" s="408">
        <v>0</v>
      </c>
      <c r="AK434" s="408">
        <v>0</v>
      </c>
      <c r="AL434" s="408">
        <v>96.136148445112667</v>
      </c>
      <c r="AM434" s="408"/>
      <c r="AN434" s="408">
        <v>23.561866811486471</v>
      </c>
      <c r="AO434" s="408">
        <v>0</v>
      </c>
      <c r="AP434" s="408">
        <v>0</v>
      </c>
      <c r="AQ434" s="408">
        <v>0</v>
      </c>
      <c r="AR434" s="408">
        <v>0</v>
      </c>
      <c r="AS434" s="408">
        <v>0</v>
      </c>
      <c r="AT434" s="408">
        <v>0</v>
      </c>
      <c r="AU434" s="408">
        <v>0</v>
      </c>
      <c r="AV434" s="408">
        <v>0</v>
      </c>
      <c r="AW434" s="408">
        <v>0</v>
      </c>
      <c r="AX434" s="408">
        <v>0</v>
      </c>
      <c r="AY434" s="408">
        <v>0</v>
      </c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>
        <v>0</v>
      </c>
      <c r="BG434" s="408">
        <v>349.8561632535683</v>
      </c>
      <c r="BH434" s="408">
        <v>0</v>
      </c>
      <c r="BI434" s="408">
        <v>0</v>
      </c>
      <c r="BJ434" s="408">
        <v>0</v>
      </c>
      <c r="BK434" s="408">
        <v>0</v>
      </c>
      <c r="BL434" s="408">
        <v>0</v>
      </c>
      <c r="BM434" s="408"/>
      <c r="BN434" s="408"/>
      <c r="BO434" s="408"/>
      <c r="BP434" s="408"/>
      <c r="BQ434" s="408"/>
      <c r="BR434" s="408">
        <v>817.97424999999953</v>
      </c>
      <c r="BS434" s="408"/>
      <c r="BT434" s="408"/>
      <c r="BU434" s="408"/>
      <c r="BV434" s="408">
        <v>2885.956090234391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6001.9972000000007</v>
      </c>
      <c r="CJ434" s="408">
        <v>-2769.1098499999998</v>
      </c>
      <c r="CK434" s="408"/>
      <c r="CL434" s="408"/>
      <c r="CM434" s="408"/>
      <c r="CN434" s="408"/>
      <c r="CO434" s="408">
        <v>-3150.1309499999998</v>
      </c>
      <c r="CP434" s="408">
        <v>0</v>
      </c>
      <c r="CQ434" s="408">
        <v>31</v>
      </c>
      <c r="CR434" s="408">
        <v>-24.455740131247694</v>
      </c>
      <c r="CS434" s="408">
        <v>0</v>
      </c>
      <c r="CT434" s="408">
        <v>0</v>
      </c>
      <c r="CU434" s="408">
        <v>0</v>
      </c>
      <c r="CV434" s="408">
        <v>0</v>
      </c>
      <c r="CW434" s="408">
        <v>0</v>
      </c>
      <c r="CX434" s="408">
        <v>0</v>
      </c>
      <c r="CY434" s="408">
        <v>0</v>
      </c>
      <c r="CZ434" s="408">
        <v>-3.1914535645987598</v>
      </c>
      <c r="DA434" s="408">
        <v>0</v>
      </c>
      <c r="DB434" s="408">
        <v>0</v>
      </c>
      <c r="DC434" s="408">
        <v>-3.5554467103793286E-7</v>
      </c>
      <c r="DD434" s="408">
        <v>0</v>
      </c>
      <c r="DE434" s="408">
        <v>0</v>
      </c>
      <c r="DF434" s="408">
        <v>0</v>
      </c>
      <c r="DG434" s="408">
        <v>-4.9047343964048196E-8</v>
      </c>
      <c r="DH434" s="408">
        <v>0</v>
      </c>
      <c r="DI434" s="408">
        <v>-18.084015459483112</v>
      </c>
      <c r="DJ434" s="408"/>
      <c r="DK434" s="408">
        <v>0</v>
      </c>
      <c r="DL434" s="408">
        <v>0</v>
      </c>
      <c r="DM434" s="408">
        <v>0</v>
      </c>
      <c r="DN434" s="408">
        <v>0</v>
      </c>
      <c r="DO434" s="408">
        <v>-2.4151432901067267</v>
      </c>
      <c r="DP434" s="408">
        <v>-0.76512741246660099</v>
      </c>
      <c r="DQ434" s="408">
        <v>0</v>
      </c>
      <c r="DR434" s="408">
        <v>0</v>
      </c>
      <c r="DS434" s="408"/>
      <c r="DT434" s="408"/>
      <c r="DU434" s="408"/>
      <c r="DV434" s="408">
        <v>5097.7620278882341</v>
      </c>
      <c r="DW434" s="408">
        <v>0</v>
      </c>
      <c r="DX434" s="408">
        <v>0</v>
      </c>
      <c r="DY434" s="408">
        <v>-3150.1309499999988</v>
      </c>
      <c r="DZ434" s="408">
        <v>0</v>
      </c>
      <c r="EA434" s="408">
        <v>0</v>
      </c>
      <c r="EB434" s="408">
        <v>0</v>
      </c>
      <c r="EC434" s="408">
        <v>-3125.667919572455</v>
      </c>
      <c r="ED434" s="408">
        <v>0</v>
      </c>
      <c r="EE434" s="408">
        <v>0</v>
      </c>
      <c r="EF434" s="408">
        <v>0</v>
      </c>
      <c r="EG434" s="408">
        <v>0</v>
      </c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>
        <v>0</v>
      </c>
      <c r="EN434" s="408">
        <v>0</v>
      </c>
      <c r="EO434" s="408">
        <v>0</v>
      </c>
      <c r="EP434" s="408">
        <v>0</v>
      </c>
      <c r="EQ434" s="408">
        <v>0</v>
      </c>
      <c r="ER434" s="408">
        <v>0</v>
      </c>
      <c r="ES434" s="408">
        <v>0</v>
      </c>
      <c r="ET434" s="408">
        <v>0</v>
      </c>
      <c r="EU434" s="408">
        <v>0</v>
      </c>
      <c r="EV434" s="408">
        <v>265</v>
      </c>
      <c r="EW434" s="408">
        <v>0</v>
      </c>
      <c r="EX434" s="408">
        <v>0</v>
      </c>
      <c r="EY434" s="408">
        <v>0</v>
      </c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441</v>
      </c>
      <c r="B435" s="408" t="s">
        <v>1031</v>
      </c>
      <c r="C435" s="408" t="s">
        <v>2227</v>
      </c>
      <c r="D435" s="408" t="s">
        <v>2237</v>
      </c>
      <c r="E435" s="408" t="s">
        <v>969</v>
      </c>
      <c r="F435" s="408" t="s">
        <v>2245</v>
      </c>
      <c r="G435" s="408" t="s">
        <v>2247</v>
      </c>
      <c r="H435" s="408" t="s">
        <v>1317</v>
      </c>
      <c r="I435" s="408" t="s">
        <v>1317</v>
      </c>
      <c r="J435" s="408" t="s">
        <v>2228</v>
      </c>
      <c r="K435" s="828">
        <v>44621</v>
      </c>
      <c r="L435" s="408">
        <v>0</v>
      </c>
      <c r="M435" s="408">
        <v>0</v>
      </c>
      <c r="N435" s="408">
        <v>67.37</v>
      </c>
      <c r="O435" s="408">
        <v>26.948</v>
      </c>
      <c r="P435" s="408">
        <v>67.37</v>
      </c>
      <c r="Q435" s="408">
        <v>26.948</v>
      </c>
      <c r="R435" s="408"/>
      <c r="S435" s="408">
        <v>739.04</v>
      </c>
      <c r="T435" s="408">
        <v>252.22</v>
      </c>
      <c r="U435" s="408"/>
      <c r="V435" s="408">
        <v>66781.186199999996</v>
      </c>
      <c r="W435" s="408">
        <v>66781.186199999996</v>
      </c>
      <c r="X435" s="408">
        <v>45674.838900000002</v>
      </c>
      <c r="Y435" s="408">
        <v>0</v>
      </c>
      <c r="Z435" s="408">
        <v>4167.0471617188696</v>
      </c>
      <c r="AA435" s="408">
        <v>0</v>
      </c>
      <c r="AB435" s="408">
        <v>0</v>
      </c>
      <c r="AC435" s="408">
        <v>0</v>
      </c>
      <c r="AD435" s="408">
        <v>8320.0320249793513</v>
      </c>
      <c r="AE435" s="408">
        <v>34155.766068506251</v>
      </c>
      <c r="AF435" s="408">
        <v>16992.247844922731</v>
      </c>
      <c r="AG435" s="408">
        <v>0</v>
      </c>
      <c r="AH435" s="408">
        <v>0</v>
      </c>
      <c r="AI435" s="408">
        <v>0</v>
      </c>
      <c r="AJ435" s="408">
        <v>0</v>
      </c>
      <c r="AK435" s="408">
        <v>0</v>
      </c>
      <c r="AL435" s="408">
        <v>644.12653612603094</v>
      </c>
      <c r="AM435" s="408"/>
      <c r="AN435" s="408">
        <v>157.86802258476814</v>
      </c>
      <c r="AO435" s="408">
        <v>0</v>
      </c>
      <c r="AP435" s="408">
        <v>0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0</v>
      </c>
      <c r="BE435" s="408">
        <v>0</v>
      </c>
      <c r="BF435" s="408">
        <v>0</v>
      </c>
      <c r="BG435" s="408">
        <v>2344.0884851708502</v>
      </c>
      <c r="BH435" s="408">
        <v>0</v>
      </c>
      <c r="BI435" s="408">
        <v>0</v>
      </c>
      <c r="BJ435" s="408">
        <v>0</v>
      </c>
      <c r="BK435" s="408">
        <v>0</v>
      </c>
      <c r="BL435" s="408">
        <v>0</v>
      </c>
      <c r="BM435" s="408"/>
      <c r="BN435" s="408"/>
      <c r="BO435" s="408"/>
      <c r="BP435" s="408"/>
      <c r="BQ435" s="408"/>
      <c r="BR435" s="408"/>
      <c r="BS435" s="408">
        <v>29597.12314</v>
      </c>
      <c r="BT435" s="408"/>
      <c r="BU435" s="408"/>
      <c r="BV435" s="408">
        <v>19336.336330093582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16078.909</v>
      </c>
      <c r="CJ435" s="408">
        <v>-7428.1308799999933</v>
      </c>
      <c r="CK435" s="408"/>
      <c r="CL435" s="408"/>
      <c r="CM435" s="408"/>
      <c r="CN435" s="408"/>
      <c r="CO435" s="408">
        <v>-21106.347299999998</v>
      </c>
      <c r="CP435" s="408">
        <v>0</v>
      </c>
      <c r="CQ435" s="408">
        <v>31</v>
      </c>
      <c r="CR435" s="408">
        <v>-163.85710717475376</v>
      </c>
      <c r="CS435" s="408">
        <v>0</v>
      </c>
      <c r="CT435" s="408">
        <v>0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-21.383214982297432</v>
      </c>
      <c r="DA435" s="408">
        <v>0</v>
      </c>
      <c r="DB435" s="408">
        <v>0</v>
      </c>
      <c r="DC435" s="408">
        <v>-2.3822067305445671E-6</v>
      </c>
      <c r="DD435" s="408">
        <v>0</v>
      </c>
      <c r="DE435" s="408">
        <v>0</v>
      </c>
      <c r="DF435" s="408">
        <v>0</v>
      </c>
      <c r="DG435" s="408">
        <v>-3.2862453736015595E-7</v>
      </c>
      <c r="DH435" s="408">
        <v>0</v>
      </c>
      <c r="DI435" s="408">
        <v>-121.16560134315023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-16.181820333614155</v>
      </c>
      <c r="DP435" s="408">
        <v>-5.1264678048607664</v>
      </c>
      <c r="DQ435" s="408">
        <v>0</v>
      </c>
      <c r="DR435" s="408">
        <v>0</v>
      </c>
      <c r="DS435" s="408"/>
      <c r="DT435" s="408"/>
      <c r="DU435" s="408"/>
      <c r="DV435" s="408">
        <v>34155.766068506251</v>
      </c>
      <c r="DW435" s="408">
        <v>0</v>
      </c>
      <c r="DX435" s="408">
        <v>0</v>
      </c>
      <c r="DY435" s="408">
        <v>-21106.347299999998</v>
      </c>
      <c r="DZ435" s="408">
        <v>0</v>
      </c>
      <c r="EA435" s="408">
        <v>0</v>
      </c>
      <c r="EB435" s="408">
        <v>0</v>
      </c>
      <c r="EC435" s="408">
        <v>-20942.441346752494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265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442</v>
      </c>
      <c r="B436" s="408" t="s">
        <v>2230</v>
      </c>
      <c r="C436" s="408" t="s">
        <v>2227</v>
      </c>
      <c r="D436" s="408" t="s">
        <v>2237</v>
      </c>
      <c r="E436" s="408" t="s">
        <v>969</v>
      </c>
      <c r="F436" s="408" t="s">
        <v>2245</v>
      </c>
      <c r="G436" s="408" t="s">
        <v>2247</v>
      </c>
      <c r="H436" s="408" t="s">
        <v>1317</v>
      </c>
      <c r="I436" s="408" t="s">
        <v>1317</v>
      </c>
      <c r="J436" s="408" t="s">
        <v>2228</v>
      </c>
      <c r="K436" s="828">
        <v>44621</v>
      </c>
      <c r="L436" s="408">
        <v>0</v>
      </c>
      <c r="M436" s="408">
        <v>0</v>
      </c>
      <c r="N436" s="408">
        <v>6.4210000000000003</v>
      </c>
      <c r="O436" s="408">
        <v>6.4210000000000003</v>
      </c>
      <c r="P436" s="408">
        <v>6.4210000000000003</v>
      </c>
      <c r="Q436" s="408">
        <v>6.4210000000000003</v>
      </c>
      <c r="R436" s="408"/>
      <c r="S436" s="408">
        <v>739.04</v>
      </c>
      <c r="T436" s="408">
        <v>252.22</v>
      </c>
      <c r="U436" s="408"/>
      <c r="V436" s="408">
        <v>6364.8804600000003</v>
      </c>
      <c r="W436" s="408">
        <v>6364.8804600000003</v>
      </c>
      <c r="X436" s="408">
        <v>4353.2453700000005</v>
      </c>
      <c r="Y436" s="408">
        <v>0</v>
      </c>
      <c r="Z436" s="408">
        <v>397.15911867889059</v>
      </c>
      <c r="AA436" s="408">
        <v>0</v>
      </c>
      <c r="AB436" s="408">
        <v>0</v>
      </c>
      <c r="AC436" s="408">
        <v>0</v>
      </c>
      <c r="AD436" s="408">
        <v>792.97796693472492</v>
      </c>
      <c r="AE436" s="408">
        <v>3255.3684715137097</v>
      </c>
      <c r="AF436" s="408">
        <v>1619.5223899695538</v>
      </c>
      <c r="AG436" s="408">
        <v>0</v>
      </c>
      <c r="AH436" s="408">
        <v>0</v>
      </c>
      <c r="AI436" s="408">
        <v>0</v>
      </c>
      <c r="AJ436" s="408">
        <v>0</v>
      </c>
      <c r="AK436" s="408">
        <v>0</v>
      </c>
      <c r="AL436" s="408">
        <v>61.39136839045932</v>
      </c>
      <c r="AM436" s="408"/>
      <c r="AN436" s="408">
        <v>15.046319920094941</v>
      </c>
      <c r="AO436" s="408">
        <v>0</v>
      </c>
      <c r="AP436" s="408">
        <v>0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0</v>
      </c>
      <c r="BF436" s="408">
        <v>0</v>
      </c>
      <c r="BG436" s="408">
        <v>223.41386616122944</v>
      </c>
      <c r="BH436" s="408">
        <v>0</v>
      </c>
      <c r="BI436" s="408">
        <v>0</v>
      </c>
      <c r="BJ436" s="408">
        <v>0</v>
      </c>
      <c r="BK436" s="408">
        <v>0</v>
      </c>
      <c r="BL436" s="408">
        <v>0</v>
      </c>
      <c r="BM436" s="408"/>
      <c r="BN436" s="408"/>
      <c r="BO436" s="408"/>
      <c r="BP436" s="408"/>
      <c r="BQ436" s="408"/>
      <c r="BR436" s="408">
        <v>522.34834999999975</v>
      </c>
      <c r="BS436" s="408"/>
      <c r="BT436" s="408"/>
      <c r="BU436" s="408"/>
      <c r="BV436" s="408">
        <v>1842.9362561307832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3830.3004000000001</v>
      </c>
      <c r="CJ436" s="408">
        <v>-1770.8321100000012</v>
      </c>
      <c r="CK436" s="408"/>
      <c r="CL436" s="408"/>
      <c r="CM436" s="408"/>
      <c r="CN436" s="408"/>
      <c r="CO436" s="408">
        <v>-2011.6350899999998</v>
      </c>
      <c r="CP436" s="408">
        <v>0</v>
      </c>
      <c r="CQ436" s="408">
        <v>31</v>
      </c>
      <c r="CR436" s="408">
        <v>-15.617136487592688</v>
      </c>
      <c r="CS436" s="408">
        <v>0</v>
      </c>
      <c r="CT436" s="408">
        <v>0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-2.0380232061946799</v>
      </c>
      <c r="DA436" s="408">
        <v>0</v>
      </c>
      <c r="DB436" s="408">
        <v>0</v>
      </c>
      <c r="DC436" s="408">
        <v>-2.2704671209794469E-7</v>
      </c>
      <c r="DD436" s="408">
        <v>0</v>
      </c>
      <c r="DE436" s="408">
        <v>0</v>
      </c>
      <c r="DF436" s="408">
        <v>0</v>
      </c>
      <c r="DG436" s="408">
        <v>-3.132100800939952E-8</v>
      </c>
      <c r="DH436" s="408">
        <v>0</v>
      </c>
      <c r="DI436" s="408">
        <v>-11.54823105572757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-1.5422809612904302</v>
      </c>
      <c r="DP436" s="408">
        <v>-0.48860100601173961</v>
      </c>
      <c r="DQ436" s="408">
        <v>0</v>
      </c>
      <c r="DR436" s="408">
        <v>0</v>
      </c>
      <c r="DS436" s="408"/>
      <c r="DT436" s="408"/>
      <c r="DU436" s="408"/>
      <c r="DV436" s="408">
        <v>3255.3684715137097</v>
      </c>
      <c r="DW436" s="408">
        <v>0</v>
      </c>
      <c r="DX436" s="408">
        <v>0</v>
      </c>
      <c r="DY436" s="408">
        <v>-2011.6350899999998</v>
      </c>
      <c r="DZ436" s="408">
        <v>0</v>
      </c>
      <c r="EA436" s="408">
        <v>0</v>
      </c>
      <c r="EB436" s="408">
        <v>0</v>
      </c>
      <c r="EC436" s="408">
        <v>-1996.0132980183721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265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443</v>
      </c>
      <c r="B437" s="408" t="s">
        <v>1031</v>
      </c>
      <c r="C437" s="408" t="s">
        <v>2235</v>
      </c>
      <c r="D437" s="408" t="s">
        <v>596</v>
      </c>
      <c r="E437" s="408" t="s">
        <v>969</v>
      </c>
      <c r="F437" s="408" t="s">
        <v>2245</v>
      </c>
      <c r="G437" s="408" t="s">
        <v>1317</v>
      </c>
      <c r="H437" s="408" t="s">
        <v>1317</v>
      </c>
      <c r="I437" s="408" t="s">
        <v>968</v>
      </c>
      <c r="J437" s="408" t="s">
        <v>2228</v>
      </c>
      <c r="K437" s="828">
        <v>44621</v>
      </c>
      <c r="L437" s="408">
        <v>0</v>
      </c>
      <c r="M437" s="408">
        <v>0</v>
      </c>
      <c r="N437" s="408">
        <v>22.794</v>
      </c>
      <c r="O437" s="408">
        <v>21.882239999999999</v>
      </c>
      <c r="P437" s="408">
        <v>22.794</v>
      </c>
      <c r="Q437" s="408">
        <v>21.882239999999999</v>
      </c>
      <c r="R437" s="408"/>
      <c r="S437" s="408">
        <v>2641.06</v>
      </c>
      <c r="T437" s="408">
        <v>252.22</v>
      </c>
      <c r="U437" s="408"/>
      <c r="V437" s="408">
        <v>65949.424320000006</v>
      </c>
      <c r="W437" s="408">
        <v>65949.424320000006</v>
      </c>
      <c r="X437" s="408">
        <v>39145.047959999996</v>
      </c>
      <c r="Y437" s="408">
        <v>0</v>
      </c>
      <c r="Z437" s="408">
        <v>1226.5963413043091</v>
      </c>
      <c r="AA437" s="408">
        <v>0</v>
      </c>
      <c r="AB437" s="408">
        <v>0</v>
      </c>
      <c r="AC437" s="408">
        <v>0</v>
      </c>
      <c r="AD437" s="408">
        <v>14765.200782351369</v>
      </c>
      <c r="AE437" s="408">
        <v>43584.187225921269</v>
      </c>
      <c r="AF437" s="408">
        <v>5749.1657618698036</v>
      </c>
      <c r="AG437" s="408">
        <v>0</v>
      </c>
      <c r="AH437" s="408">
        <v>0</v>
      </c>
      <c r="AI437" s="408">
        <v>0</v>
      </c>
      <c r="AJ437" s="408">
        <v>0</v>
      </c>
      <c r="AK437" s="408">
        <v>0</v>
      </c>
      <c r="AL437" s="408">
        <v>217.93409922007939</v>
      </c>
      <c r="AM437" s="408"/>
      <c r="AN437" s="408">
        <v>54.840224501342227</v>
      </c>
      <c r="AO437" s="408">
        <v>0</v>
      </c>
      <c r="AP437" s="408">
        <v>0</v>
      </c>
      <c r="AQ437" s="408">
        <v>0</v>
      </c>
      <c r="AR437" s="408">
        <v>0</v>
      </c>
      <c r="AS437" s="408">
        <v>0</v>
      </c>
      <c r="AT437" s="408">
        <v>0</v>
      </c>
      <c r="AU437" s="408">
        <v>0</v>
      </c>
      <c r="AV437" s="408">
        <v>0</v>
      </c>
      <c r="AW437" s="408">
        <v>0</v>
      </c>
      <c r="AX437" s="408">
        <v>0</v>
      </c>
      <c r="AY437" s="408">
        <v>0</v>
      </c>
      <c r="AZ437" s="408">
        <v>0</v>
      </c>
      <c r="BA437" s="408"/>
      <c r="BB437" s="408">
        <v>0</v>
      </c>
      <c r="BC437" s="408">
        <v>0</v>
      </c>
      <c r="BD437" s="408">
        <v>0</v>
      </c>
      <c r="BE437" s="408">
        <v>0</v>
      </c>
      <c r="BF437" s="408">
        <v>0</v>
      </c>
      <c r="BG437" s="408">
        <v>351.54824396393354</v>
      </c>
      <c r="BH437" s="408">
        <v>0</v>
      </c>
      <c r="BI437" s="408">
        <v>0</v>
      </c>
      <c r="BJ437" s="408">
        <v>0</v>
      </c>
      <c r="BK437" s="408">
        <v>0</v>
      </c>
      <c r="BL437" s="408">
        <v>0</v>
      </c>
      <c r="BM437" s="408"/>
      <c r="BN437" s="408"/>
      <c r="BO437" s="408"/>
      <c r="BP437" s="408"/>
      <c r="BQ437" s="408"/>
      <c r="BR437" s="408">
        <v>1565.8019184000016</v>
      </c>
      <c r="BS437" s="408"/>
      <c r="BT437" s="408"/>
      <c r="BU437" s="408"/>
      <c r="BV437" s="408">
        <v>6100.7140058337372</v>
      </c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>
        <v>37575.3992</v>
      </c>
      <c r="CJ437" s="408">
        <v>-25736.078147200009</v>
      </c>
      <c r="CK437" s="408"/>
      <c r="CL437" s="408"/>
      <c r="CM437" s="408"/>
      <c r="CN437" s="408"/>
      <c r="CO437" s="408">
        <v>-26804.376360000002</v>
      </c>
      <c r="CP437" s="408">
        <v>0</v>
      </c>
      <c r="CQ437" s="408">
        <v>31</v>
      </c>
      <c r="CR437" s="408">
        <v>-80.869516839815333</v>
      </c>
      <c r="CS437" s="408">
        <v>0</v>
      </c>
      <c r="CT437" s="408">
        <v>0</v>
      </c>
      <c r="CU437" s="408">
        <v>0</v>
      </c>
      <c r="CV437" s="408">
        <v>0</v>
      </c>
      <c r="CW437" s="408">
        <v>0</v>
      </c>
      <c r="CX437" s="408">
        <v>0</v>
      </c>
      <c r="CY437" s="408">
        <v>0</v>
      </c>
      <c r="CZ437" s="408">
        <v>-37.947866262806201</v>
      </c>
      <c r="DA437" s="408">
        <v>0</v>
      </c>
      <c r="DB437" s="408">
        <v>0</v>
      </c>
      <c r="DC437" s="408">
        <v>-8.0599602370057255E-7</v>
      </c>
      <c r="DD437" s="408">
        <v>0</v>
      </c>
      <c r="DE437" s="408">
        <v>0</v>
      </c>
      <c r="DF437" s="408">
        <v>0</v>
      </c>
      <c r="DG437" s="408">
        <v>-4.9285176828561816E-8</v>
      </c>
      <c r="DH437" s="408">
        <v>0</v>
      </c>
      <c r="DI437" s="408">
        <v>-35.665851028702718</v>
      </c>
      <c r="DJ437" s="408"/>
      <c r="DK437" s="408">
        <v>0</v>
      </c>
      <c r="DL437" s="408">
        <v>0</v>
      </c>
      <c r="DM437" s="408">
        <v>0</v>
      </c>
      <c r="DN437" s="408">
        <v>0</v>
      </c>
      <c r="DO437" s="408">
        <v>-5.4749653062847017</v>
      </c>
      <c r="DP437" s="408">
        <v>-1.7808333867394452</v>
      </c>
      <c r="DQ437" s="408">
        <v>0</v>
      </c>
      <c r="DR437" s="408">
        <v>0</v>
      </c>
      <c r="DS437" s="408"/>
      <c r="DT437" s="408"/>
      <c r="DU437" s="408"/>
      <c r="DV437" s="408">
        <v>43584.187225921269</v>
      </c>
      <c r="DW437" s="408">
        <v>0</v>
      </c>
      <c r="DX437" s="408">
        <v>0</v>
      </c>
      <c r="DY437" s="408">
        <v>-26804.376360000002</v>
      </c>
      <c r="DZ437" s="408">
        <v>0</v>
      </c>
      <c r="EA437" s="408">
        <v>0</v>
      </c>
      <c r="EB437" s="408">
        <v>0</v>
      </c>
      <c r="EC437" s="408">
        <v>-26723.431785837067</v>
      </c>
      <c r="ED437" s="408">
        <v>0</v>
      </c>
      <c r="EE437" s="408">
        <v>0</v>
      </c>
      <c r="EF437" s="408">
        <v>0</v>
      </c>
      <c r="EG437" s="408">
        <v>0</v>
      </c>
      <c r="EH437" s="408">
        <v>0</v>
      </c>
      <c r="EI437" s="408">
        <v>0</v>
      </c>
      <c r="EJ437" s="408">
        <v>0</v>
      </c>
      <c r="EK437" s="408">
        <v>0</v>
      </c>
      <c r="EL437" s="408">
        <v>0</v>
      </c>
      <c r="EM437" s="408">
        <v>0</v>
      </c>
      <c r="EN437" s="408">
        <v>0</v>
      </c>
      <c r="EO437" s="408">
        <v>0</v>
      </c>
      <c r="EP437" s="408">
        <v>0</v>
      </c>
      <c r="EQ437" s="408">
        <v>0</v>
      </c>
      <c r="ER437" s="408">
        <v>0</v>
      </c>
      <c r="ES437" s="408">
        <v>0</v>
      </c>
      <c r="ET437" s="408">
        <v>0</v>
      </c>
      <c r="EU437" s="408">
        <v>0</v>
      </c>
      <c r="EV437" s="408">
        <v>265</v>
      </c>
      <c r="EW437" s="408">
        <v>0</v>
      </c>
      <c r="EX437" s="408">
        <v>0</v>
      </c>
      <c r="EY437" s="408">
        <v>0</v>
      </c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444</v>
      </c>
      <c r="B438" s="408" t="s">
        <v>1031</v>
      </c>
      <c r="C438" s="408" t="s">
        <v>2235</v>
      </c>
      <c r="D438" s="408" t="s">
        <v>596</v>
      </c>
      <c r="E438" s="408" t="s">
        <v>969</v>
      </c>
      <c r="F438" s="408" t="s">
        <v>2245</v>
      </c>
      <c r="G438" s="408" t="s">
        <v>1317</v>
      </c>
      <c r="H438" s="408" t="s">
        <v>1317</v>
      </c>
      <c r="I438" s="408" t="s">
        <v>2236</v>
      </c>
      <c r="J438" s="408" t="s">
        <v>2228</v>
      </c>
      <c r="K438" s="828">
        <v>44621</v>
      </c>
      <c r="L438" s="408">
        <v>0</v>
      </c>
      <c r="M438" s="408">
        <v>0</v>
      </c>
      <c r="N438" s="408">
        <v>212.17500000000001</v>
      </c>
      <c r="O438" s="408">
        <v>203.68799999999999</v>
      </c>
      <c r="P438" s="408">
        <v>212.17500000000001</v>
      </c>
      <c r="Q438" s="408">
        <v>203.68799999999999</v>
      </c>
      <c r="R438" s="408"/>
      <c r="S438" s="408">
        <v>81.2</v>
      </c>
      <c r="T438" s="408">
        <v>252.22</v>
      </c>
      <c r="U438" s="408"/>
      <c r="V438" s="408">
        <v>70743.388500000001</v>
      </c>
      <c r="W438" s="408">
        <v>70743.388500000001</v>
      </c>
      <c r="X438" s="408">
        <v>70344.499500000005</v>
      </c>
      <c r="Y438" s="408">
        <v>0</v>
      </c>
      <c r="Z438" s="408">
        <v>11417.613350716934</v>
      </c>
      <c r="AA438" s="408">
        <v>0</v>
      </c>
      <c r="AB438" s="408">
        <v>0</v>
      </c>
      <c r="AC438" s="408">
        <v>0</v>
      </c>
      <c r="AD438" s="408">
        <v>0</v>
      </c>
      <c r="AE438" s="408">
        <v>0</v>
      </c>
      <c r="AF438" s="408">
        <v>53515.365689423779</v>
      </c>
      <c r="AG438" s="408">
        <v>0</v>
      </c>
      <c r="AH438" s="408">
        <v>0</v>
      </c>
      <c r="AI438" s="408">
        <v>0</v>
      </c>
      <c r="AJ438" s="408">
        <v>0</v>
      </c>
      <c r="AK438" s="408">
        <v>0</v>
      </c>
      <c r="AL438" s="408">
        <v>2028.6113671150454</v>
      </c>
      <c r="AM438" s="408"/>
      <c r="AN438" s="408">
        <v>510.47313475354423</v>
      </c>
      <c r="AO438" s="408">
        <v>0</v>
      </c>
      <c r="AP438" s="408">
        <v>0</v>
      </c>
      <c r="AQ438" s="408">
        <v>0</v>
      </c>
      <c r="AR438" s="408">
        <v>0</v>
      </c>
      <c r="AS438" s="408">
        <v>0</v>
      </c>
      <c r="AT438" s="408">
        <v>0</v>
      </c>
      <c r="AU438" s="408">
        <v>0</v>
      </c>
      <c r="AV438" s="408">
        <v>0</v>
      </c>
      <c r="AW438" s="408">
        <v>0</v>
      </c>
      <c r="AX438" s="408">
        <v>0</v>
      </c>
      <c r="AY438" s="408">
        <v>0</v>
      </c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>
        <v>0</v>
      </c>
      <c r="BG438" s="408">
        <v>3272.3413469793632</v>
      </c>
      <c r="BH438" s="408">
        <v>0</v>
      </c>
      <c r="BI438" s="408">
        <v>0</v>
      </c>
      <c r="BJ438" s="408">
        <v>0</v>
      </c>
      <c r="BK438" s="408">
        <v>0</v>
      </c>
      <c r="BL438" s="408">
        <v>0</v>
      </c>
      <c r="BM438" s="408"/>
      <c r="BN438" s="408"/>
      <c r="BO438" s="408"/>
      <c r="BP438" s="408"/>
      <c r="BQ438" s="408"/>
      <c r="BR438" s="408">
        <v>2813.7799800000075</v>
      </c>
      <c r="BS438" s="408"/>
      <c r="BT438" s="408"/>
      <c r="BU438" s="408"/>
      <c r="BV438" s="408">
        <v>56787.707036403139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67531.382599999997</v>
      </c>
      <c r="CJ438" s="408">
        <v>-382.30035999999382</v>
      </c>
      <c r="CK438" s="408"/>
      <c r="CL438" s="408"/>
      <c r="CM438" s="408"/>
      <c r="CN438" s="408"/>
      <c r="CO438" s="408">
        <v>-398.88900000000206</v>
      </c>
      <c r="CP438" s="408">
        <v>0</v>
      </c>
      <c r="CQ438" s="408">
        <v>31</v>
      </c>
      <c r="CR438" s="408">
        <v>-399.53063135810953</v>
      </c>
      <c r="CS438" s="408">
        <v>0</v>
      </c>
      <c r="CT438" s="408">
        <v>0</v>
      </c>
      <c r="CU438" s="408">
        <v>0</v>
      </c>
      <c r="CV438" s="408">
        <v>0</v>
      </c>
      <c r="CW438" s="408">
        <v>0</v>
      </c>
      <c r="CX438" s="408">
        <v>0</v>
      </c>
      <c r="CY438" s="408">
        <v>0</v>
      </c>
      <c r="CZ438" s="408">
        <v>0</v>
      </c>
      <c r="DA438" s="408">
        <v>0</v>
      </c>
      <c r="DB438" s="408">
        <v>0</v>
      </c>
      <c r="DC438" s="408">
        <v>-7.5025091064162552E-6</v>
      </c>
      <c r="DD438" s="408">
        <v>0</v>
      </c>
      <c r="DE438" s="408">
        <v>0</v>
      </c>
      <c r="DF438" s="408">
        <v>0</v>
      </c>
      <c r="DG438" s="408">
        <v>-4.5876458898419514E-7</v>
      </c>
      <c r="DH438" s="408">
        <v>0</v>
      </c>
      <c r="DI438" s="408">
        <v>-331.99095999012934</v>
      </c>
      <c r="DJ438" s="408"/>
      <c r="DK438" s="408">
        <v>0</v>
      </c>
      <c r="DL438" s="408">
        <v>0</v>
      </c>
      <c r="DM438" s="408">
        <v>0</v>
      </c>
      <c r="DN438" s="408">
        <v>0</v>
      </c>
      <c r="DO438" s="408">
        <v>-50.963006223609455</v>
      </c>
      <c r="DP438" s="408">
        <v>-16.576657183093857</v>
      </c>
      <c r="DQ438" s="408">
        <v>0</v>
      </c>
      <c r="DR438" s="408">
        <v>0</v>
      </c>
      <c r="DS438" s="408"/>
      <c r="DT438" s="408"/>
      <c r="DU438" s="408"/>
      <c r="DV438" s="408">
        <v>0</v>
      </c>
      <c r="DW438" s="408">
        <v>0</v>
      </c>
      <c r="DX438" s="408">
        <v>0</v>
      </c>
      <c r="DY438" s="408">
        <v>-398.88900000000285</v>
      </c>
      <c r="DZ438" s="408">
        <v>0</v>
      </c>
      <c r="EA438" s="408">
        <v>0</v>
      </c>
      <c r="EB438" s="408">
        <v>0</v>
      </c>
      <c r="EC438" s="408">
        <v>0</v>
      </c>
      <c r="ED438" s="408">
        <v>0</v>
      </c>
      <c r="EE438" s="408">
        <v>0</v>
      </c>
      <c r="EF438" s="408">
        <v>0</v>
      </c>
      <c r="EG438" s="408">
        <v>0</v>
      </c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>
        <v>0</v>
      </c>
      <c r="EN438" s="408">
        <v>0</v>
      </c>
      <c r="EO438" s="408">
        <v>0</v>
      </c>
      <c r="EP438" s="408">
        <v>0</v>
      </c>
      <c r="EQ438" s="408">
        <v>0</v>
      </c>
      <c r="ER438" s="408">
        <v>0</v>
      </c>
      <c r="ES438" s="408">
        <v>0</v>
      </c>
      <c r="ET438" s="408">
        <v>0</v>
      </c>
      <c r="EU438" s="408">
        <v>0</v>
      </c>
      <c r="EV438" s="408">
        <v>265</v>
      </c>
      <c r="EW438" s="408">
        <v>0</v>
      </c>
      <c r="EX438" s="408">
        <v>0</v>
      </c>
      <c r="EY438" s="408">
        <v>0</v>
      </c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445</v>
      </c>
      <c r="B439" s="408" t="s">
        <v>2230</v>
      </c>
      <c r="C439" s="408" t="s">
        <v>2235</v>
      </c>
      <c r="D439" s="408" t="s">
        <v>596</v>
      </c>
      <c r="E439" s="408" t="s">
        <v>969</v>
      </c>
      <c r="F439" s="408" t="s">
        <v>2245</v>
      </c>
      <c r="G439" s="408" t="s">
        <v>1317</v>
      </c>
      <c r="H439" s="408" t="s">
        <v>1317</v>
      </c>
      <c r="I439" s="408" t="s">
        <v>2236</v>
      </c>
      <c r="J439" s="408" t="s">
        <v>2228</v>
      </c>
      <c r="K439" s="828">
        <v>44621</v>
      </c>
      <c r="L439" s="408">
        <v>0</v>
      </c>
      <c r="M439" s="408">
        <v>0</v>
      </c>
      <c r="N439" s="408">
        <v>3.9430000000000001</v>
      </c>
      <c r="O439" s="408">
        <v>3.7852799999999998</v>
      </c>
      <c r="P439" s="408">
        <v>3.9430000000000001</v>
      </c>
      <c r="Q439" s="408">
        <v>3.7852799999999998</v>
      </c>
      <c r="R439" s="408"/>
      <c r="S439" s="408">
        <v>81.2</v>
      </c>
      <c r="T439" s="408">
        <v>252.22</v>
      </c>
      <c r="U439" s="408"/>
      <c r="V439" s="408">
        <v>1314.67506</v>
      </c>
      <c r="W439" s="408">
        <v>1314.67506</v>
      </c>
      <c r="X439" s="408">
        <v>1307.2622200000001</v>
      </c>
      <c r="Y439" s="408">
        <v>0</v>
      </c>
      <c r="Z439" s="408">
        <v>212.18168701249851</v>
      </c>
      <c r="AA439" s="408">
        <v>0</v>
      </c>
      <c r="AB439" s="408">
        <v>0</v>
      </c>
      <c r="AC439" s="408">
        <v>0</v>
      </c>
      <c r="AD439" s="408">
        <v>0</v>
      </c>
      <c r="AE439" s="408">
        <v>0</v>
      </c>
      <c r="AF439" s="408">
        <v>994.51437216164936</v>
      </c>
      <c r="AG439" s="408">
        <v>0</v>
      </c>
      <c r="AH439" s="408">
        <v>0</v>
      </c>
      <c r="AI439" s="408">
        <v>0</v>
      </c>
      <c r="AJ439" s="408">
        <v>0</v>
      </c>
      <c r="AK439" s="408">
        <v>0</v>
      </c>
      <c r="AL439" s="408">
        <v>37.699138072509122</v>
      </c>
      <c r="AM439" s="408"/>
      <c r="AN439" s="408">
        <v>9.4864879007103795</v>
      </c>
      <c r="AO439" s="408">
        <v>0</v>
      </c>
      <c r="AP439" s="408">
        <v>0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0</v>
      </c>
      <c r="BE439" s="408">
        <v>0</v>
      </c>
      <c r="BF439" s="408">
        <v>0</v>
      </c>
      <c r="BG439" s="408">
        <v>60.81226313721988</v>
      </c>
      <c r="BH439" s="408">
        <v>0</v>
      </c>
      <c r="BI439" s="408">
        <v>0</v>
      </c>
      <c r="BJ439" s="408">
        <v>0</v>
      </c>
      <c r="BK439" s="408">
        <v>0</v>
      </c>
      <c r="BL439" s="408">
        <v>0</v>
      </c>
      <c r="BM439" s="408"/>
      <c r="BN439" s="408"/>
      <c r="BO439" s="408"/>
      <c r="BP439" s="408"/>
      <c r="BQ439" s="408"/>
      <c r="BR439" s="408">
        <v>52.290488800000098</v>
      </c>
      <c r="BS439" s="408"/>
      <c r="BT439" s="408"/>
      <c r="BU439" s="408"/>
      <c r="BV439" s="408">
        <v>1055.3266352988692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1256.5365999999999</v>
      </c>
      <c r="CJ439" s="408">
        <v>-5.5814576000000216</v>
      </c>
      <c r="CK439" s="408"/>
      <c r="CL439" s="408"/>
      <c r="CM439" s="408"/>
      <c r="CN439" s="408"/>
      <c r="CO439" s="408">
        <v>-7.4128400000000383</v>
      </c>
      <c r="CP439" s="408">
        <v>0</v>
      </c>
      <c r="CQ439" s="408">
        <v>31</v>
      </c>
      <c r="CR439" s="408">
        <v>-7.4247638951105728</v>
      </c>
      <c r="CS439" s="408">
        <v>0</v>
      </c>
      <c r="CT439" s="408">
        <v>0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0</v>
      </c>
      <c r="DA439" s="408">
        <v>0</v>
      </c>
      <c r="DB439" s="408">
        <v>0</v>
      </c>
      <c r="DC439" s="408">
        <v>-1.394245146002504E-7</v>
      </c>
      <c r="DD439" s="408">
        <v>0</v>
      </c>
      <c r="DE439" s="408">
        <v>0</v>
      </c>
      <c r="DF439" s="408">
        <v>0</v>
      </c>
      <c r="DG439" s="408">
        <v>-8.5255535964279261E-9</v>
      </c>
      <c r="DH439" s="408">
        <v>0</v>
      </c>
      <c r="DI439" s="408">
        <v>-6.1696258053073336</v>
      </c>
      <c r="DJ439" s="408"/>
      <c r="DK439" s="408">
        <v>0</v>
      </c>
      <c r="DL439" s="408">
        <v>0</v>
      </c>
      <c r="DM439" s="408">
        <v>0</v>
      </c>
      <c r="DN439" s="408">
        <v>0</v>
      </c>
      <c r="DO439" s="408">
        <v>-0.94708204802493867</v>
      </c>
      <c r="DP439" s="408">
        <v>-0.30805589382792142</v>
      </c>
      <c r="DQ439" s="408">
        <v>0</v>
      </c>
      <c r="DR439" s="408">
        <v>0</v>
      </c>
      <c r="DS439" s="408"/>
      <c r="DT439" s="408"/>
      <c r="DU439" s="408"/>
      <c r="DV439" s="408">
        <v>0</v>
      </c>
      <c r="DW439" s="408">
        <v>0</v>
      </c>
      <c r="DX439" s="408">
        <v>0</v>
      </c>
      <c r="DY439" s="408">
        <v>-7.412840000000017</v>
      </c>
      <c r="DZ439" s="408">
        <v>0</v>
      </c>
      <c r="EA439" s="408">
        <v>0</v>
      </c>
      <c r="EB439" s="408">
        <v>0</v>
      </c>
      <c r="EC439" s="408">
        <v>0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0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265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446</v>
      </c>
      <c r="B440" s="408" t="s">
        <v>1031</v>
      </c>
      <c r="C440" s="408" t="s">
        <v>2235</v>
      </c>
      <c r="D440" s="408" t="s">
        <v>596</v>
      </c>
      <c r="E440" s="408" t="s">
        <v>969</v>
      </c>
      <c r="F440" s="408" t="s">
        <v>2245</v>
      </c>
      <c r="G440" s="408" t="s">
        <v>1317</v>
      </c>
      <c r="H440" s="408" t="s">
        <v>1317</v>
      </c>
      <c r="I440" s="408" t="s">
        <v>1317</v>
      </c>
      <c r="J440" s="408" t="s">
        <v>2228</v>
      </c>
      <c r="K440" s="828">
        <v>44621</v>
      </c>
      <c r="L440" s="408">
        <v>3986</v>
      </c>
      <c r="M440" s="408">
        <v>3826.56</v>
      </c>
      <c r="N440" s="408">
        <v>0</v>
      </c>
      <c r="O440" s="408">
        <v>0</v>
      </c>
      <c r="P440" s="408">
        <v>0</v>
      </c>
      <c r="Q440" s="408">
        <v>0</v>
      </c>
      <c r="R440" s="408">
        <v>74.44</v>
      </c>
      <c r="S440" s="408"/>
      <c r="T440" s="408"/>
      <c r="U440" s="408">
        <v>296717.83999999997</v>
      </c>
      <c r="V440" s="408"/>
      <c r="W440" s="408">
        <v>296717.83999999997</v>
      </c>
      <c r="X440" s="408">
        <v>181044.12</v>
      </c>
      <c r="Y440" s="408">
        <v>0</v>
      </c>
      <c r="Z440" s="408">
        <v>0</v>
      </c>
      <c r="AA440" s="408">
        <v>0</v>
      </c>
      <c r="AB440" s="408">
        <v>0</v>
      </c>
      <c r="AC440" s="408">
        <v>0</v>
      </c>
      <c r="AD440" s="408">
        <v>108487.33082638087</v>
      </c>
      <c r="AE440" s="408">
        <v>188225.0502056343</v>
      </c>
      <c r="AF440" s="408"/>
      <c r="AG440" s="408"/>
      <c r="AH440" s="408"/>
      <c r="AI440" s="408">
        <v>0</v>
      </c>
      <c r="AJ440" s="408">
        <v>0</v>
      </c>
      <c r="AK440" s="408">
        <v>0</v>
      </c>
      <c r="AL440" s="408">
        <v>0</v>
      </c>
      <c r="AM440" s="408"/>
      <c r="AN440" s="408">
        <v>0</v>
      </c>
      <c r="AO440" s="408">
        <v>0</v>
      </c>
      <c r="AP440" s="408">
        <v>0</v>
      </c>
      <c r="AQ440" s="408">
        <v>0</v>
      </c>
      <c r="AR440" s="408">
        <v>0</v>
      </c>
      <c r="AS440" s="408"/>
      <c r="AT440" s="408"/>
      <c r="AU440" s="408">
        <v>0</v>
      </c>
      <c r="AV440" s="408">
        <v>0</v>
      </c>
      <c r="AW440" s="408">
        <v>0</v>
      </c>
      <c r="AX440" s="408"/>
      <c r="AY440" s="408"/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0</v>
      </c>
      <c r="BF440" s="408"/>
      <c r="BG440" s="408">
        <v>0</v>
      </c>
      <c r="BH440" s="408">
        <v>0</v>
      </c>
      <c r="BI440" s="408">
        <v>0</v>
      </c>
      <c r="BJ440" s="408">
        <v>0</v>
      </c>
      <c r="BK440" s="408">
        <v>697.39</v>
      </c>
      <c r="BL440" s="408">
        <v>23</v>
      </c>
      <c r="BM440" s="408"/>
      <c r="BN440" s="408"/>
      <c r="BO440" s="408"/>
      <c r="BP440" s="408"/>
      <c r="BQ440" s="408"/>
      <c r="BR440" s="408">
        <v>7241.7648000000027</v>
      </c>
      <c r="BS440" s="408"/>
      <c r="BT440" s="408"/>
      <c r="BU440" s="408"/>
      <c r="BV440" s="408">
        <v>0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173802.35519999999</v>
      </c>
      <c r="CJ440" s="408">
        <v>-111046.80120000005</v>
      </c>
      <c r="CK440" s="408"/>
      <c r="CL440" s="408"/>
      <c r="CM440" s="408"/>
      <c r="CN440" s="408"/>
      <c r="CO440" s="408">
        <v>-115673.71999999999</v>
      </c>
      <c r="CP440" s="408">
        <v>0</v>
      </c>
      <c r="CQ440" s="408">
        <v>31</v>
      </c>
      <c r="CR440" s="408">
        <v>-278.82199382809631</v>
      </c>
      <c r="CS440" s="408">
        <v>0</v>
      </c>
      <c r="CT440" s="408">
        <v>0</v>
      </c>
      <c r="CU440" s="408">
        <v>0</v>
      </c>
      <c r="CV440" s="408">
        <v>0</v>
      </c>
      <c r="CW440" s="408"/>
      <c r="CX440" s="408"/>
      <c r="CY440" s="408"/>
      <c r="CZ440" s="408">
        <v>-278.82199382809631</v>
      </c>
      <c r="DA440" s="408">
        <v>0</v>
      </c>
      <c r="DB440" s="408">
        <v>0</v>
      </c>
      <c r="DC440" s="408"/>
      <c r="DD440" s="408"/>
      <c r="DE440" s="408">
        <v>0</v>
      </c>
      <c r="DF440" s="408">
        <v>0</v>
      </c>
      <c r="DG440" s="408">
        <v>0</v>
      </c>
      <c r="DH440" s="408">
        <v>0</v>
      </c>
      <c r="DI440" s="408">
        <v>0</v>
      </c>
      <c r="DJ440" s="408"/>
      <c r="DK440" s="408">
        <v>0</v>
      </c>
      <c r="DL440" s="408">
        <v>0</v>
      </c>
      <c r="DM440" s="408"/>
      <c r="DN440" s="408">
        <v>0</v>
      </c>
      <c r="DO440" s="408">
        <v>0</v>
      </c>
      <c r="DP440" s="408">
        <v>0</v>
      </c>
      <c r="DQ440" s="408">
        <v>0</v>
      </c>
      <c r="DR440" s="408">
        <v>0</v>
      </c>
      <c r="DS440" s="408"/>
      <c r="DT440" s="408"/>
      <c r="DU440" s="408">
        <v>188225.0502056343</v>
      </c>
      <c r="DV440" s="408"/>
      <c r="DW440" s="408">
        <v>0</v>
      </c>
      <c r="DX440" s="408">
        <v>0</v>
      </c>
      <c r="DY440" s="408">
        <v>-115673.71999999997</v>
      </c>
      <c r="DZ440" s="408"/>
      <c r="EA440" s="408">
        <v>0</v>
      </c>
      <c r="EB440" s="408"/>
      <c r="EC440" s="408">
        <v>-115409.27133693291</v>
      </c>
      <c r="ED440" s="408"/>
      <c r="EE440" s="408">
        <v>0</v>
      </c>
      <c r="EF440" s="408">
        <v>0</v>
      </c>
      <c r="EG440" s="408"/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/>
      <c r="EN440" s="408"/>
      <c r="EO440" s="408">
        <v>0</v>
      </c>
      <c r="EP440" s="408">
        <v>0</v>
      </c>
      <c r="EQ440" s="408"/>
      <c r="ER440" s="408">
        <v>0</v>
      </c>
      <c r="ES440" s="408"/>
      <c r="ET440" s="408">
        <v>0</v>
      </c>
      <c r="EU440" s="408"/>
      <c r="EV440" s="408">
        <v>265</v>
      </c>
      <c r="EW440" s="408"/>
      <c r="EX440" s="408"/>
      <c r="EY440" s="408"/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447</v>
      </c>
      <c r="B441" s="408" t="s">
        <v>2229</v>
      </c>
      <c r="C441" s="408" t="s">
        <v>2235</v>
      </c>
      <c r="D441" s="408" t="s">
        <v>596</v>
      </c>
      <c r="E441" s="408" t="s">
        <v>969</v>
      </c>
      <c r="F441" s="408" t="s">
        <v>2245</v>
      </c>
      <c r="G441" s="408" t="s">
        <v>1317</v>
      </c>
      <c r="H441" s="408" t="s">
        <v>1317</v>
      </c>
      <c r="I441" s="408" t="s">
        <v>1317</v>
      </c>
      <c r="J441" s="408" t="s">
        <v>2228</v>
      </c>
      <c r="K441" s="828">
        <v>44621</v>
      </c>
      <c r="L441" s="408">
        <v>-348</v>
      </c>
      <c r="M441" s="408">
        <v>-334.08</v>
      </c>
      <c r="N441" s="408">
        <v>0</v>
      </c>
      <c r="O441" s="408">
        <v>0</v>
      </c>
      <c r="P441" s="408">
        <v>0</v>
      </c>
      <c r="Q441" s="408">
        <v>0</v>
      </c>
      <c r="R441" s="408">
        <v>74.44</v>
      </c>
      <c r="S441" s="408"/>
      <c r="T441" s="408"/>
      <c r="U441" s="408">
        <v>-25905.119999999999</v>
      </c>
      <c r="V441" s="408"/>
      <c r="W441" s="408">
        <v>-25905.119999999999</v>
      </c>
      <c r="X441" s="408">
        <v>-15806.16</v>
      </c>
      <c r="Y441" s="408">
        <v>0</v>
      </c>
      <c r="Z441" s="408">
        <v>0</v>
      </c>
      <c r="AA441" s="408">
        <v>0</v>
      </c>
      <c r="AB441" s="408">
        <v>0</v>
      </c>
      <c r="AC441" s="408">
        <v>0</v>
      </c>
      <c r="AD441" s="408">
        <v>-9471.5482005972262</v>
      </c>
      <c r="AE441" s="408">
        <v>-16433.095201094013</v>
      </c>
      <c r="AF441" s="408"/>
      <c r="AG441" s="408"/>
      <c r="AH441" s="408"/>
      <c r="AI441" s="408">
        <v>0</v>
      </c>
      <c r="AJ441" s="408">
        <v>0</v>
      </c>
      <c r="AK441" s="408">
        <v>0</v>
      </c>
      <c r="AL441" s="408">
        <v>0</v>
      </c>
      <c r="AM441" s="408"/>
      <c r="AN441" s="408">
        <v>0</v>
      </c>
      <c r="AO441" s="408">
        <v>0</v>
      </c>
      <c r="AP441" s="408">
        <v>0</v>
      </c>
      <c r="AQ441" s="408">
        <v>0</v>
      </c>
      <c r="AR441" s="408">
        <v>0</v>
      </c>
      <c r="AS441" s="408"/>
      <c r="AT441" s="408"/>
      <c r="AU441" s="408">
        <v>0</v>
      </c>
      <c r="AV441" s="408">
        <v>0</v>
      </c>
      <c r="AW441" s="408">
        <v>0</v>
      </c>
      <c r="AX441" s="408"/>
      <c r="AY441" s="408"/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0</v>
      </c>
      <c r="BF441" s="408"/>
      <c r="BG441" s="408">
        <v>0</v>
      </c>
      <c r="BH441" s="408">
        <v>0</v>
      </c>
      <c r="BI441" s="408">
        <v>0</v>
      </c>
      <c r="BJ441" s="408">
        <v>0</v>
      </c>
      <c r="BK441" s="408">
        <v>0</v>
      </c>
      <c r="BL441" s="408">
        <v>0</v>
      </c>
      <c r="BM441" s="408"/>
      <c r="BN441" s="408"/>
      <c r="BO441" s="408"/>
      <c r="BP441" s="408"/>
      <c r="BQ441" s="408"/>
      <c r="BR441" s="408">
        <v>-632.24640000000079</v>
      </c>
      <c r="BS441" s="408"/>
      <c r="BT441" s="408"/>
      <c r="BU441" s="408"/>
      <c r="BV441" s="408">
        <v>0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-15173.9136</v>
      </c>
      <c r="CJ441" s="408">
        <v>9694.9716000000044</v>
      </c>
      <c r="CK441" s="408"/>
      <c r="CL441" s="408"/>
      <c r="CM441" s="408"/>
      <c r="CN441" s="408"/>
      <c r="CO441" s="408">
        <v>10098.959999999999</v>
      </c>
      <c r="CP441" s="408">
        <v>0</v>
      </c>
      <c r="CQ441" s="408">
        <v>31</v>
      </c>
      <c r="CR441" s="408">
        <v>24.342712958397897</v>
      </c>
      <c r="CS441" s="408">
        <v>0</v>
      </c>
      <c r="CT441" s="408">
        <v>0</v>
      </c>
      <c r="CU441" s="408">
        <v>0</v>
      </c>
      <c r="CV441" s="408">
        <v>0</v>
      </c>
      <c r="CW441" s="408"/>
      <c r="CX441" s="408"/>
      <c r="CY441" s="408"/>
      <c r="CZ441" s="408">
        <v>24.342712958397897</v>
      </c>
      <c r="DA441" s="408">
        <v>0</v>
      </c>
      <c r="DB441" s="408">
        <v>0</v>
      </c>
      <c r="DC441" s="408"/>
      <c r="DD441" s="408"/>
      <c r="DE441" s="408">
        <v>0</v>
      </c>
      <c r="DF441" s="408">
        <v>0</v>
      </c>
      <c r="DG441" s="408">
        <v>0</v>
      </c>
      <c r="DH441" s="408">
        <v>0</v>
      </c>
      <c r="DI441" s="408">
        <v>0</v>
      </c>
      <c r="DJ441" s="408"/>
      <c r="DK441" s="408">
        <v>0</v>
      </c>
      <c r="DL441" s="408">
        <v>0</v>
      </c>
      <c r="DM441" s="408"/>
      <c r="DN441" s="408">
        <v>0</v>
      </c>
      <c r="DO441" s="408">
        <v>0</v>
      </c>
      <c r="DP441" s="408">
        <v>0</v>
      </c>
      <c r="DQ441" s="408">
        <v>0</v>
      </c>
      <c r="DR441" s="408">
        <v>0</v>
      </c>
      <c r="DS441" s="408"/>
      <c r="DT441" s="408"/>
      <c r="DU441" s="408">
        <v>-16433.095201094013</v>
      </c>
      <c r="DV441" s="408"/>
      <c r="DW441" s="408">
        <v>0</v>
      </c>
      <c r="DX441" s="408">
        <v>0</v>
      </c>
      <c r="DY441" s="408">
        <v>10098.959999999999</v>
      </c>
      <c r="DZ441" s="408"/>
      <c r="EA441" s="408">
        <v>0</v>
      </c>
      <c r="EB441" s="408"/>
      <c r="EC441" s="408">
        <v>10075.872158869206</v>
      </c>
      <c r="ED441" s="408"/>
      <c r="EE441" s="408">
        <v>0</v>
      </c>
      <c r="EF441" s="408">
        <v>0</v>
      </c>
      <c r="EG441" s="408"/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/>
      <c r="EN441" s="408"/>
      <c r="EO441" s="408">
        <v>0</v>
      </c>
      <c r="EP441" s="408">
        <v>0</v>
      </c>
      <c r="EQ441" s="408"/>
      <c r="ER441" s="408">
        <v>0</v>
      </c>
      <c r="ES441" s="408"/>
      <c r="ET441" s="408">
        <v>0</v>
      </c>
      <c r="EU441" s="408"/>
      <c r="EV441" s="408">
        <v>265</v>
      </c>
      <c r="EW441" s="408"/>
      <c r="EX441" s="408"/>
      <c r="EY441" s="408"/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448</v>
      </c>
      <c r="B442" s="408" t="s">
        <v>2230</v>
      </c>
      <c r="C442" s="408" t="s">
        <v>2235</v>
      </c>
      <c r="D442" s="408" t="s">
        <v>596</v>
      </c>
      <c r="E442" s="408" t="s">
        <v>969</v>
      </c>
      <c r="F442" s="408" t="s">
        <v>2245</v>
      </c>
      <c r="G442" s="408" t="s">
        <v>1317</v>
      </c>
      <c r="H442" s="408" t="s">
        <v>1317</v>
      </c>
      <c r="I442" s="408" t="s">
        <v>1317</v>
      </c>
      <c r="J442" s="408" t="s">
        <v>2228</v>
      </c>
      <c r="K442" s="828">
        <v>44621</v>
      </c>
      <c r="L442" s="408">
        <v>148</v>
      </c>
      <c r="M442" s="408">
        <v>142.07999999999998</v>
      </c>
      <c r="N442" s="408">
        <v>0</v>
      </c>
      <c r="O442" s="408">
        <v>0</v>
      </c>
      <c r="P442" s="408">
        <v>0</v>
      </c>
      <c r="Q442" s="408">
        <v>0</v>
      </c>
      <c r="R442" s="408">
        <v>74.44</v>
      </c>
      <c r="S442" s="408"/>
      <c r="T442" s="408"/>
      <c r="U442" s="408">
        <v>11017.119999999999</v>
      </c>
      <c r="V442" s="408"/>
      <c r="W442" s="408">
        <v>11017.119999999999</v>
      </c>
      <c r="X442" s="408">
        <v>6722.16</v>
      </c>
      <c r="Y442" s="408">
        <v>0</v>
      </c>
      <c r="Z442" s="408">
        <v>0</v>
      </c>
      <c r="AA442" s="408">
        <v>0</v>
      </c>
      <c r="AB442" s="408">
        <v>0</v>
      </c>
      <c r="AC442" s="408">
        <v>0</v>
      </c>
      <c r="AD442" s="408">
        <v>4028.1296945068666</v>
      </c>
      <c r="AE442" s="408">
        <v>6988.7876142583737</v>
      </c>
      <c r="AF442" s="408"/>
      <c r="AG442" s="408"/>
      <c r="AH442" s="408"/>
      <c r="AI442" s="408">
        <v>0</v>
      </c>
      <c r="AJ442" s="408">
        <v>0</v>
      </c>
      <c r="AK442" s="408">
        <v>0</v>
      </c>
      <c r="AL442" s="408">
        <v>0</v>
      </c>
      <c r="AM442" s="408"/>
      <c r="AN442" s="408">
        <v>0</v>
      </c>
      <c r="AO442" s="408">
        <v>0</v>
      </c>
      <c r="AP442" s="408">
        <v>0</v>
      </c>
      <c r="AQ442" s="408">
        <v>0</v>
      </c>
      <c r="AR442" s="408">
        <v>0</v>
      </c>
      <c r="AS442" s="408"/>
      <c r="AT442" s="408"/>
      <c r="AU442" s="408">
        <v>0</v>
      </c>
      <c r="AV442" s="408">
        <v>0</v>
      </c>
      <c r="AW442" s="408">
        <v>0</v>
      </c>
      <c r="AX442" s="408"/>
      <c r="AY442" s="408"/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0</v>
      </c>
      <c r="BF442" s="408"/>
      <c r="BG442" s="408">
        <v>0</v>
      </c>
      <c r="BH442" s="408">
        <v>0</v>
      </c>
      <c r="BI442" s="408">
        <v>0</v>
      </c>
      <c r="BJ442" s="408">
        <v>0</v>
      </c>
      <c r="BK442" s="408">
        <v>40.61</v>
      </c>
      <c r="BL442" s="408">
        <v>3</v>
      </c>
      <c r="BM442" s="408"/>
      <c r="BN442" s="408"/>
      <c r="BO442" s="408"/>
      <c r="BP442" s="408"/>
      <c r="BQ442" s="408"/>
      <c r="BR442" s="408">
        <v>268.88640000000072</v>
      </c>
      <c r="BS442" s="408"/>
      <c r="BT442" s="408"/>
      <c r="BU442" s="408"/>
      <c r="BV442" s="408">
        <v>0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6453.2736000000004</v>
      </c>
      <c r="CJ442" s="408">
        <v>-4123.1915999999983</v>
      </c>
      <c r="CK442" s="408"/>
      <c r="CL442" s="408"/>
      <c r="CM442" s="408"/>
      <c r="CN442" s="408"/>
      <c r="CO442" s="408">
        <v>-4294.9599999999991</v>
      </c>
      <c r="CP442" s="408">
        <v>0</v>
      </c>
      <c r="CQ442" s="408">
        <v>31</v>
      </c>
      <c r="CR442" s="408">
        <v>-10.352648039779069</v>
      </c>
      <c r="CS442" s="408">
        <v>0</v>
      </c>
      <c r="CT442" s="408">
        <v>0</v>
      </c>
      <c r="CU442" s="408">
        <v>0</v>
      </c>
      <c r="CV442" s="408">
        <v>0</v>
      </c>
      <c r="CW442" s="408"/>
      <c r="CX442" s="408"/>
      <c r="CY442" s="408"/>
      <c r="CZ442" s="408">
        <v>-10.352648039779069</v>
      </c>
      <c r="DA442" s="408">
        <v>0</v>
      </c>
      <c r="DB442" s="408">
        <v>0</v>
      </c>
      <c r="DC442" s="408"/>
      <c r="DD442" s="408"/>
      <c r="DE442" s="408">
        <v>0</v>
      </c>
      <c r="DF442" s="408">
        <v>0</v>
      </c>
      <c r="DG442" s="408">
        <v>0</v>
      </c>
      <c r="DH442" s="408">
        <v>0</v>
      </c>
      <c r="DI442" s="408">
        <v>0</v>
      </c>
      <c r="DJ442" s="408"/>
      <c r="DK442" s="408">
        <v>0</v>
      </c>
      <c r="DL442" s="408">
        <v>0</v>
      </c>
      <c r="DM442" s="408"/>
      <c r="DN442" s="408">
        <v>0</v>
      </c>
      <c r="DO442" s="408">
        <v>0</v>
      </c>
      <c r="DP442" s="408">
        <v>0</v>
      </c>
      <c r="DQ442" s="408">
        <v>0</v>
      </c>
      <c r="DR442" s="408">
        <v>0</v>
      </c>
      <c r="DS442" s="408"/>
      <c r="DT442" s="408"/>
      <c r="DU442" s="408">
        <v>6988.7876142583737</v>
      </c>
      <c r="DV442" s="408"/>
      <c r="DW442" s="408">
        <v>0</v>
      </c>
      <c r="DX442" s="408">
        <v>0</v>
      </c>
      <c r="DY442" s="408">
        <v>-4294.9599999999991</v>
      </c>
      <c r="DZ442" s="408"/>
      <c r="EA442" s="408">
        <v>0</v>
      </c>
      <c r="EB442" s="408"/>
      <c r="EC442" s="408">
        <v>-4285.1410330823064</v>
      </c>
      <c r="ED442" s="408"/>
      <c r="EE442" s="408">
        <v>0</v>
      </c>
      <c r="EF442" s="408">
        <v>0</v>
      </c>
      <c r="EG442" s="408"/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/>
      <c r="EN442" s="408"/>
      <c r="EO442" s="408">
        <v>0</v>
      </c>
      <c r="EP442" s="408">
        <v>0</v>
      </c>
      <c r="EQ442" s="408"/>
      <c r="ER442" s="408">
        <v>0</v>
      </c>
      <c r="ES442" s="408"/>
      <c r="ET442" s="408">
        <v>0</v>
      </c>
      <c r="EU442" s="408"/>
      <c r="EV442" s="408">
        <v>265</v>
      </c>
      <c r="EW442" s="408"/>
      <c r="EX442" s="408"/>
      <c r="EY442" s="408"/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449</v>
      </c>
      <c r="B443" s="408" t="s">
        <v>1031</v>
      </c>
      <c r="C443" s="408" t="s">
        <v>2235</v>
      </c>
      <c r="D443" s="408" t="s">
        <v>596</v>
      </c>
      <c r="E443" s="408" t="s">
        <v>969</v>
      </c>
      <c r="F443" s="408" t="s">
        <v>2245</v>
      </c>
      <c r="G443" s="408" t="s">
        <v>2247</v>
      </c>
      <c r="H443" s="408" t="s">
        <v>1317</v>
      </c>
      <c r="I443" s="408" t="s">
        <v>2236</v>
      </c>
      <c r="J443" s="408" t="s">
        <v>2228</v>
      </c>
      <c r="K443" s="828">
        <v>44621</v>
      </c>
      <c r="L443" s="408">
        <v>0</v>
      </c>
      <c r="M443" s="408">
        <v>0</v>
      </c>
      <c r="N443" s="408">
        <v>160.22999999999999</v>
      </c>
      <c r="O443" s="408">
        <v>48.069000000000003</v>
      </c>
      <c r="P443" s="408">
        <v>160.22999999999999</v>
      </c>
      <c r="Q443" s="408">
        <v>48.069000000000003</v>
      </c>
      <c r="R443" s="408"/>
      <c r="S443" s="408">
        <v>81.2</v>
      </c>
      <c r="T443" s="408">
        <v>252.22</v>
      </c>
      <c r="U443" s="408"/>
      <c r="V443" s="408">
        <v>53423.886599999998</v>
      </c>
      <c r="W443" s="408">
        <v>53423.886599999998</v>
      </c>
      <c r="X443" s="408">
        <v>53122.654199999997</v>
      </c>
      <c r="Y443" s="408">
        <v>0</v>
      </c>
      <c r="Z443" s="408">
        <v>8622.3362186184713</v>
      </c>
      <c r="AA443" s="408">
        <v>0</v>
      </c>
      <c r="AB443" s="408">
        <v>0</v>
      </c>
      <c r="AC443" s="408">
        <v>0</v>
      </c>
      <c r="AD443" s="408">
        <v>0</v>
      </c>
      <c r="AE443" s="408">
        <v>0</v>
      </c>
      <c r="AF443" s="408">
        <v>40413.654032833139</v>
      </c>
      <c r="AG443" s="408">
        <v>0</v>
      </c>
      <c r="AH443" s="408">
        <v>0</v>
      </c>
      <c r="AI443" s="408">
        <v>0</v>
      </c>
      <c r="AJ443" s="408">
        <v>0</v>
      </c>
      <c r="AK443" s="408">
        <v>0</v>
      </c>
      <c r="AL443" s="408">
        <v>1531.963706152203</v>
      </c>
      <c r="AM443" s="408"/>
      <c r="AN443" s="408">
        <v>385.49834043388893</v>
      </c>
      <c r="AO443" s="408">
        <v>0</v>
      </c>
      <c r="AP443" s="408">
        <v>0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0</v>
      </c>
      <c r="BE443" s="408">
        <v>0</v>
      </c>
      <c r="BF443" s="408">
        <v>0</v>
      </c>
      <c r="BG443" s="408">
        <v>2471.2018570826126</v>
      </c>
      <c r="BH443" s="408">
        <v>0</v>
      </c>
      <c r="BI443" s="408">
        <v>0</v>
      </c>
      <c r="BJ443" s="408">
        <v>0</v>
      </c>
      <c r="BK443" s="408">
        <v>0</v>
      </c>
      <c r="BL443" s="408">
        <v>0</v>
      </c>
      <c r="BM443" s="408"/>
      <c r="BN443" s="408"/>
      <c r="BO443" s="408"/>
      <c r="BP443" s="408"/>
      <c r="BQ443" s="408"/>
      <c r="BR443" s="408"/>
      <c r="BS443" s="408">
        <v>37185.857939999994</v>
      </c>
      <c r="BT443" s="408"/>
      <c r="BU443" s="408"/>
      <c r="BV443" s="408">
        <v>42884.855889915751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15937.127799999998</v>
      </c>
      <c r="CJ443" s="408">
        <v>-90.068180000003849</v>
      </c>
      <c r="CK443" s="408"/>
      <c r="CL443" s="408"/>
      <c r="CM443" s="408"/>
      <c r="CN443" s="408"/>
      <c r="CO443" s="408">
        <v>-301.23240000000152</v>
      </c>
      <c r="CP443" s="408">
        <v>0</v>
      </c>
      <c r="CQ443" s="408">
        <v>31</v>
      </c>
      <c r="CR443" s="408">
        <v>-301.71694621189818</v>
      </c>
      <c r="CS443" s="408">
        <v>0</v>
      </c>
      <c r="CT443" s="408">
        <v>0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0</v>
      </c>
      <c r="DA443" s="408">
        <v>0</v>
      </c>
      <c r="DB443" s="408">
        <v>0</v>
      </c>
      <c r="DC443" s="408">
        <v>-5.6657372624613345E-6</v>
      </c>
      <c r="DD443" s="408">
        <v>0</v>
      </c>
      <c r="DE443" s="408">
        <v>0</v>
      </c>
      <c r="DF443" s="408">
        <v>0</v>
      </c>
      <c r="DG443" s="408">
        <v>-3.4644926927285269E-7</v>
      </c>
      <c r="DH443" s="408">
        <v>0</v>
      </c>
      <c r="DI443" s="408">
        <v>-250.71243793669601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-38.486167018776769</v>
      </c>
      <c r="DP443" s="408">
        <v>-12.518335244242394</v>
      </c>
      <c r="DQ443" s="408">
        <v>0</v>
      </c>
      <c r="DR443" s="408">
        <v>0</v>
      </c>
      <c r="DS443" s="408"/>
      <c r="DT443" s="408"/>
      <c r="DU443" s="408"/>
      <c r="DV443" s="408">
        <v>0</v>
      </c>
      <c r="DW443" s="408">
        <v>0</v>
      </c>
      <c r="DX443" s="408">
        <v>0</v>
      </c>
      <c r="DY443" s="408">
        <v>-301.23240000000078</v>
      </c>
      <c r="DZ443" s="408">
        <v>0</v>
      </c>
      <c r="EA443" s="408">
        <v>0</v>
      </c>
      <c r="EB443" s="408">
        <v>0</v>
      </c>
      <c r="EC443" s="408">
        <v>0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0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265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450</v>
      </c>
      <c r="B444" s="408" t="s">
        <v>1031</v>
      </c>
      <c r="C444" s="408" t="s">
        <v>2227</v>
      </c>
      <c r="D444" s="408" t="s">
        <v>1949</v>
      </c>
      <c r="E444" s="408" t="s">
        <v>964</v>
      </c>
      <c r="F444" s="408" t="s">
        <v>964</v>
      </c>
      <c r="G444" s="408" t="s">
        <v>1317</v>
      </c>
      <c r="H444" s="408" t="s">
        <v>1317</v>
      </c>
      <c r="I444" s="408" t="s">
        <v>1317</v>
      </c>
      <c r="J444" s="408" t="s">
        <v>2228</v>
      </c>
      <c r="K444" s="828">
        <v>44652</v>
      </c>
      <c r="L444" s="408">
        <v>0</v>
      </c>
      <c r="M444" s="408">
        <v>0</v>
      </c>
      <c r="N444" s="408">
        <v>1039.5609999999999</v>
      </c>
      <c r="O444" s="408">
        <v>1039.5609999999999</v>
      </c>
      <c r="P444" s="408">
        <v>1039.5609999999999</v>
      </c>
      <c r="Q444" s="408">
        <v>1039.5609999999999</v>
      </c>
      <c r="R444" s="408"/>
      <c r="S444" s="408">
        <v>739.04</v>
      </c>
      <c r="T444" s="408">
        <v>252.22</v>
      </c>
      <c r="U444" s="408"/>
      <c r="V444" s="408">
        <v>1030475.2368599998</v>
      </c>
      <c r="W444" s="408">
        <v>1030475.2368599998</v>
      </c>
      <c r="X444" s="408">
        <v>704791.17116999999</v>
      </c>
      <c r="Y444" s="408">
        <v>0</v>
      </c>
      <c r="Z444" s="408">
        <v>64300.129352584663</v>
      </c>
      <c r="AA444" s="408">
        <v>0</v>
      </c>
      <c r="AB444" s="408">
        <v>0</v>
      </c>
      <c r="AC444" s="408">
        <v>0</v>
      </c>
      <c r="AD444" s="408">
        <v>128383.26869407094</v>
      </c>
      <c r="AE444" s="408">
        <v>527044.7132246166</v>
      </c>
      <c r="AF444" s="408">
        <v>262200.95238111494</v>
      </c>
      <c r="AG444" s="408">
        <v>0</v>
      </c>
      <c r="AH444" s="408">
        <v>0</v>
      </c>
      <c r="AI444" s="408">
        <v>0</v>
      </c>
      <c r="AJ444" s="408">
        <v>0</v>
      </c>
      <c r="AK444" s="408">
        <v>0</v>
      </c>
      <c r="AL444" s="408">
        <v>9939.2730595474641</v>
      </c>
      <c r="AM444" s="408"/>
      <c r="AN444" s="408">
        <v>2436.001772691764</v>
      </c>
      <c r="AO444" s="408">
        <v>0</v>
      </c>
      <c r="AP444" s="408">
        <v>0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0</v>
      </c>
      <c r="BF444" s="408">
        <v>0</v>
      </c>
      <c r="BG444" s="408">
        <v>36170.743205175801</v>
      </c>
      <c r="BH444" s="408">
        <v>0</v>
      </c>
      <c r="BI444" s="408">
        <v>0</v>
      </c>
      <c r="BJ444" s="408">
        <v>0</v>
      </c>
      <c r="BK444" s="408">
        <v>269451.90999999997</v>
      </c>
      <c r="BL444" s="408">
        <v>7752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298371.69558629073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704790.49319999991</v>
      </c>
      <c r="CJ444" s="408">
        <v>-325684.77365999995</v>
      </c>
      <c r="CK444" s="408"/>
      <c r="CL444" s="408"/>
      <c r="CM444" s="408"/>
      <c r="CN444" s="408"/>
      <c r="CO444" s="408">
        <v>-325684.06568999996</v>
      </c>
      <c r="CP444" s="408">
        <v>0</v>
      </c>
      <c r="CQ444" s="408">
        <v>30</v>
      </c>
      <c r="CR444" s="408">
        <v>-2528.4170727578457</v>
      </c>
      <c r="CS444" s="408">
        <v>0</v>
      </c>
      <c r="CT444" s="408">
        <v>0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-329.95630622254976</v>
      </c>
      <c r="DA444" s="408">
        <v>0</v>
      </c>
      <c r="DB444" s="408">
        <v>0</v>
      </c>
      <c r="DC444" s="408">
        <v>-3.6758894566446543E-5</v>
      </c>
      <c r="DD444" s="408">
        <v>0</v>
      </c>
      <c r="DE444" s="408">
        <v>0</v>
      </c>
      <c r="DF444" s="408">
        <v>0</v>
      </c>
      <c r="DG444" s="408">
        <v>-5.0708767957985401E-6</v>
      </c>
      <c r="DH444" s="408">
        <v>0</v>
      </c>
      <c r="DI444" s="408">
        <v>-1869.6605862830111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-249.69555184551245</v>
      </c>
      <c r="DP444" s="408">
        <v>-79.104586576946076</v>
      </c>
      <c r="DQ444" s="408">
        <v>0</v>
      </c>
      <c r="DR444" s="408">
        <v>0</v>
      </c>
      <c r="DS444" s="408"/>
      <c r="DT444" s="408"/>
      <c r="DU444" s="408"/>
      <c r="DV444" s="408">
        <v>527044.7132246166</v>
      </c>
      <c r="DW444" s="408">
        <v>0</v>
      </c>
      <c r="DX444" s="408">
        <v>0</v>
      </c>
      <c r="DY444" s="408">
        <v>-325684.06568999996</v>
      </c>
      <c r="DZ444" s="408">
        <v>0</v>
      </c>
      <c r="EA444" s="408">
        <v>0</v>
      </c>
      <c r="EB444" s="408">
        <v>0</v>
      </c>
      <c r="EC444" s="408">
        <v>-323154.89489196026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265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451</v>
      </c>
      <c r="B445" s="408" t="s">
        <v>2229</v>
      </c>
      <c r="C445" s="408" t="s">
        <v>2227</v>
      </c>
      <c r="D445" s="408" t="s">
        <v>1949</v>
      </c>
      <c r="E445" s="408" t="s">
        <v>964</v>
      </c>
      <c r="F445" s="408" t="s">
        <v>964</v>
      </c>
      <c r="G445" s="408" t="s">
        <v>1317</v>
      </c>
      <c r="H445" s="408" t="s">
        <v>1317</v>
      </c>
      <c r="I445" s="408" t="s">
        <v>1317</v>
      </c>
      <c r="J445" s="408" t="s">
        <v>2228</v>
      </c>
      <c r="K445" s="828">
        <v>44652</v>
      </c>
      <c r="L445" s="408">
        <v>0</v>
      </c>
      <c r="M445" s="408">
        <v>0</v>
      </c>
      <c r="N445" s="408">
        <v>-3.226</v>
      </c>
      <c r="O445" s="408">
        <v>-3.226</v>
      </c>
      <c r="P445" s="408">
        <v>-3.226</v>
      </c>
      <c r="Q445" s="408">
        <v>-3.226</v>
      </c>
      <c r="R445" s="408"/>
      <c r="S445" s="408">
        <v>739.04</v>
      </c>
      <c r="T445" s="408">
        <v>252.22</v>
      </c>
      <c r="U445" s="408"/>
      <c r="V445" s="408">
        <v>-3197.80476</v>
      </c>
      <c r="W445" s="408">
        <v>-3197.80476</v>
      </c>
      <c r="X445" s="408">
        <v>-2187.1312199999998</v>
      </c>
      <c r="Y445" s="408">
        <v>0</v>
      </c>
      <c r="Z445" s="408">
        <v>-199.53828326710808</v>
      </c>
      <c r="AA445" s="408">
        <v>0</v>
      </c>
      <c r="AB445" s="408">
        <v>0</v>
      </c>
      <c r="AC445" s="408">
        <v>0</v>
      </c>
      <c r="AD445" s="408">
        <v>-398.40319597125409</v>
      </c>
      <c r="AE445" s="408">
        <v>-1635.5425461926845</v>
      </c>
      <c r="AF445" s="408">
        <v>-813.67064788066978</v>
      </c>
      <c r="AG445" s="408">
        <v>0</v>
      </c>
      <c r="AH445" s="408">
        <v>0</v>
      </c>
      <c r="AI445" s="408">
        <v>0</v>
      </c>
      <c r="AJ445" s="408">
        <v>0</v>
      </c>
      <c r="AK445" s="408">
        <v>0</v>
      </c>
      <c r="AL445" s="408">
        <v>-30.843880147581647</v>
      </c>
      <c r="AM445" s="408"/>
      <c r="AN445" s="408">
        <v>-7.5594810874048086</v>
      </c>
      <c r="AO445" s="408">
        <v>0</v>
      </c>
      <c r="AP445" s="408">
        <v>0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0</v>
      </c>
      <c r="BF445" s="408">
        <v>0</v>
      </c>
      <c r="BG445" s="408">
        <v>-112.24624392401903</v>
      </c>
      <c r="BH445" s="408">
        <v>0</v>
      </c>
      <c r="BI445" s="408">
        <v>0</v>
      </c>
      <c r="BJ445" s="408">
        <v>0</v>
      </c>
      <c r="BK445" s="408">
        <v>-894.16</v>
      </c>
      <c r="BL445" s="408">
        <v>0</v>
      </c>
      <c r="BM445" s="408"/>
      <c r="BN445" s="408"/>
      <c r="BO445" s="408"/>
      <c r="BP445" s="408"/>
      <c r="BQ445" s="408"/>
      <c r="BR445" s="408"/>
      <c r="BS445" s="408"/>
      <c r="BT445" s="408"/>
      <c r="BU445" s="408"/>
      <c r="BV445" s="408">
        <v>-925.91689180468882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-2189.8431</v>
      </c>
      <c r="CJ445" s="408">
        <v>1007.9316599999993</v>
      </c>
      <c r="CK445" s="408"/>
      <c r="CL445" s="408"/>
      <c r="CM445" s="408"/>
      <c r="CN445" s="408"/>
      <c r="CO445" s="408">
        <v>1010.6735399999999</v>
      </c>
      <c r="CP445" s="408">
        <v>0</v>
      </c>
      <c r="CQ445" s="408">
        <v>30</v>
      </c>
      <c r="CR445" s="408">
        <v>7.8462672962109536</v>
      </c>
      <c r="CS445" s="408">
        <v>0</v>
      </c>
      <c r="CT445" s="408">
        <v>0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1.023931297801596</v>
      </c>
      <c r="DA445" s="408">
        <v>0</v>
      </c>
      <c r="DB445" s="408">
        <v>0</v>
      </c>
      <c r="DC445" s="408">
        <v>1.1407144029362826E-7</v>
      </c>
      <c r="DD445" s="408">
        <v>0</v>
      </c>
      <c r="DE445" s="408">
        <v>0</v>
      </c>
      <c r="DF445" s="408">
        <v>0</v>
      </c>
      <c r="DG445" s="408">
        <v>1.573611996263935E-8</v>
      </c>
      <c r="DH445" s="408">
        <v>0</v>
      </c>
      <c r="DI445" s="408">
        <v>5.8019924288704487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0.77486347626894769</v>
      </c>
      <c r="DP445" s="408">
        <v>0.24547996346268075</v>
      </c>
      <c r="DQ445" s="408">
        <v>0</v>
      </c>
      <c r="DR445" s="408">
        <v>0</v>
      </c>
      <c r="DS445" s="408"/>
      <c r="DT445" s="408"/>
      <c r="DU445" s="408"/>
      <c r="DV445" s="408">
        <v>-1635.5425461926845</v>
      </c>
      <c r="DW445" s="408">
        <v>0</v>
      </c>
      <c r="DX445" s="408">
        <v>0</v>
      </c>
      <c r="DY445" s="408">
        <v>1010.67354</v>
      </c>
      <c r="DZ445" s="408">
        <v>0</v>
      </c>
      <c r="EA445" s="408">
        <v>0</v>
      </c>
      <c r="EB445" s="408">
        <v>0</v>
      </c>
      <c r="EC445" s="408">
        <v>1002.8249337186215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265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452</v>
      </c>
      <c r="B446" s="408" t="s">
        <v>2230</v>
      </c>
      <c r="C446" s="408" t="s">
        <v>2227</v>
      </c>
      <c r="D446" s="408" t="s">
        <v>1949</v>
      </c>
      <c r="E446" s="408" t="s">
        <v>964</v>
      </c>
      <c r="F446" s="408" t="s">
        <v>964</v>
      </c>
      <c r="G446" s="408" t="s">
        <v>1317</v>
      </c>
      <c r="H446" s="408" t="s">
        <v>1317</v>
      </c>
      <c r="I446" s="408" t="s">
        <v>1317</v>
      </c>
      <c r="J446" s="408" t="s">
        <v>2228</v>
      </c>
      <c r="K446" s="828">
        <v>44652</v>
      </c>
      <c r="L446" s="408">
        <v>0</v>
      </c>
      <c r="M446" s="408">
        <v>0</v>
      </c>
      <c r="N446" s="408">
        <v>31.696000000000002</v>
      </c>
      <c r="O446" s="408">
        <v>31.696000000000002</v>
      </c>
      <c r="P446" s="408">
        <v>31.696000000000002</v>
      </c>
      <c r="Q446" s="408">
        <v>31.696000000000002</v>
      </c>
      <c r="R446" s="408"/>
      <c r="S446" s="408">
        <v>739.04</v>
      </c>
      <c r="T446" s="408">
        <v>252.22</v>
      </c>
      <c r="U446" s="408"/>
      <c r="V446" s="408">
        <v>31418.97696</v>
      </c>
      <c r="W446" s="408">
        <v>31418.97696</v>
      </c>
      <c r="X446" s="408">
        <v>21488.937120000002</v>
      </c>
      <c r="Y446" s="408">
        <v>0</v>
      </c>
      <c r="Z446" s="408">
        <v>1960.4976523354799</v>
      </c>
      <c r="AA446" s="408">
        <v>0</v>
      </c>
      <c r="AB446" s="408">
        <v>0</v>
      </c>
      <c r="AC446" s="408">
        <v>0</v>
      </c>
      <c r="AD446" s="408">
        <v>3914.3793240870646</v>
      </c>
      <c r="AE446" s="408">
        <v>16069.484359616656</v>
      </c>
      <c r="AF446" s="408">
        <v>7994.4528379496933</v>
      </c>
      <c r="AG446" s="408">
        <v>0</v>
      </c>
      <c r="AH446" s="408">
        <v>0</v>
      </c>
      <c r="AI446" s="408">
        <v>0</v>
      </c>
      <c r="AJ446" s="408">
        <v>0</v>
      </c>
      <c r="AK446" s="408">
        <v>0</v>
      </c>
      <c r="AL446" s="408">
        <v>303.04638101604087</v>
      </c>
      <c r="AM446" s="408"/>
      <c r="AN446" s="408">
        <v>74.273190497948804</v>
      </c>
      <c r="AO446" s="408">
        <v>0</v>
      </c>
      <c r="AP446" s="408">
        <v>0</v>
      </c>
      <c r="AQ446" s="408">
        <v>0</v>
      </c>
      <c r="AR446" s="408">
        <v>0</v>
      </c>
      <c r="AS446" s="408">
        <v>0</v>
      </c>
      <c r="AT446" s="408">
        <v>0</v>
      </c>
      <c r="AU446" s="408">
        <v>0</v>
      </c>
      <c r="AV446" s="408">
        <v>0</v>
      </c>
      <c r="AW446" s="408">
        <v>0</v>
      </c>
      <c r="AX446" s="408">
        <v>0</v>
      </c>
      <c r="AY446" s="408">
        <v>0</v>
      </c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0</v>
      </c>
      <c r="BF446" s="408">
        <v>0</v>
      </c>
      <c r="BG446" s="408">
        <v>1102.8384833898658</v>
      </c>
      <c r="BH446" s="408">
        <v>0</v>
      </c>
      <c r="BI446" s="408">
        <v>0</v>
      </c>
      <c r="BJ446" s="408">
        <v>0</v>
      </c>
      <c r="BK446" s="408">
        <v>24448.51</v>
      </c>
      <c r="BL446" s="408">
        <v>526</v>
      </c>
      <c r="BM446" s="408"/>
      <c r="BN446" s="408"/>
      <c r="BO446" s="408"/>
      <c r="BP446" s="408"/>
      <c r="BQ446" s="408"/>
      <c r="BR446" s="408"/>
      <c r="BS446" s="408"/>
      <c r="BT446" s="408"/>
      <c r="BU446" s="408"/>
      <c r="BV446" s="408">
        <v>9097.2913213395586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21491.648999999998</v>
      </c>
      <c r="CJ446" s="408">
        <v>-9927.3579599999975</v>
      </c>
      <c r="CK446" s="408"/>
      <c r="CL446" s="408"/>
      <c r="CM446" s="408"/>
      <c r="CN446" s="408"/>
      <c r="CO446" s="408">
        <v>-9930.0398399999995</v>
      </c>
      <c r="CP446" s="408">
        <v>0</v>
      </c>
      <c r="CQ446" s="408">
        <v>30</v>
      </c>
      <c r="CR446" s="408">
        <v>-77.090913893585821</v>
      </c>
      <c r="CS446" s="408">
        <v>0</v>
      </c>
      <c r="CT446" s="408">
        <v>0</v>
      </c>
      <c r="CU446" s="408">
        <v>0</v>
      </c>
      <c r="CV446" s="408">
        <v>0</v>
      </c>
      <c r="CW446" s="408">
        <v>0</v>
      </c>
      <c r="CX446" s="408">
        <v>0</v>
      </c>
      <c r="CY446" s="408">
        <v>0</v>
      </c>
      <c r="CZ446" s="408">
        <v>-10.060299570713141</v>
      </c>
      <c r="DA446" s="408">
        <v>0</v>
      </c>
      <c r="DB446" s="408">
        <v>0</v>
      </c>
      <c r="DC446" s="408">
        <v>-1.1207712304894812E-6</v>
      </c>
      <c r="DD446" s="408">
        <v>0</v>
      </c>
      <c r="DE446" s="408">
        <v>0</v>
      </c>
      <c r="DF446" s="408">
        <v>0</v>
      </c>
      <c r="DG446" s="408">
        <v>-1.5461000657523982E-7</v>
      </c>
      <c r="DH446" s="408">
        <v>0</v>
      </c>
      <c r="DI446" s="408">
        <v>-57.005564794010525</v>
      </c>
      <c r="DJ446" s="408"/>
      <c r="DK446" s="408">
        <v>0</v>
      </c>
      <c r="DL446" s="408">
        <v>0</v>
      </c>
      <c r="DM446" s="408">
        <v>0</v>
      </c>
      <c r="DN446" s="408">
        <v>0</v>
      </c>
      <c r="DO446" s="408">
        <v>-7.613165760638708</v>
      </c>
      <c r="DP446" s="408">
        <v>-2.4118824928435032</v>
      </c>
      <c r="DQ446" s="408">
        <v>0</v>
      </c>
      <c r="DR446" s="408">
        <v>0</v>
      </c>
      <c r="DS446" s="408"/>
      <c r="DT446" s="408"/>
      <c r="DU446" s="408"/>
      <c r="DV446" s="408">
        <v>16069.484359616656</v>
      </c>
      <c r="DW446" s="408">
        <v>0</v>
      </c>
      <c r="DX446" s="408">
        <v>0</v>
      </c>
      <c r="DY446" s="408">
        <v>-9930.0398400000013</v>
      </c>
      <c r="DZ446" s="408">
        <v>0</v>
      </c>
      <c r="EA446" s="408">
        <v>0</v>
      </c>
      <c r="EB446" s="408">
        <v>0</v>
      </c>
      <c r="EC446" s="408">
        <v>-9852.9259451783728</v>
      </c>
      <c r="ED446" s="408">
        <v>0</v>
      </c>
      <c r="EE446" s="408">
        <v>0</v>
      </c>
      <c r="EF446" s="408">
        <v>0</v>
      </c>
      <c r="EG446" s="408">
        <v>0</v>
      </c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>
        <v>0</v>
      </c>
      <c r="EN446" s="408">
        <v>0</v>
      </c>
      <c r="EO446" s="408">
        <v>0</v>
      </c>
      <c r="EP446" s="408">
        <v>0</v>
      </c>
      <c r="EQ446" s="408">
        <v>0</v>
      </c>
      <c r="ER446" s="408">
        <v>0</v>
      </c>
      <c r="ES446" s="408">
        <v>0</v>
      </c>
      <c r="ET446" s="408">
        <v>0</v>
      </c>
      <c r="EU446" s="408">
        <v>0</v>
      </c>
      <c r="EV446" s="408">
        <v>265</v>
      </c>
      <c r="EW446" s="408">
        <v>0</v>
      </c>
      <c r="EX446" s="408">
        <v>0</v>
      </c>
      <c r="EY446" s="408">
        <v>0</v>
      </c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453</v>
      </c>
      <c r="B447" s="408" t="s">
        <v>1031</v>
      </c>
      <c r="C447" s="408" t="s">
        <v>2227</v>
      </c>
      <c r="D447" s="408" t="s">
        <v>1949</v>
      </c>
      <c r="E447" s="408" t="s">
        <v>964</v>
      </c>
      <c r="F447" s="408" t="s">
        <v>2231</v>
      </c>
      <c r="G447" s="408" t="s">
        <v>1317</v>
      </c>
      <c r="H447" s="408" t="s">
        <v>1317</v>
      </c>
      <c r="I447" s="408" t="s">
        <v>1317</v>
      </c>
      <c r="J447" s="408" t="s">
        <v>2228</v>
      </c>
      <c r="K447" s="828">
        <v>44652</v>
      </c>
      <c r="L447" s="408">
        <v>0</v>
      </c>
      <c r="M447" s="408">
        <v>0</v>
      </c>
      <c r="N447" s="408">
        <v>22.948</v>
      </c>
      <c r="O447" s="408">
        <v>22.948</v>
      </c>
      <c r="P447" s="408">
        <v>22.948</v>
      </c>
      <c r="Q447" s="408">
        <v>22.948</v>
      </c>
      <c r="R447" s="408"/>
      <c r="S447" s="408">
        <v>667.62</v>
      </c>
      <c r="T447" s="408">
        <v>252.22</v>
      </c>
      <c r="U447" s="408"/>
      <c r="V447" s="408">
        <v>21108.48832</v>
      </c>
      <c r="W447" s="408">
        <v>21108.48832</v>
      </c>
      <c r="X447" s="408">
        <v>13965.92332</v>
      </c>
      <c r="Y447" s="408">
        <v>0</v>
      </c>
      <c r="Z447" s="408">
        <v>0</v>
      </c>
      <c r="AA447" s="408">
        <v>0</v>
      </c>
      <c r="AB447" s="408">
        <v>0</v>
      </c>
      <c r="AC447" s="408">
        <v>0</v>
      </c>
      <c r="AD447" s="408">
        <v>2834.0224864068005</v>
      </c>
      <c r="AE447" s="408">
        <v>11634.355347188384</v>
      </c>
      <c r="AF447" s="408">
        <v>5788.0080680612555</v>
      </c>
      <c r="AG447" s="408">
        <v>0</v>
      </c>
      <c r="AH447" s="408">
        <v>0</v>
      </c>
      <c r="AI447" s="408">
        <v>0</v>
      </c>
      <c r="AJ447" s="408">
        <v>0</v>
      </c>
      <c r="AK447" s="408">
        <v>0</v>
      </c>
      <c r="AL447" s="408">
        <v>0</v>
      </c>
      <c r="AM447" s="408"/>
      <c r="AN447" s="408">
        <v>53.774014877174693</v>
      </c>
      <c r="AO447" s="408">
        <v>0</v>
      </c>
      <c r="AP447" s="408">
        <v>0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0</v>
      </c>
      <c r="BF447" s="408">
        <v>0</v>
      </c>
      <c r="BG447" s="408">
        <v>798.45840222206709</v>
      </c>
      <c r="BH447" s="408">
        <v>0</v>
      </c>
      <c r="BI447" s="408">
        <v>0</v>
      </c>
      <c r="BJ447" s="408">
        <v>0</v>
      </c>
      <c r="BK447" s="408">
        <v>1452.81</v>
      </c>
      <c r="BL447" s="408">
        <v>68</v>
      </c>
      <c r="BM447" s="408"/>
      <c r="BN447" s="408"/>
      <c r="BO447" s="408"/>
      <c r="BP447" s="408"/>
      <c r="BQ447" s="408"/>
      <c r="BR447" s="408"/>
      <c r="BS447" s="408"/>
      <c r="BT447" s="408">
        <v>9077.7698400000008</v>
      </c>
      <c r="BU447" s="408"/>
      <c r="BV447" s="408">
        <v>6586.4664702833225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4888.5794999999998</v>
      </c>
      <c r="CJ447" s="408">
        <v>-2499.5591000000004</v>
      </c>
      <c r="CK447" s="408"/>
      <c r="CL447" s="408"/>
      <c r="CM447" s="408"/>
      <c r="CN447" s="408"/>
      <c r="CO447" s="408">
        <v>-7142.5650000000005</v>
      </c>
      <c r="CP447" s="408">
        <v>0</v>
      </c>
      <c r="CQ447" s="408">
        <v>30</v>
      </c>
      <c r="CR447" s="408">
        <v>-9.0298985128065397</v>
      </c>
      <c r="CS447" s="408">
        <v>0</v>
      </c>
      <c r="CT447" s="408">
        <v>0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-7.2836873595629186</v>
      </c>
      <c r="DA447" s="408">
        <v>0</v>
      </c>
      <c r="DB447" s="408">
        <v>0</v>
      </c>
      <c r="DC447" s="408">
        <v>-8.1144207797478884E-7</v>
      </c>
      <c r="DD447" s="408">
        <v>0</v>
      </c>
      <c r="DE447" s="408">
        <v>0</v>
      </c>
      <c r="DF447" s="408">
        <v>0</v>
      </c>
      <c r="DG447" s="408">
        <v>-1.1193810678378213E-7</v>
      </c>
      <c r="DH447" s="408">
        <v>0</v>
      </c>
      <c r="DI447" s="408">
        <v>0</v>
      </c>
      <c r="DJ447" s="408"/>
      <c r="DK447" s="408">
        <v>0</v>
      </c>
      <c r="DL447" s="408">
        <v>0</v>
      </c>
      <c r="DM447" s="408">
        <v>0</v>
      </c>
      <c r="DN447" s="408">
        <v>0</v>
      </c>
      <c r="DO447" s="408">
        <v>0</v>
      </c>
      <c r="DP447" s="408">
        <v>-1.7462102298641042</v>
      </c>
      <c r="DQ447" s="408">
        <v>0</v>
      </c>
      <c r="DR447" s="408">
        <v>0</v>
      </c>
      <c r="DS447" s="408"/>
      <c r="DT447" s="408"/>
      <c r="DU447" s="408"/>
      <c r="DV447" s="408">
        <v>11634.355347188384</v>
      </c>
      <c r="DW447" s="408">
        <v>0</v>
      </c>
      <c r="DX447" s="408">
        <v>0</v>
      </c>
      <c r="DY447" s="408">
        <v>-7142.5650000000005</v>
      </c>
      <c r="DZ447" s="408">
        <v>0</v>
      </c>
      <c r="EA447" s="408">
        <v>0</v>
      </c>
      <c r="EB447" s="408">
        <v>0</v>
      </c>
      <c r="EC447" s="408">
        <v>-7133.548226588633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0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265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454</v>
      </c>
      <c r="B448" s="408" t="s">
        <v>2230</v>
      </c>
      <c r="C448" s="408" t="s">
        <v>2227</v>
      </c>
      <c r="D448" s="408" t="s">
        <v>1949</v>
      </c>
      <c r="E448" s="408" t="s">
        <v>964</v>
      </c>
      <c r="F448" s="408" t="s">
        <v>2231</v>
      </c>
      <c r="G448" s="408" t="s">
        <v>1317</v>
      </c>
      <c r="H448" s="408" t="s">
        <v>1317</v>
      </c>
      <c r="I448" s="408" t="s">
        <v>1317</v>
      </c>
      <c r="J448" s="408" t="s">
        <v>2228</v>
      </c>
      <c r="K448" s="828">
        <v>44652</v>
      </c>
      <c r="L448" s="408">
        <v>0</v>
      </c>
      <c r="M448" s="408">
        <v>0</v>
      </c>
      <c r="N448" s="408">
        <v>8.8999999999999996E-2</v>
      </c>
      <c r="O448" s="408">
        <v>-0.54735</v>
      </c>
      <c r="P448" s="408">
        <v>8.8999999999999996E-2</v>
      </c>
      <c r="Q448" s="408">
        <v>-0.54735</v>
      </c>
      <c r="R448" s="408"/>
      <c r="S448" s="408">
        <v>667.62</v>
      </c>
      <c r="T448" s="408">
        <v>252.22</v>
      </c>
      <c r="U448" s="408"/>
      <c r="V448" s="408">
        <v>81.865759999999995</v>
      </c>
      <c r="W448" s="408">
        <v>81.865759999999995</v>
      </c>
      <c r="X448" s="408">
        <v>54.164509999999993</v>
      </c>
      <c r="Y448" s="408">
        <v>0</v>
      </c>
      <c r="Z448" s="408">
        <v>0</v>
      </c>
      <c r="AA448" s="408">
        <v>0</v>
      </c>
      <c r="AB448" s="408">
        <v>0</v>
      </c>
      <c r="AC448" s="408">
        <v>0</v>
      </c>
      <c r="AD448" s="408">
        <v>10.991284699764915</v>
      </c>
      <c r="AE448" s="408">
        <v>45.121911534764081</v>
      </c>
      <c r="AF448" s="408">
        <v>22.44782630544935</v>
      </c>
      <c r="AG448" s="408">
        <v>0</v>
      </c>
      <c r="AH448" s="408">
        <v>0</v>
      </c>
      <c r="AI448" s="408">
        <v>0</v>
      </c>
      <c r="AJ448" s="408">
        <v>0</v>
      </c>
      <c r="AK448" s="408">
        <v>0</v>
      </c>
      <c r="AL448" s="408">
        <v>0</v>
      </c>
      <c r="AM448" s="408"/>
      <c r="AN448" s="408">
        <v>0.20855356998729943</v>
      </c>
      <c r="AO448" s="408">
        <v>0</v>
      </c>
      <c r="AP448" s="408">
        <v>0</v>
      </c>
      <c r="AQ448" s="408">
        <v>0</v>
      </c>
      <c r="AR448" s="408">
        <v>0</v>
      </c>
      <c r="AS448" s="408">
        <v>0</v>
      </c>
      <c r="AT448" s="408">
        <v>0</v>
      </c>
      <c r="AU448" s="408">
        <v>0</v>
      </c>
      <c r="AV448" s="408">
        <v>0</v>
      </c>
      <c r="AW448" s="408">
        <v>0</v>
      </c>
      <c r="AX448" s="408">
        <v>0</v>
      </c>
      <c r="AY448" s="408">
        <v>0</v>
      </c>
      <c r="AZ448" s="408">
        <v>0</v>
      </c>
      <c r="BA448" s="408"/>
      <c r="BB448" s="408">
        <v>0</v>
      </c>
      <c r="BC448" s="408">
        <v>0</v>
      </c>
      <c r="BD448" s="408">
        <v>0</v>
      </c>
      <c r="BE448" s="408">
        <v>0</v>
      </c>
      <c r="BF448" s="408">
        <v>0</v>
      </c>
      <c r="BG448" s="408">
        <v>3.0966880685795699</v>
      </c>
      <c r="BH448" s="408">
        <v>0</v>
      </c>
      <c r="BI448" s="408">
        <v>0</v>
      </c>
      <c r="BJ448" s="408">
        <v>0</v>
      </c>
      <c r="BK448" s="408">
        <v>15.52</v>
      </c>
      <c r="BL448" s="408">
        <v>0</v>
      </c>
      <c r="BM448" s="408"/>
      <c r="BN448" s="408"/>
      <c r="BO448" s="408"/>
      <c r="BP448" s="408"/>
      <c r="BQ448" s="408"/>
      <c r="BR448" s="408"/>
      <c r="BS448" s="408"/>
      <c r="BT448" s="408">
        <v>170.75553350000001</v>
      </c>
      <c r="BU448" s="408"/>
      <c r="BV448" s="408">
        <v>25.544514374028921</v>
      </c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>
        <v>-117.1555</v>
      </c>
      <c r="CJ448" s="408">
        <v>59.033832499999974</v>
      </c>
      <c r="CK448" s="408"/>
      <c r="CL448" s="408"/>
      <c r="CM448" s="408"/>
      <c r="CN448" s="408"/>
      <c r="CO448" s="408">
        <v>-27.701249999999998</v>
      </c>
      <c r="CP448" s="408">
        <v>0</v>
      </c>
      <c r="CQ448" s="408">
        <v>30</v>
      </c>
      <c r="CR448" s="408">
        <v>-3.5020959022133979E-2</v>
      </c>
      <c r="CS448" s="408">
        <v>0</v>
      </c>
      <c r="CT448" s="408">
        <v>0</v>
      </c>
      <c r="CU448" s="408">
        <v>0</v>
      </c>
      <c r="CV448" s="408">
        <v>0</v>
      </c>
      <c r="CW448" s="408">
        <v>0</v>
      </c>
      <c r="CX448" s="408">
        <v>0</v>
      </c>
      <c r="CY448" s="408">
        <v>0</v>
      </c>
      <c r="CZ448" s="408">
        <v>-2.8248569592172146E-2</v>
      </c>
      <c r="DA448" s="408">
        <v>0</v>
      </c>
      <c r="DB448" s="408">
        <v>0</v>
      </c>
      <c r="DC448" s="408">
        <v>-3.1470399619593081E-9</v>
      </c>
      <c r="DD448" s="408">
        <v>0</v>
      </c>
      <c r="DE448" s="408">
        <v>0</v>
      </c>
      <c r="DF448" s="408">
        <v>0</v>
      </c>
      <c r="DG448" s="408">
        <v>-4.3413361794364391E-10</v>
      </c>
      <c r="DH448" s="408">
        <v>0</v>
      </c>
      <c r="DI448" s="408">
        <v>0</v>
      </c>
      <c r="DJ448" s="408"/>
      <c r="DK448" s="408">
        <v>0</v>
      </c>
      <c r="DL448" s="408">
        <v>0</v>
      </c>
      <c r="DM448" s="408">
        <v>0</v>
      </c>
      <c r="DN448" s="408">
        <v>0</v>
      </c>
      <c r="DO448" s="408">
        <v>0</v>
      </c>
      <c r="DP448" s="408">
        <v>-6.7723858487844235E-3</v>
      </c>
      <c r="DQ448" s="408">
        <v>0</v>
      </c>
      <c r="DR448" s="408">
        <v>0</v>
      </c>
      <c r="DS448" s="408"/>
      <c r="DT448" s="408"/>
      <c r="DU448" s="408"/>
      <c r="DV448" s="408">
        <v>45.121911534764081</v>
      </c>
      <c r="DW448" s="408">
        <v>0</v>
      </c>
      <c r="DX448" s="408">
        <v>0</v>
      </c>
      <c r="DY448" s="408">
        <v>-27.701250000000002</v>
      </c>
      <c r="DZ448" s="408">
        <v>0</v>
      </c>
      <c r="EA448" s="408">
        <v>0</v>
      </c>
      <c r="EB448" s="408">
        <v>0</v>
      </c>
      <c r="EC448" s="408">
        <v>-27.666279944500101</v>
      </c>
      <c r="ED448" s="408">
        <v>0</v>
      </c>
      <c r="EE448" s="408">
        <v>0</v>
      </c>
      <c r="EF448" s="408">
        <v>0</v>
      </c>
      <c r="EG448" s="408">
        <v>0</v>
      </c>
      <c r="EH448" s="408">
        <v>0</v>
      </c>
      <c r="EI448" s="408">
        <v>0</v>
      </c>
      <c r="EJ448" s="408">
        <v>0</v>
      </c>
      <c r="EK448" s="408">
        <v>0</v>
      </c>
      <c r="EL448" s="408">
        <v>0</v>
      </c>
      <c r="EM448" s="408">
        <v>0</v>
      </c>
      <c r="EN448" s="408">
        <v>0</v>
      </c>
      <c r="EO448" s="408">
        <v>0</v>
      </c>
      <c r="EP448" s="408">
        <v>0</v>
      </c>
      <c r="EQ448" s="408">
        <v>0</v>
      </c>
      <c r="ER448" s="408">
        <v>0</v>
      </c>
      <c r="ES448" s="408">
        <v>0</v>
      </c>
      <c r="ET448" s="408">
        <v>0</v>
      </c>
      <c r="EU448" s="408">
        <v>0</v>
      </c>
      <c r="EV448" s="408">
        <v>265</v>
      </c>
      <c r="EW448" s="408">
        <v>0</v>
      </c>
      <c r="EX448" s="408">
        <v>0</v>
      </c>
      <c r="EY448" s="408">
        <v>0</v>
      </c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455</v>
      </c>
      <c r="B449" s="408" t="s">
        <v>1031</v>
      </c>
      <c r="C449" s="408" t="s">
        <v>2227</v>
      </c>
      <c r="D449" s="408" t="s">
        <v>1949</v>
      </c>
      <c r="E449" s="408" t="s">
        <v>964</v>
      </c>
      <c r="F449" s="408" t="s">
        <v>2232</v>
      </c>
      <c r="G449" s="408" t="s">
        <v>1317</v>
      </c>
      <c r="H449" s="408" t="s">
        <v>1317</v>
      </c>
      <c r="I449" s="408" t="s">
        <v>1317</v>
      </c>
      <c r="J449" s="408" t="s">
        <v>2228</v>
      </c>
      <c r="K449" s="828">
        <v>44652</v>
      </c>
      <c r="L449" s="408">
        <v>0</v>
      </c>
      <c r="M449" s="408">
        <v>0</v>
      </c>
      <c r="N449" s="408">
        <v>40.292999999999999</v>
      </c>
      <c r="O449" s="408">
        <v>40.292999999999999</v>
      </c>
      <c r="P449" s="408">
        <v>40.292999999999999</v>
      </c>
      <c r="Q449" s="408">
        <v>40.292999999999999</v>
      </c>
      <c r="R449" s="408"/>
      <c r="S449" s="408">
        <v>667.62</v>
      </c>
      <c r="T449" s="408">
        <v>252.22</v>
      </c>
      <c r="U449" s="408"/>
      <c r="V449" s="408">
        <v>37063.113119999995</v>
      </c>
      <c r="W449" s="408">
        <v>37063.113119999995</v>
      </c>
      <c r="X449" s="408">
        <v>24521.916870000001</v>
      </c>
      <c r="Y449" s="408">
        <v>0</v>
      </c>
      <c r="Z449" s="408">
        <v>0</v>
      </c>
      <c r="AA449" s="408">
        <v>0</v>
      </c>
      <c r="AB449" s="408">
        <v>0</v>
      </c>
      <c r="AC449" s="408">
        <v>0</v>
      </c>
      <c r="AD449" s="408">
        <v>4976.0880270519965</v>
      </c>
      <c r="AE449" s="408">
        <v>20428.058218766844</v>
      </c>
      <c r="AF449" s="408">
        <v>10162.811969949109</v>
      </c>
      <c r="AG449" s="408">
        <v>0</v>
      </c>
      <c r="AH449" s="408">
        <v>0</v>
      </c>
      <c r="AI449" s="408">
        <v>0</v>
      </c>
      <c r="AJ449" s="408">
        <v>0</v>
      </c>
      <c r="AK449" s="408">
        <v>0</v>
      </c>
      <c r="AL449" s="408">
        <v>0</v>
      </c>
      <c r="AM449" s="408"/>
      <c r="AN449" s="408">
        <v>94.418528039306253</v>
      </c>
      <c r="AO449" s="408">
        <v>0</v>
      </c>
      <c r="AP449" s="408">
        <v>0</v>
      </c>
      <c r="AQ449" s="408">
        <v>0</v>
      </c>
      <c r="AR449" s="408">
        <v>0</v>
      </c>
      <c r="AS449" s="408">
        <v>0</v>
      </c>
      <c r="AT449" s="408">
        <v>0</v>
      </c>
      <c r="AU449" s="408">
        <v>0</v>
      </c>
      <c r="AV449" s="408">
        <v>0</v>
      </c>
      <c r="AW449" s="408">
        <v>0</v>
      </c>
      <c r="AX449" s="408">
        <v>0</v>
      </c>
      <c r="AY449" s="408">
        <v>0</v>
      </c>
      <c r="AZ449" s="408">
        <v>0</v>
      </c>
      <c r="BA449" s="408"/>
      <c r="BB449" s="408">
        <v>0</v>
      </c>
      <c r="BC449" s="408">
        <v>0</v>
      </c>
      <c r="BD449" s="408">
        <v>0</v>
      </c>
      <c r="BE449" s="408">
        <v>0</v>
      </c>
      <c r="BF449" s="408">
        <v>0</v>
      </c>
      <c r="BG449" s="408">
        <v>1401.9646331154677</v>
      </c>
      <c r="BH449" s="408">
        <v>0</v>
      </c>
      <c r="BI449" s="408">
        <v>0</v>
      </c>
      <c r="BJ449" s="408">
        <v>0</v>
      </c>
      <c r="BK449" s="408">
        <v>4838.88</v>
      </c>
      <c r="BL449" s="408">
        <v>258</v>
      </c>
      <c r="BM449" s="408"/>
      <c r="BN449" s="408"/>
      <c r="BO449" s="408"/>
      <c r="BP449" s="408"/>
      <c r="BQ449" s="408"/>
      <c r="BR449" s="408"/>
      <c r="BS449" s="408"/>
      <c r="BT449" s="408">
        <v>9808.9279200000001</v>
      </c>
      <c r="BU449" s="408"/>
      <c r="BV449" s="408">
        <v>11564.776603064576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14711.893499999998</v>
      </c>
      <c r="CJ449" s="408">
        <v>-7525.8431999999993</v>
      </c>
      <c r="CK449" s="408"/>
      <c r="CL449" s="408"/>
      <c r="CM449" s="408"/>
      <c r="CN449" s="408"/>
      <c r="CO449" s="408">
        <v>-12541.196249999999</v>
      </c>
      <c r="CP449" s="408">
        <v>0</v>
      </c>
      <c r="CQ449" s="408">
        <v>30</v>
      </c>
      <c r="CR449" s="408">
        <v>-15.855050582904369</v>
      </c>
      <c r="CS449" s="408">
        <v>0</v>
      </c>
      <c r="CT449" s="408">
        <v>0</v>
      </c>
      <c r="CU449" s="408">
        <v>0</v>
      </c>
      <c r="CV449" s="408">
        <v>0</v>
      </c>
      <c r="CW449" s="408">
        <v>0</v>
      </c>
      <c r="CX449" s="408">
        <v>0</v>
      </c>
      <c r="CY449" s="408">
        <v>0</v>
      </c>
      <c r="CZ449" s="408">
        <v>-12.788984433453152</v>
      </c>
      <c r="DA449" s="408">
        <v>0</v>
      </c>
      <c r="DB449" s="408">
        <v>0</v>
      </c>
      <c r="DC449" s="408">
        <v>-1.4247616491047665E-6</v>
      </c>
      <c r="DD449" s="408">
        <v>0</v>
      </c>
      <c r="DE449" s="408">
        <v>0</v>
      </c>
      <c r="DF449" s="408">
        <v>0</v>
      </c>
      <c r="DG449" s="408">
        <v>-1.9654544303193688E-7</v>
      </c>
      <c r="DH449" s="408">
        <v>0</v>
      </c>
      <c r="DI449" s="408">
        <v>0</v>
      </c>
      <c r="DJ449" s="408"/>
      <c r="DK449" s="408">
        <v>0</v>
      </c>
      <c r="DL449" s="408">
        <v>0</v>
      </c>
      <c r="DM449" s="408">
        <v>0</v>
      </c>
      <c r="DN449" s="408">
        <v>0</v>
      </c>
      <c r="DO449" s="408">
        <v>0</v>
      </c>
      <c r="DP449" s="408">
        <v>-3.0660645281468675</v>
      </c>
      <c r="DQ449" s="408">
        <v>0</v>
      </c>
      <c r="DR449" s="408">
        <v>0</v>
      </c>
      <c r="DS449" s="408"/>
      <c r="DT449" s="408"/>
      <c r="DU449" s="408"/>
      <c r="DV449" s="408">
        <v>20428.058218766844</v>
      </c>
      <c r="DW449" s="408">
        <v>0</v>
      </c>
      <c r="DX449" s="408">
        <v>0</v>
      </c>
      <c r="DY449" s="408">
        <v>-12541.196249999999</v>
      </c>
      <c r="DZ449" s="408">
        <v>0</v>
      </c>
      <c r="EA449" s="408">
        <v>0</v>
      </c>
      <c r="EB449" s="408">
        <v>0</v>
      </c>
      <c r="EC449" s="408">
        <v>-12525.364244985871</v>
      </c>
      <c r="ED449" s="408">
        <v>0</v>
      </c>
      <c r="EE449" s="408">
        <v>0</v>
      </c>
      <c r="EF449" s="408">
        <v>0</v>
      </c>
      <c r="EG449" s="408">
        <v>0</v>
      </c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>
        <v>0</v>
      </c>
      <c r="EN449" s="408">
        <v>0</v>
      </c>
      <c r="EO449" s="408">
        <v>0</v>
      </c>
      <c r="EP449" s="408">
        <v>0</v>
      </c>
      <c r="EQ449" s="408">
        <v>0</v>
      </c>
      <c r="ER449" s="408">
        <v>0</v>
      </c>
      <c r="ES449" s="408">
        <v>0</v>
      </c>
      <c r="ET449" s="408">
        <v>0</v>
      </c>
      <c r="EU449" s="408">
        <v>0</v>
      </c>
      <c r="EV449" s="408">
        <v>265</v>
      </c>
      <c r="EW449" s="408">
        <v>0</v>
      </c>
      <c r="EX449" s="408">
        <v>0</v>
      </c>
      <c r="EY449" s="408">
        <v>0</v>
      </c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456</v>
      </c>
      <c r="B450" s="408" t="s">
        <v>2230</v>
      </c>
      <c r="C450" s="408" t="s">
        <v>2227</v>
      </c>
      <c r="D450" s="408" t="s">
        <v>1949</v>
      </c>
      <c r="E450" s="408" t="s">
        <v>964</v>
      </c>
      <c r="F450" s="408" t="s">
        <v>2232</v>
      </c>
      <c r="G450" s="408" t="s">
        <v>1317</v>
      </c>
      <c r="H450" s="408" t="s">
        <v>1317</v>
      </c>
      <c r="I450" s="408" t="s">
        <v>1317</v>
      </c>
      <c r="J450" s="408" t="s">
        <v>2228</v>
      </c>
      <c r="K450" s="828">
        <v>44652</v>
      </c>
      <c r="L450" s="408">
        <v>0</v>
      </c>
      <c r="M450" s="408">
        <v>0</v>
      </c>
      <c r="N450" s="408">
        <v>4.2999999999999997E-2</v>
      </c>
      <c r="O450" s="408">
        <v>-0.1462</v>
      </c>
      <c r="P450" s="408">
        <v>4.2999999999999997E-2</v>
      </c>
      <c r="Q450" s="408">
        <v>-0.1462</v>
      </c>
      <c r="R450" s="408"/>
      <c r="S450" s="408">
        <v>667.62</v>
      </c>
      <c r="T450" s="408">
        <v>252.22</v>
      </c>
      <c r="U450" s="408"/>
      <c r="V450" s="408">
        <v>39.553119999999993</v>
      </c>
      <c r="W450" s="408">
        <v>39.553119999999993</v>
      </c>
      <c r="X450" s="408">
        <v>26.169370000000001</v>
      </c>
      <c r="Y450" s="408">
        <v>0</v>
      </c>
      <c r="Z450" s="408">
        <v>0</v>
      </c>
      <c r="AA450" s="408">
        <v>0</v>
      </c>
      <c r="AB450" s="408">
        <v>0</v>
      </c>
      <c r="AC450" s="408">
        <v>0</v>
      </c>
      <c r="AD450" s="408">
        <v>5.3103959785381045</v>
      </c>
      <c r="AE450" s="408">
        <v>21.800474112301746</v>
      </c>
      <c r="AF450" s="408">
        <v>10.845579001509236</v>
      </c>
      <c r="AG450" s="408">
        <v>0</v>
      </c>
      <c r="AH450" s="408">
        <v>0</v>
      </c>
      <c r="AI450" s="408">
        <v>0</v>
      </c>
      <c r="AJ450" s="408">
        <v>0</v>
      </c>
      <c r="AK450" s="408">
        <v>0</v>
      </c>
      <c r="AL450" s="408">
        <v>0</v>
      </c>
      <c r="AM450" s="408"/>
      <c r="AN450" s="408">
        <v>0.100761837184875</v>
      </c>
      <c r="AO450" s="408">
        <v>0</v>
      </c>
      <c r="AP450" s="408">
        <v>0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0</v>
      </c>
      <c r="BE450" s="408">
        <v>0</v>
      </c>
      <c r="BF450" s="408">
        <v>0</v>
      </c>
      <c r="BG450" s="408">
        <v>1.4961526623474326</v>
      </c>
      <c r="BH450" s="408">
        <v>0</v>
      </c>
      <c r="BI450" s="408">
        <v>0</v>
      </c>
      <c r="BJ450" s="408">
        <v>0</v>
      </c>
      <c r="BK450" s="408">
        <v>50.38</v>
      </c>
      <c r="BL450" s="408">
        <v>2</v>
      </c>
      <c r="BM450" s="408"/>
      <c r="BN450" s="408"/>
      <c r="BO450" s="408"/>
      <c r="BP450" s="408"/>
      <c r="BQ450" s="408"/>
      <c r="BR450" s="408"/>
      <c r="BS450" s="408"/>
      <c r="BT450" s="408">
        <v>79.554299999999984</v>
      </c>
      <c r="BU450" s="408"/>
      <c r="BV450" s="408">
        <v>12.341731663856669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-54.772500000000001</v>
      </c>
      <c r="CJ450" s="408">
        <v>25.885280000000002</v>
      </c>
      <c r="CK450" s="408"/>
      <c r="CL450" s="408"/>
      <c r="CM450" s="408"/>
      <c r="CN450" s="408"/>
      <c r="CO450" s="408">
        <v>-13.383749999999999</v>
      </c>
      <c r="CP450" s="408">
        <v>0</v>
      </c>
      <c r="CQ450" s="408">
        <v>30</v>
      </c>
      <c r="CR450" s="408">
        <v>-1.6920238628671314E-2</v>
      </c>
      <c r="CS450" s="408">
        <v>0</v>
      </c>
      <c r="CT450" s="408">
        <v>0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-1.3648185308577254E-2</v>
      </c>
      <c r="DA450" s="408">
        <v>0</v>
      </c>
      <c r="DB450" s="408">
        <v>0</v>
      </c>
      <c r="DC450" s="408">
        <v>-1.520479742112002E-9</v>
      </c>
      <c r="DD450" s="408">
        <v>0</v>
      </c>
      <c r="DE450" s="408">
        <v>0</v>
      </c>
      <c r="DF450" s="408">
        <v>0</v>
      </c>
      <c r="DG450" s="408">
        <v>-2.097497731057274E-10</v>
      </c>
      <c r="DH450" s="408">
        <v>0</v>
      </c>
      <c r="DI450" s="408">
        <v>0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0</v>
      </c>
      <c r="DP450" s="408">
        <v>-3.2720515898621433E-3</v>
      </c>
      <c r="DQ450" s="408">
        <v>0</v>
      </c>
      <c r="DR450" s="408">
        <v>0</v>
      </c>
      <c r="DS450" s="408"/>
      <c r="DT450" s="408"/>
      <c r="DU450" s="408"/>
      <c r="DV450" s="408">
        <v>21.800474112301746</v>
      </c>
      <c r="DW450" s="408">
        <v>0</v>
      </c>
      <c r="DX450" s="408">
        <v>0</v>
      </c>
      <c r="DY450" s="408">
        <v>-13.383749999999997</v>
      </c>
      <c r="DZ450" s="408">
        <v>0</v>
      </c>
      <c r="EA450" s="408">
        <v>0</v>
      </c>
      <c r="EB450" s="408">
        <v>0</v>
      </c>
      <c r="EC450" s="408">
        <v>-13.366854355207913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265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457</v>
      </c>
      <c r="B451" s="408" t="s">
        <v>1031</v>
      </c>
      <c r="C451" s="408" t="s">
        <v>2227</v>
      </c>
      <c r="D451" s="408" t="s">
        <v>1949</v>
      </c>
      <c r="E451" s="408" t="s">
        <v>964</v>
      </c>
      <c r="F451" s="408" t="s">
        <v>2233</v>
      </c>
      <c r="G451" s="408" t="s">
        <v>1317</v>
      </c>
      <c r="H451" s="408" t="s">
        <v>1317</v>
      </c>
      <c r="I451" s="408" t="s">
        <v>1317</v>
      </c>
      <c r="J451" s="408" t="s">
        <v>2228</v>
      </c>
      <c r="K451" s="828">
        <v>44652</v>
      </c>
      <c r="L451" s="408">
        <v>0</v>
      </c>
      <c r="M451" s="408">
        <v>0</v>
      </c>
      <c r="N451" s="408">
        <v>28.111999999999998</v>
      </c>
      <c r="O451" s="408">
        <v>28.111999999999998</v>
      </c>
      <c r="P451" s="408">
        <v>28.111999999999998</v>
      </c>
      <c r="Q451" s="408">
        <v>28.111999999999998</v>
      </c>
      <c r="R451" s="408"/>
      <c r="S451" s="408">
        <v>667.62</v>
      </c>
      <c r="T451" s="408">
        <v>252.22</v>
      </c>
      <c r="U451" s="408"/>
      <c r="V451" s="408">
        <v>25858.542079999999</v>
      </c>
      <c r="W451" s="408">
        <v>25858.542079999999</v>
      </c>
      <c r="X451" s="408">
        <v>17108.682079999999</v>
      </c>
      <c r="Y451" s="408">
        <v>0</v>
      </c>
      <c r="Z451" s="408">
        <v>0</v>
      </c>
      <c r="AA451" s="408">
        <v>0</v>
      </c>
      <c r="AB451" s="408">
        <v>0</v>
      </c>
      <c r="AC451" s="408">
        <v>0</v>
      </c>
      <c r="AD451" s="408">
        <v>3471.7639941549578</v>
      </c>
      <c r="AE451" s="408">
        <v>14252.440191744807</v>
      </c>
      <c r="AF451" s="408">
        <v>7090.4864393122716</v>
      </c>
      <c r="AG451" s="408">
        <v>0</v>
      </c>
      <c r="AH451" s="408">
        <v>0</v>
      </c>
      <c r="AI451" s="408">
        <v>0</v>
      </c>
      <c r="AJ451" s="408">
        <v>0</v>
      </c>
      <c r="AK451" s="408">
        <v>0</v>
      </c>
      <c r="AL451" s="408">
        <v>0</v>
      </c>
      <c r="AM451" s="408"/>
      <c r="AN451" s="408">
        <v>65.874808533516429</v>
      </c>
      <c r="AO451" s="408">
        <v>0</v>
      </c>
      <c r="AP451" s="408">
        <v>0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0</v>
      </c>
      <c r="BF451" s="408">
        <v>0</v>
      </c>
      <c r="BG451" s="408">
        <v>978.13589869560531</v>
      </c>
      <c r="BH451" s="408">
        <v>0</v>
      </c>
      <c r="BI451" s="408">
        <v>0</v>
      </c>
      <c r="BJ451" s="408">
        <v>0</v>
      </c>
      <c r="BK451" s="408">
        <v>5132.03</v>
      </c>
      <c r="BL451" s="408">
        <v>353</v>
      </c>
      <c r="BM451" s="408"/>
      <c r="BN451" s="408"/>
      <c r="BO451" s="408"/>
      <c r="BP451" s="408"/>
      <c r="BQ451" s="408"/>
      <c r="BR451" s="408"/>
      <c r="BS451" s="408"/>
      <c r="BT451" s="408">
        <v>1710.6151999999997</v>
      </c>
      <c r="BU451" s="408"/>
      <c r="BV451" s="408">
        <v>8068.6223380078773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15396.971399999999</v>
      </c>
      <c r="CJ451" s="408">
        <v>-7875.8589199999951</v>
      </c>
      <c r="CK451" s="408"/>
      <c r="CL451" s="408"/>
      <c r="CM451" s="408"/>
      <c r="CN451" s="408"/>
      <c r="CO451" s="408">
        <v>-8749.8599999999988</v>
      </c>
      <c r="CP451" s="408">
        <v>0</v>
      </c>
      <c r="CQ451" s="408">
        <v>30</v>
      </c>
      <c r="CR451" s="408">
        <v>-11.06190112393233</v>
      </c>
      <c r="CS451" s="408">
        <v>0</v>
      </c>
      <c r="CT451" s="408">
        <v>0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-8.9227391952258586</v>
      </c>
      <c r="DA451" s="408">
        <v>0</v>
      </c>
      <c r="DB451" s="408">
        <v>0</v>
      </c>
      <c r="DC451" s="408">
        <v>-9.9404132924973965E-7</v>
      </c>
      <c r="DD451" s="408">
        <v>0</v>
      </c>
      <c r="DE451" s="408">
        <v>0</v>
      </c>
      <c r="DF451" s="408">
        <v>0</v>
      </c>
      <c r="DG451" s="408">
        <v>-1.371276994177606E-7</v>
      </c>
      <c r="DH451" s="408">
        <v>0</v>
      </c>
      <c r="DI451" s="408">
        <v>0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0</v>
      </c>
      <c r="DP451" s="408">
        <v>-2.1391607975396454</v>
      </c>
      <c r="DQ451" s="408">
        <v>0</v>
      </c>
      <c r="DR451" s="408">
        <v>0</v>
      </c>
      <c r="DS451" s="408"/>
      <c r="DT451" s="408"/>
      <c r="DU451" s="408"/>
      <c r="DV451" s="408">
        <v>14252.440191744807</v>
      </c>
      <c r="DW451" s="408">
        <v>0</v>
      </c>
      <c r="DX451" s="408">
        <v>0</v>
      </c>
      <c r="DY451" s="408">
        <v>-8749.8599999999988</v>
      </c>
      <c r="DZ451" s="408">
        <v>0</v>
      </c>
      <c r="EA451" s="408">
        <v>0</v>
      </c>
      <c r="EB451" s="408">
        <v>0</v>
      </c>
      <c r="EC451" s="408">
        <v>-8738.8141775256936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265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458</v>
      </c>
      <c r="B452" s="408" t="s">
        <v>2230</v>
      </c>
      <c r="C452" s="408" t="s">
        <v>2227</v>
      </c>
      <c r="D452" s="408" t="s">
        <v>1949</v>
      </c>
      <c r="E452" s="408" t="s">
        <v>964</v>
      </c>
      <c r="F452" s="408" t="s">
        <v>2233</v>
      </c>
      <c r="G452" s="408" t="s">
        <v>1317</v>
      </c>
      <c r="H452" s="408" t="s">
        <v>1317</v>
      </c>
      <c r="I452" s="408" t="s">
        <v>1317</v>
      </c>
      <c r="J452" s="408" t="s">
        <v>2228</v>
      </c>
      <c r="K452" s="828">
        <v>44652</v>
      </c>
      <c r="L452" s="408">
        <v>0</v>
      </c>
      <c r="M452" s="408">
        <v>0</v>
      </c>
      <c r="N452" s="408">
        <v>0</v>
      </c>
      <c r="O452" s="408">
        <v>0</v>
      </c>
      <c r="P452" s="408">
        <v>0</v>
      </c>
      <c r="Q452" s="408">
        <v>0</v>
      </c>
      <c r="R452" s="408"/>
      <c r="S452" s="408"/>
      <c r="T452" s="408"/>
      <c r="U452" s="408"/>
      <c r="V452" s="408"/>
      <c r="W452" s="408"/>
      <c r="X452" s="408"/>
      <c r="Y452" s="408"/>
      <c r="Z452" s="408"/>
      <c r="AA452" s="408">
        <v>0</v>
      </c>
      <c r="AB452" s="408"/>
      <c r="AC452" s="408"/>
      <c r="AD452" s="408"/>
      <c r="AE452" s="408"/>
      <c r="AF452" s="408"/>
      <c r="AG452" s="408"/>
      <c r="AH452" s="408"/>
      <c r="AI452" s="408"/>
      <c r="AJ452" s="408"/>
      <c r="AK452" s="408"/>
      <c r="AL452" s="408"/>
      <c r="AM452" s="408"/>
      <c r="AN452" s="408"/>
      <c r="AO452" s="408"/>
      <c r="AP452" s="408"/>
      <c r="AQ452" s="408"/>
      <c r="AR452" s="408"/>
      <c r="AS452" s="408"/>
      <c r="AT452" s="408"/>
      <c r="AU452" s="408"/>
      <c r="AV452" s="408"/>
      <c r="AW452" s="408"/>
      <c r="AX452" s="408"/>
      <c r="AY452" s="408"/>
      <c r="AZ452" s="408">
        <v>0</v>
      </c>
      <c r="BA452" s="408"/>
      <c r="BB452" s="408"/>
      <c r="BC452" s="408"/>
      <c r="BD452" s="408"/>
      <c r="BE452" s="408"/>
      <c r="BF452" s="408"/>
      <c r="BG452" s="408"/>
      <c r="BH452" s="408"/>
      <c r="BI452" s="408">
        <v>0</v>
      </c>
      <c r="BJ452" s="408">
        <v>0</v>
      </c>
      <c r="BK452" s="408">
        <v>84.07</v>
      </c>
      <c r="BL452" s="408">
        <v>5</v>
      </c>
      <c r="BM452" s="408"/>
      <c r="BN452" s="408"/>
      <c r="BO452" s="408"/>
      <c r="BP452" s="408"/>
      <c r="BQ452" s="408"/>
      <c r="BR452" s="408"/>
      <c r="BS452" s="408"/>
      <c r="BT452" s="408"/>
      <c r="BU452" s="408"/>
      <c r="BV452" s="408"/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/>
      <c r="CJ452" s="408">
        <v>-0.03</v>
      </c>
      <c r="CK452" s="408"/>
      <c r="CL452" s="408"/>
      <c r="CM452" s="408"/>
      <c r="CN452" s="408"/>
      <c r="CO452" s="408">
        <v>0</v>
      </c>
      <c r="CP452" s="408">
        <v>0</v>
      </c>
      <c r="CQ452" s="408">
        <v>30</v>
      </c>
      <c r="CR452" s="408"/>
      <c r="CS452" s="408"/>
      <c r="CT452" s="408"/>
      <c r="CU452" s="408"/>
      <c r="CV452" s="408"/>
      <c r="CW452" s="408"/>
      <c r="CX452" s="408"/>
      <c r="CY452" s="408"/>
      <c r="CZ452" s="408"/>
      <c r="DA452" s="408"/>
      <c r="DB452" s="408"/>
      <c r="DC452" s="408"/>
      <c r="DD452" s="408"/>
      <c r="DE452" s="408"/>
      <c r="DF452" s="408"/>
      <c r="DG452" s="408"/>
      <c r="DH452" s="408"/>
      <c r="DI452" s="408"/>
      <c r="DJ452" s="408"/>
      <c r="DK452" s="408">
        <v>0</v>
      </c>
      <c r="DL452" s="408"/>
      <c r="DM452" s="408"/>
      <c r="DN452" s="408"/>
      <c r="DO452" s="408"/>
      <c r="DP452" s="408"/>
      <c r="DQ452" s="408"/>
      <c r="DR452" s="408"/>
      <c r="DS452" s="408"/>
      <c r="DT452" s="408"/>
      <c r="DU452" s="408"/>
      <c r="DV452" s="408"/>
      <c r="DW452" s="408"/>
      <c r="DX452" s="408"/>
      <c r="DY452" s="408"/>
      <c r="DZ452" s="408"/>
      <c r="EA452" s="408"/>
      <c r="EB452" s="408"/>
      <c r="EC452" s="408"/>
      <c r="ED452" s="408"/>
      <c r="EE452" s="408"/>
      <c r="EF452" s="408"/>
      <c r="EG452" s="408"/>
      <c r="EH452" s="408"/>
      <c r="EI452" s="408"/>
      <c r="EJ452" s="408"/>
      <c r="EK452" s="408"/>
      <c r="EL452" s="408"/>
      <c r="EM452" s="408"/>
      <c r="EN452" s="408"/>
      <c r="EO452" s="408"/>
      <c r="EP452" s="408"/>
      <c r="EQ452" s="408"/>
      <c r="ER452" s="408"/>
      <c r="ES452" s="408"/>
      <c r="ET452" s="408"/>
      <c r="EU452" s="408"/>
      <c r="EV452" s="408">
        <v>265</v>
      </c>
      <c r="EW452" s="408"/>
      <c r="EX452" s="408"/>
      <c r="EY452" s="408"/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459</v>
      </c>
      <c r="B453" s="408" t="s">
        <v>1031</v>
      </c>
      <c r="C453" s="408" t="s">
        <v>2227</v>
      </c>
      <c r="D453" s="408" t="s">
        <v>1949</v>
      </c>
      <c r="E453" s="408" t="s">
        <v>964</v>
      </c>
      <c r="F453" s="408" t="s">
        <v>2234</v>
      </c>
      <c r="G453" s="408" t="s">
        <v>1317</v>
      </c>
      <c r="H453" s="408" t="s">
        <v>1317</v>
      </c>
      <c r="I453" s="408" t="s">
        <v>1317</v>
      </c>
      <c r="J453" s="408" t="s">
        <v>2228</v>
      </c>
      <c r="K453" s="828">
        <v>44652</v>
      </c>
      <c r="L453" s="408">
        <v>0</v>
      </c>
      <c r="M453" s="408">
        <v>0</v>
      </c>
      <c r="N453" s="408">
        <v>7.0389999999999997</v>
      </c>
      <c r="O453" s="408">
        <v>7.0389999999999997</v>
      </c>
      <c r="P453" s="408">
        <v>7.0389999999999997</v>
      </c>
      <c r="Q453" s="408">
        <v>7.0389999999999997</v>
      </c>
      <c r="R453" s="408"/>
      <c r="S453" s="408">
        <v>667.62</v>
      </c>
      <c r="T453" s="408">
        <v>252.22</v>
      </c>
      <c r="U453" s="408"/>
      <c r="V453" s="408">
        <v>6474.7537599999996</v>
      </c>
      <c r="W453" s="408">
        <v>6474.7537599999996</v>
      </c>
      <c r="X453" s="408">
        <v>4283.8650099999995</v>
      </c>
      <c r="Y453" s="408">
        <v>0</v>
      </c>
      <c r="Z453" s="408">
        <v>0</v>
      </c>
      <c r="AA453" s="408">
        <v>0</v>
      </c>
      <c r="AB453" s="408">
        <v>0</v>
      </c>
      <c r="AC453" s="408">
        <v>0</v>
      </c>
      <c r="AD453" s="408">
        <v>869.29947192859811</v>
      </c>
      <c r="AE453" s="408">
        <v>3568.6869134067906</v>
      </c>
      <c r="AF453" s="408">
        <v>1775.3960602703144</v>
      </c>
      <c r="AG453" s="408">
        <v>0</v>
      </c>
      <c r="AH453" s="408">
        <v>0</v>
      </c>
      <c r="AI453" s="408">
        <v>0</v>
      </c>
      <c r="AJ453" s="408">
        <v>0</v>
      </c>
      <c r="AK453" s="408">
        <v>0</v>
      </c>
      <c r="AL453" s="408">
        <v>0</v>
      </c>
      <c r="AM453" s="408"/>
      <c r="AN453" s="408">
        <v>16.49447841731012</v>
      </c>
      <c r="AO453" s="408">
        <v>0</v>
      </c>
      <c r="AP453" s="408">
        <v>0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</v>
      </c>
      <c r="BF453" s="408">
        <v>0</v>
      </c>
      <c r="BG453" s="408">
        <v>244.91671140147858</v>
      </c>
      <c r="BH453" s="408">
        <v>0</v>
      </c>
      <c r="BI453" s="408">
        <v>0</v>
      </c>
      <c r="BJ453" s="408">
        <v>0</v>
      </c>
      <c r="BK453" s="408">
        <v>1427.55</v>
      </c>
      <c r="BL453" s="408">
        <v>85</v>
      </c>
      <c r="BM453" s="408"/>
      <c r="BN453" s="408"/>
      <c r="BO453" s="408"/>
      <c r="BP453" s="408"/>
      <c r="BQ453" s="408"/>
      <c r="BR453" s="408"/>
      <c r="BS453" s="408"/>
      <c r="BT453" s="408"/>
      <c r="BU453" s="408"/>
      <c r="BV453" s="408">
        <v>2020.3127716717929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4284.4735999999994</v>
      </c>
      <c r="CJ453" s="408">
        <v>-2190.3101600000009</v>
      </c>
      <c r="CK453" s="408"/>
      <c r="CL453" s="408"/>
      <c r="CM453" s="408"/>
      <c r="CN453" s="408"/>
      <c r="CO453" s="408">
        <v>-2190.8887500000001</v>
      </c>
      <c r="CP453" s="408">
        <v>0</v>
      </c>
      <c r="CQ453" s="408">
        <v>30</v>
      </c>
      <c r="CR453" s="408">
        <v>-2.769803714120826</v>
      </c>
      <c r="CS453" s="408">
        <v>0</v>
      </c>
      <c r="CT453" s="408">
        <v>0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-2.2341761950482351</v>
      </c>
      <c r="DA453" s="408">
        <v>0</v>
      </c>
      <c r="DB453" s="408">
        <v>0</v>
      </c>
      <c r="DC453" s="408">
        <v>-2.4889914129744284E-7</v>
      </c>
      <c r="DD453" s="408">
        <v>0</v>
      </c>
      <c r="DE453" s="408">
        <v>0</v>
      </c>
      <c r="DF453" s="408">
        <v>0</v>
      </c>
      <c r="DG453" s="408">
        <v>-3.4335585041844752E-8</v>
      </c>
      <c r="DH453" s="408">
        <v>0</v>
      </c>
      <c r="DI453" s="408">
        <v>0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0</v>
      </c>
      <c r="DP453" s="408">
        <v>-0.5356272358381311</v>
      </c>
      <c r="DQ453" s="408">
        <v>0</v>
      </c>
      <c r="DR453" s="408">
        <v>0</v>
      </c>
      <c r="DS453" s="408"/>
      <c r="DT453" s="408"/>
      <c r="DU453" s="408"/>
      <c r="DV453" s="408">
        <v>3568.6869134067906</v>
      </c>
      <c r="DW453" s="408">
        <v>0</v>
      </c>
      <c r="DX453" s="408">
        <v>0</v>
      </c>
      <c r="DY453" s="408">
        <v>-2190.8887499999996</v>
      </c>
      <c r="DZ453" s="408">
        <v>0</v>
      </c>
      <c r="EA453" s="408">
        <v>0</v>
      </c>
      <c r="EB453" s="408">
        <v>0</v>
      </c>
      <c r="EC453" s="408">
        <v>-2188.1229722397325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265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460</v>
      </c>
      <c r="B454" s="408" t="s">
        <v>2230</v>
      </c>
      <c r="C454" s="408" t="s">
        <v>2227</v>
      </c>
      <c r="D454" s="408" t="s">
        <v>1949</v>
      </c>
      <c r="E454" s="408" t="s">
        <v>964</v>
      </c>
      <c r="F454" s="408" t="s">
        <v>2234</v>
      </c>
      <c r="G454" s="408" t="s">
        <v>1317</v>
      </c>
      <c r="H454" s="408" t="s">
        <v>1317</v>
      </c>
      <c r="I454" s="408" t="s">
        <v>1317</v>
      </c>
      <c r="J454" s="408" t="s">
        <v>2228</v>
      </c>
      <c r="K454" s="828">
        <v>44652</v>
      </c>
      <c r="L454" s="408">
        <v>0</v>
      </c>
      <c r="M454" s="408">
        <v>0</v>
      </c>
      <c r="N454" s="408">
        <v>0</v>
      </c>
      <c r="O454" s="408">
        <v>0</v>
      </c>
      <c r="P454" s="408">
        <v>0</v>
      </c>
      <c r="Q454" s="408">
        <v>0</v>
      </c>
      <c r="R454" s="408"/>
      <c r="S454" s="408"/>
      <c r="T454" s="408"/>
      <c r="U454" s="408"/>
      <c r="V454" s="408"/>
      <c r="W454" s="408"/>
      <c r="X454" s="408"/>
      <c r="Y454" s="408"/>
      <c r="Z454" s="408"/>
      <c r="AA454" s="408">
        <v>0</v>
      </c>
      <c r="AB454" s="408"/>
      <c r="AC454" s="408"/>
      <c r="AD454" s="408"/>
      <c r="AE454" s="408"/>
      <c r="AF454" s="408"/>
      <c r="AG454" s="408"/>
      <c r="AH454" s="408"/>
      <c r="AI454" s="408"/>
      <c r="AJ454" s="408"/>
      <c r="AK454" s="408"/>
      <c r="AL454" s="408"/>
      <c r="AM454" s="408"/>
      <c r="AN454" s="408"/>
      <c r="AO454" s="408"/>
      <c r="AP454" s="408"/>
      <c r="AQ454" s="408"/>
      <c r="AR454" s="408"/>
      <c r="AS454" s="408"/>
      <c r="AT454" s="408"/>
      <c r="AU454" s="408"/>
      <c r="AV454" s="408"/>
      <c r="AW454" s="408"/>
      <c r="AX454" s="408"/>
      <c r="AY454" s="408"/>
      <c r="AZ454" s="408">
        <v>0</v>
      </c>
      <c r="BA454" s="408"/>
      <c r="BB454" s="408"/>
      <c r="BC454" s="408"/>
      <c r="BD454" s="408"/>
      <c r="BE454" s="408"/>
      <c r="BF454" s="408"/>
      <c r="BG454" s="408"/>
      <c r="BH454" s="408"/>
      <c r="BI454" s="408">
        <v>0</v>
      </c>
      <c r="BJ454" s="408">
        <v>0</v>
      </c>
      <c r="BK454" s="408">
        <v>27.55</v>
      </c>
      <c r="BL454" s="408">
        <v>4</v>
      </c>
      <c r="BM454" s="408"/>
      <c r="BN454" s="408"/>
      <c r="BO454" s="408"/>
      <c r="BP454" s="408"/>
      <c r="BQ454" s="408"/>
      <c r="BR454" s="408"/>
      <c r="BS454" s="408"/>
      <c r="BT454" s="408"/>
      <c r="BU454" s="408"/>
      <c r="BV454" s="408"/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/>
      <c r="CJ454" s="408">
        <v>-0.03</v>
      </c>
      <c r="CK454" s="408"/>
      <c r="CL454" s="408"/>
      <c r="CM454" s="408"/>
      <c r="CN454" s="408"/>
      <c r="CO454" s="408">
        <v>0</v>
      </c>
      <c r="CP454" s="408">
        <v>0</v>
      </c>
      <c r="CQ454" s="408">
        <v>30</v>
      </c>
      <c r="CR454" s="408"/>
      <c r="CS454" s="408"/>
      <c r="CT454" s="408"/>
      <c r="CU454" s="408"/>
      <c r="CV454" s="408"/>
      <c r="CW454" s="408"/>
      <c r="CX454" s="408"/>
      <c r="CY454" s="408"/>
      <c r="CZ454" s="408"/>
      <c r="DA454" s="408"/>
      <c r="DB454" s="408"/>
      <c r="DC454" s="408"/>
      <c r="DD454" s="408"/>
      <c r="DE454" s="408"/>
      <c r="DF454" s="408"/>
      <c r="DG454" s="408"/>
      <c r="DH454" s="408"/>
      <c r="DI454" s="408"/>
      <c r="DJ454" s="408"/>
      <c r="DK454" s="408">
        <v>0</v>
      </c>
      <c r="DL454" s="408"/>
      <c r="DM454" s="408"/>
      <c r="DN454" s="408"/>
      <c r="DO454" s="408"/>
      <c r="DP454" s="408"/>
      <c r="DQ454" s="408"/>
      <c r="DR454" s="408"/>
      <c r="DS454" s="408"/>
      <c r="DT454" s="408"/>
      <c r="DU454" s="408"/>
      <c r="DV454" s="408"/>
      <c r="DW454" s="408"/>
      <c r="DX454" s="408"/>
      <c r="DY454" s="408"/>
      <c r="DZ454" s="408"/>
      <c r="EA454" s="408"/>
      <c r="EB454" s="408"/>
      <c r="EC454" s="408"/>
      <c r="ED454" s="408"/>
      <c r="EE454" s="408"/>
      <c r="EF454" s="408"/>
      <c r="EG454" s="408"/>
      <c r="EH454" s="408"/>
      <c r="EI454" s="408"/>
      <c r="EJ454" s="408"/>
      <c r="EK454" s="408"/>
      <c r="EL454" s="408"/>
      <c r="EM454" s="408"/>
      <c r="EN454" s="408"/>
      <c r="EO454" s="408"/>
      <c r="EP454" s="408"/>
      <c r="EQ454" s="408"/>
      <c r="ER454" s="408"/>
      <c r="ES454" s="408"/>
      <c r="ET454" s="408"/>
      <c r="EU454" s="408"/>
      <c r="EV454" s="408">
        <v>265</v>
      </c>
      <c r="EW454" s="408"/>
      <c r="EX454" s="408"/>
      <c r="EY454" s="408"/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461</v>
      </c>
      <c r="B455" s="408" t="s">
        <v>1031</v>
      </c>
      <c r="C455" s="408" t="s">
        <v>2227</v>
      </c>
      <c r="D455" s="408" t="s">
        <v>1952</v>
      </c>
      <c r="E455" s="408" t="s">
        <v>965</v>
      </c>
      <c r="F455" s="408" t="s">
        <v>1317</v>
      </c>
      <c r="G455" s="408" t="s">
        <v>1317</v>
      </c>
      <c r="H455" s="408" t="s">
        <v>1317</v>
      </c>
      <c r="I455" s="408" t="s">
        <v>1317</v>
      </c>
      <c r="J455" s="408" t="s">
        <v>2228</v>
      </c>
      <c r="K455" s="828">
        <v>44652</v>
      </c>
      <c r="L455" s="408">
        <v>0</v>
      </c>
      <c r="M455" s="408">
        <v>0</v>
      </c>
      <c r="N455" s="408">
        <v>26.477</v>
      </c>
      <c r="O455" s="408">
        <v>26.477</v>
      </c>
      <c r="P455" s="408">
        <v>26.477</v>
      </c>
      <c r="Q455" s="408">
        <v>26.477</v>
      </c>
      <c r="R455" s="408"/>
      <c r="S455" s="408">
        <v>739.04</v>
      </c>
      <c r="T455" s="408">
        <v>252.22</v>
      </c>
      <c r="U455" s="408"/>
      <c r="V455" s="408">
        <v>26245.59102</v>
      </c>
      <c r="W455" s="408">
        <v>26245.59102</v>
      </c>
      <c r="X455" s="408">
        <v>17950.611689999998</v>
      </c>
      <c r="Y455" s="408">
        <v>0</v>
      </c>
      <c r="Z455" s="408">
        <v>1637.6860279179234</v>
      </c>
      <c r="AA455" s="408">
        <v>0</v>
      </c>
      <c r="AB455" s="408">
        <v>0</v>
      </c>
      <c r="AC455" s="408">
        <v>0</v>
      </c>
      <c r="AD455" s="408">
        <v>3269.8454493896138</v>
      </c>
      <c r="AE455" s="408">
        <v>13423.515187707288</v>
      </c>
      <c r="AF455" s="408">
        <v>6678.1022144874441</v>
      </c>
      <c r="AG455" s="408">
        <v>0</v>
      </c>
      <c r="AH455" s="408">
        <v>0</v>
      </c>
      <c r="AI455" s="408">
        <v>0</v>
      </c>
      <c r="AJ455" s="408">
        <v>0</v>
      </c>
      <c r="AK455" s="408">
        <v>0</v>
      </c>
      <c r="AL455" s="408">
        <v>253.14736970474868</v>
      </c>
      <c r="AM455" s="408"/>
      <c r="AN455" s="408">
        <v>62.043515421951994</v>
      </c>
      <c r="AO455" s="408">
        <v>0</v>
      </c>
      <c r="AP455" s="408">
        <v>0</v>
      </c>
      <c r="AQ455" s="408">
        <v>0</v>
      </c>
      <c r="AR455" s="408">
        <v>0</v>
      </c>
      <c r="AS455" s="408">
        <v>0</v>
      </c>
      <c r="AT455" s="408">
        <v>0</v>
      </c>
      <c r="AU455" s="408">
        <v>0</v>
      </c>
      <c r="AV455" s="408">
        <v>0</v>
      </c>
      <c r="AW455" s="408">
        <v>0</v>
      </c>
      <c r="AX455" s="408">
        <v>0</v>
      </c>
      <c r="AY455" s="408">
        <v>0</v>
      </c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0</v>
      </c>
      <c r="BF455" s="408">
        <v>0</v>
      </c>
      <c r="BG455" s="408">
        <v>921.24730327844134</v>
      </c>
      <c r="BH455" s="408">
        <v>0</v>
      </c>
      <c r="BI455" s="408">
        <v>0</v>
      </c>
      <c r="BJ455" s="408">
        <v>0</v>
      </c>
      <c r="BK455" s="408">
        <v>4381.78</v>
      </c>
      <c r="BL455" s="408">
        <v>15</v>
      </c>
      <c r="BM455" s="408"/>
      <c r="BN455" s="408"/>
      <c r="BO455" s="408"/>
      <c r="BP455" s="408"/>
      <c r="BQ455" s="408"/>
      <c r="BR455" s="408"/>
      <c r="BS455" s="408"/>
      <c r="BT455" s="408"/>
      <c r="BU455" s="408"/>
      <c r="BV455" s="408">
        <v>7599.3495177658851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17952.6456</v>
      </c>
      <c r="CJ455" s="408">
        <v>-8292.9754199999952</v>
      </c>
      <c r="CK455" s="408"/>
      <c r="CL455" s="408"/>
      <c r="CM455" s="408"/>
      <c r="CN455" s="408"/>
      <c r="CO455" s="408">
        <v>-8294.9793299999983</v>
      </c>
      <c r="CP455" s="408">
        <v>0</v>
      </c>
      <c r="CQ455" s="408">
        <v>30</v>
      </c>
      <c r="CR455" s="408">
        <v>-64.397278115866357</v>
      </c>
      <c r="CS455" s="408">
        <v>0</v>
      </c>
      <c r="CT455" s="408">
        <v>0</v>
      </c>
      <c r="CU455" s="408">
        <v>0</v>
      </c>
      <c r="CV455" s="408">
        <v>0</v>
      </c>
      <c r="CW455" s="408">
        <v>0</v>
      </c>
      <c r="CX455" s="408">
        <v>0</v>
      </c>
      <c r="CY455" s="408">
        <v>0</v>
      </c>
      <c r="CZ455" s="408">
        <v>-8.4037907538413492</v>
      </c>
      <c r="DA455" s="408">
        <v>0</v>
      </c>
      <c r="DB455" s="408">
        <v>0</v>
      </c>
      <c r="DC455" s="408">
        <v>-9.3622747954213992E-7</v>
      </c>
      <c r="DD455" s="408">
        <v>0</v>
      </c>
      <c r="DE455" s="408">
        <v>0</v>
      </c>
      <c r="DF455" s="408">
        <v>0</v>
      </c>
      <c r="DG455" s="408">
        <v>-1.2915222669107607E-7</v>
      </c>
      <c r="DH455" s="408">
        <v>0</v>
      </c>
      <c r="DI455" s="408">
        <v>-47.619142448605999</v>
      </c>
      <c r="DJ455" s="408"/>
      <c r="DK455" s="408">
        <v>0</v>
      </c>
      <c r="DL455" s="408">
        <v>0</v>
      </c>
      <c r="DM455" s="408">
        <v>0</v>
      </c>
      <c r="DN455" s="408">
        <v>0</v>
      </c>
      <c r="DO455" s="408">
        <v>-6.3595971051373112</v>
      </c>
      <c r="DP455" s="408">
        <v>-2.0147467429018633</v>
      </c>
      <c r="DQ455" s="408">
        <v>0</v>
      </c>
      <c r="DR455" s="408">
        <v>0</v>
      </c>
      <c r="DS455" s="408"/>
      <c r="DT455" s="408"/>
      <c r="DU455" s="408"/>
      <c r="DV455" s="408">
        <v>13423.515187707288</v>
      </c>
      <c r="DW455" s="408">
        <v>0</v>
      </c>
      <c r="DX455" s="408">
        <v>0</v>
      </c>
      <c r="DY455" s="408">
        <v>-8294.9793300000001</v>
      </c>
      <c r="DZ455" s="408">
        <v>0</v>
      </c>
      <c r="EA455" s="408">
        <v>0</v>
      </c>
      <c r="EB455" s="408">
        <v>0</v>
      </c>
      <c r="EC455" s="408">
        <v>-8230.5628549497651</v>
      </c>
      <c r="ED455" s="408">
        <v>0</v>
      </c>
      <c r="EE455" s="408">
        <v>0</v>
      </c>
      <c r="EF455" s="408">
        <v>0</v>
      </c>
      <c r="EG455" s="408">
        <v>0</v>
      </c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>
        <v>0</v>
      </c>
      <c r="EN455" s="408">
        <v>0</v>
      </c>
      <c r="EO455" s="408">
        <v>0</v>
      </c>
      <c r="EP455" s="408">
        <v>0</v>
      </c>
      <c r="EQ455" s="408">
        <v>0</v>
      </c>
      <c r="ER455" s="408">
        <v>0</v>
      </c>
      <c r="ES455" s="408">
        <v>0</v>
      </c>
      <c r="ET455" s="408">
        <v>0</v>
      </c>
      <c r="EU455" s="408">
        <v>0</v>
      </c>
      <c r="EV455" s="408">
        <v>265</v>
      </c>
      <c r="EW455" s="408">
        <v>0</v>
      </c>
      <c r="EX455" s="408">
        <v>0</v>
      </c>
      <c r="EY455" s="408">
        <v>0</v>
      </c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462</v>
      </c>
      <c r="B456" s="408" t="s">
        <v>2230</v>
      </c>
      <c r="C456" s="408" t="s">
        <v>2227</v>
      </c>
      <c r="D456" s="408" t="s">
        <v>1952</v>
      </c>
      <c r="E456" s="408" t="s">
        <v>965</v>
      </c>
      <c r="F456" s="408" t="s">
        <v>1317</v>
      </c>
      <c r="G456" s="408" t="s">
        <v>1317</v>
      </c>
      <c r="H456" s="408" t="s">
        <v>1317</v>
      </c>
      <c r="I456" s="408" t="s">
        <v>1317</v>
      </c>
      <c r="J456" s="408" t="s">
        <v>2228</v>
      </c>
      <c r="K456" s="828">
        <v>44652</v>
      </c>
      <c r="L456" s="408">
        <v>0</v>
      </c>
      <c r="M456" s="408">
        <v>0</v>
      </c>
      <c r="N456" s="408">
        <v>3.87</v>
      </c>
      <c r="O456" s="408">
        <v>3.87</v>
      </c>
      <c r="P456" s="408">
        <v>3.87</v>
      </c>
      <c r="Q456" s="408">
        <v>3.87</v>
      </c>
      <c r="R456" s="408"/>
      <c r="S456" s="408">
        <v>739.04</v>
      </c>
      <c r="T456" s="408">
        <v>252.22</v>
      </c>
      <c r="U456" s="408"/>
      <c r="V456" s="408">
        <v>3836.1761999999999</v>
      </c>
      <c r="W456" s="408">
        <v>3836.1761999999999</v>
      </c>
      <c r="X456" s="408">
        <v>2623.7439000000004</v>
      </c>
      <c r="Y456" s="408">
        <v>0</v>
      </c>
      <c r="Z456" s="408">
        <v>239.37171613258161</v>
      </c>
      <c r="AA456" s="408">
        <v>0</v>
      </c>
      <c r="AB456" s="408">
        <v>0</v>
      </c>
      <c r="AC456" s="408">
        <v>0</v>
      </c>
      <c r="AD456" s="408">
        <v>477.93563806842945</v>
      </c>
      <c r="AE456" s="408">
        <v>1962.0426701071574</v>
      </c>
      <c r="AF456" s="408">
        <v>976.10211013583137</v>
      </c>
      <c r="AG456" s="408">
        <v>0</v>
      </c>
      <c r="AH456" s="408">
        <v>0</v>
      </c>
      <c r="AI456" s="408">
        <v>0</v>
      </c>
      <c r="AJ456" s="408">
        <v>0</v>
      </c>
      <c r="AK456" s="408">
        <v>0</v>
      </c>
      <c r="AL456" s="408">
        <v>37.001182942077179</v>
      </c>
      <c r="AM456" s="408"/>
      <c r="AN456" s="408">
        <v>9.068565346638751</v>
      </c>
      <c r="AO456" s="408">
        <v>0</v>
      </c>
      <c r="AP456" s="408">
        <v>0</v>
      </c>
      <c r="AQ456" s="408">
        <v>0</v>
      </c>
      <c r="AR456" s="408">
        <v>0</v>
      </c>
      <c r="AS456" s="408">
        <v>0</v>
      </c>
      <c r="AT456" s="408">
        <v>0</v>
      </c>
      <c r="AU456" s="408">
        <v>0</v>
      </c>
      <c r="AV456" s="408">
        <v>0</v>
      </c>
      <c r="AW456" s="408">
        <v>0</v>
      </c>
      <c r="AX456" s="408">
        <v>0</v>
      </c>
      <c r="AY456" s="408">
        <v>0</v>
      </c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>
        <v>0</v>
      </c>
      <c r="BG456" s="408">
        <v>134.65373961126895</v>
      </c>
      <c r="BH456" s="408">
        <v>0</v>
      </c>
      <c r="BI456" s="408">
        <v>0</v>
      </c>
      <c r="BJ456" s="408">
        <v>0</v>
      </c>
      <c r="BK456" s="408">
        <v>2274.5</v>
      </c>
      <c r="BL456" s="408">
        <v>12</v>
      </c>
      <c r="BM456" s="408"/>
      <c r="BN456" s="408"/>
      <c r="BO456" s="408"/>
      <c r="BP456" s="408"/>
      <c r="BQ456" s="408"/>
      <c r="BR456" s="408"/>
      <c r="BS456" s="408"/>
      <c r="BT456" s="408"/>
      <c r="BU456" s="408"/>
      <c r="BV456" s="408">
        <v>1110.7558497471002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2623.7439000000004</v>
      </c>
      <c r="CJ456" s="408">
        <v>-1212.4623000000001</v>
      </c>
      <c r="CK456" s="408"/>
      <c r="CL456" s="408"/>
      <c r="CM456" s="408"/>
      <c r="CN456" s="408"/>
      <c r="CO456" s="408">
        <v>-1212.4322999999999</v>
      </c>
      <c r="CP456" s="408">
        <v>0</v>
      </c>
      <c r="CQ456" s="408">
        <v>30</v>
      </c>
      <c r="CR456" s="408">
        <v>-9.4126021191373184</v>
      </c>
      <c r="CS456" s="408">
        <v>0</v>
      </c>
      <c r="CT456" s="408">
        <v>0</v>
      </c>
      <c r="CU456" s="408">
        <v>0</v>
      </c>
      <c r="CV456" s="408">
        <v>0</v>
      </c>
      <c r="CW456" s="408">
        <v>0</v>
      </c>
      <c r="CX456" s="408">
        <v>0</v>
      </c>
      <c r="CY456" s="408">
        <v>0</v>
      </c>
      <c r="CZ456" s="408">
        <v>-1.2283366777719493</v>
      </c>
      <c r="DA456" s="408">
        <v>0</v>
      </c>
      <c r="DB456" s="408">
        <v>0</v>
      </c>
      <c r="DC456" s="408">
        <v>-1.3684325494978111E-7</v>
      </c>
      <c r="DD456" s="408">
        <v>0</v>
      </c>
      <c r="DE456" s="408">
        <v>0</v>
      </c>
      <c r="DF456" s="408">
        <v>0</v>
      </c>
      <c r="DG456" s="408">
        <v>-1.8877472029998899E-8</v>
      </c>
      <c r="DH456" s="408">
        <v>0</v>
      </c>
      <c r="DI456" s="408">
        <v>-6.9602327029537037</v>
      </c>
      <c r="DJ456" s="408"/>
      <c r="DK456" s="408">
        <v>0</v>
      </c>
      <c r="DL456" s="408">
        <v>0</v>
      </c>
      <c r="DM456" s="408">
        <v>0</v>
      </c>
      <c r="DN456" s="408">
        <v>0</v>
      </c>
      <c r="DO456" s="408">
        <v>-0.9295479396034807</v>
      </c>
      <c r="DP456" s="408">
        <v>-0.2944846430875927</v>
      </c>
      <c r="DQ456" s="408">
        <v>0</v>
      </c>
      <c r="DR456" s="408">
        <v>0</v>
      </c>
      <c r="DS456" s="408"/>
      <c r="DT456" s="408"/>
      <c r="DU456" s="408"/>
      <c r="DV456" s="408">
        <v>1962.0426701071574</v>
      </c>
      <c r="DW456" s="408">
        <v>0</v>
      </c>
      <c r="DX456" s="408">
        <v>0</v>
      </c>
      <c r="DY456" s="408">
        <v>-1212.4322999999999</v>
      </c>
      <c r="DZ456" s="408">
        <v>0</v>
      </c>
      <c r="EA456" s="408">
        <v>0</v>
      </c>
      <c r="EB456" s="408">
        <v>0</v>
      </c>
      <c r="EC456" s="408">
        <v>-1203.0168919687121</v>
      </c>
      <c r="ED456" s="408">
        <v>0</v>
      </c>
      <c r="EE456" s="408">
        <v>0</v>
      </c>
      <c r="EF456" s="408">
        <v>0</v>
      </c>
      <c r="EG456" s="408">
        <v>0</v>
      </c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>
        <v>0</v>
      </c>
      <c r="EN456" s="408">
        <v>0</v>
      </c>
      <c r="EO456" s="408">
        <v>0</v>
      </c>
      <c r="EP456" s="408">
        <v>0</v>
      </c>
      <c r="EQ456" s="408">
        <v>0</v>
      </c>
      <c r="ER456" s="408">
        <v>0</v>
      </c>
      <c r="ES456" s="408">
        <v>0</v>
      </c>
      <c r="ET456" s="408">
        <v>0</v>
      </c>
      <c r="EU456" s="408">
        <v>0</v>
      </c>
      <c r="EV456" s="408">
        <v>265</v>
      </c>
      <c r="EW456" s="408">
        <v>0</v>
      </c>
      <c r="EX456" s="408">
        <v>0</v>
      </c>
      <c r="EY456" s="408">
        <v>0</v>
      </c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463</v>
      </c>
      <c r="B457" s="408" t="s">
        <v>1031</v>
      </c>
      <c r="C457" s="408" t="s">
        <v>2235</v>
      </c>
      <c r="D457" s="408" t="s">
        <v>596</v>
      </c>
      <c r="E457" s="408" t="s">
        <v>965</v>
      </c>
      <c r="F457" s="408" t="s">
        <v>1317</v>
      </c>
      <c r="G457" s="408" t="s">
        <v>1317</v>
      </c>
      <c r="H457" s="408" t="s">
        <v>1317</v>
      </c>
      <c r="I457" s="408" t="s">
        <v>968</v>
      </c>
      <c r="J457" s="408" t="s">
        <v>2228</v>
      </c>
      <c r="K457" s="828">
        <v>44652</v>
      </c>
      <c r="L457" s="408">
        <v>0</v>
      </c>
      <c r="M457" s="408">
        <v>0</v>
      </c>
      <c r="N457" s="408">
        <v>59.216000000000001</v>
      </c>
      <c r="O457" s="408">
        <v>59.216000000000001</v>
      </c>
      <c r="P457" s="408">
        <v>59.216000000000001</v>
      </c>
      <c r="Q457" s="408">
        <v>59.216000000000001</v>
      </c>
      <c r="R457" s="408"/>
      <c r="S457" s="408">
        <v>2641.06</v>
      </c>
      <c r="T457" s="408">
        <v>252.22</v>
      </c>
      <c r="U457" s="408"/>
      <c r="V457" s="408">
        <v>171328.46848000001</v>
      </c>
      <c r="W457" s="408">
        <v>171328.46848000001</v>
      </c>
      <c r="X457" s="408">
        <v>101694.00543999999</v>
      </c>
      <c r="Y457" s="408">
        <v>0</v>
      </c>
      <c r="Z457" s="408">
        <v>3186.5459746721053</v>
      </c>
      <c r="AA457" s="408">
        <v>0</v>
      </c>
      <c r="AB457" s="408">
        <v>0</v>
      </c>
      <c r="AC457" s="408">
        <v>0</v>
      </c>
      <c r="AD457" s="408">
        <v>38358.170111771455</v>
      </c>
      <c r="AE457" s="408">
        <v>113226.34161490541</v>
      </c>
      <c r="AF457" s="408">
        <v>14935.623398915604</v>
      </c>
      <c r="AG457" s="408">
        <v>0</v>
      </c>
      <c r="AH457" s="408">
        <v>0</v>
      </c>
      <c r="AI457" s="408">
        <v>0</v>
      </c>
      <c r="AJ457" s="408">
        <v>0</v>
      </c>
      <c r="AK457" s="408">
        <v>0</v>
      </c>
      <c r="AL457" s="408">
        <v>566.16590415970086</v>
      </c>
      <c r="AM457" s="408"/>
      <c r="AN457" s="408">
        <v>142.46813784642805</v>
      </c>
      <c r="AO457" s="408">
        <v>0</v>
      </c>
      <c r="AP457" s="408">
        <v>0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0</v>
      </c>
      <c r="BE457" s="408">
        <v>0</v>
      </c>
      <c r="BF457" s="408">
        <v>0</v>
      </c>
      <c r="BG457" s="408">
        <v>913.27896878864124</v>
      </c>
      <c r="BH457" s="408">
        <v>0</v>
      </c>
      <c r="BI457" s="408">
        <v>0</v>
      </c>
      <c r="BJ457" s="408">
        <v>0</v>
      </c>
      <c r="BK457" s="408">
        <v>0</v>
      </c>
      <c r="BL457" s="408">
        <v>0</v>
      </c>
      <c r="BM457" s="408"/>
      <c r="BN457" s="408"/>
      <c r="BO457" s="408"/>
      <c r="BP457" s="408"/>
      <c r="BQ457" s="408"/>
      <c r="BR457" s="408"/>
      <c r="BS457" s="408"/>
      <c r="BT457" s="408"/>
      <c r="BU457" s="408"/>
      <c r="BV457" s="408">
        <v>15848.902367704246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101700.87479999999</v>
      </c>
      <c r="CJ457" s="408">
        <v>-69627.623680000048</v>
      </c>
      <c r="CK457" s="408"/>
      <c r="CL457" s="408"/>
      <c r="CM457" s="408"/>
      <c r="CN457" s="408"/>
      <c r="CO457" s="408">
        <v>-69634.463040000002</v>
      </c>
      <c r="CP457" s="408">
        <v>0</v>
      </c>
      <c r="CQ457" s="408">
        <v>30</v>
      </c>
      <c r="CR457" s="408">
        <v>-210.08902821734227</v>
      </c>
      <c r="CS457" s="408">
        <v>0</v>
      </c>
      <c r="CT457" s="408">
        <v>0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-98.583875081960286</v>
      </c>
      <c r="DA457" s="408">
        <v>0</v>
      </c>
      <c r="DB457" s="408">
        <v>0</v>
      </c>
      <c r="DC457" s="408">
        <v>-2.0938787201885134E-6</v>
      </c>
      <c r="DD457" s="408">
        <v>0</v>
      </c>
      <c r="DE457" s="408">
        <v>0</v>
      </c>
      <c r="DF457" s="408">
        <v>0</v>
      </c>
      <c r="DG457" s="408">
        <v>-1.2803673143935157E-7</v>
      </c>
      <c r="DH457" s="408">
        <v>0</v>
      </c>
      <c r="DI457" s="408">
        <v>-92.655481026395591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-14.223284442263548</v>
      </c>
      <c r="DP457" s="408">
        <v>-4.6263854448171742</v>
      </c>
      <c r="DQ457" s="408">
        <v>0</v>
      </c>
      <c r="DR457" s="408">
        <v>0</v>
      </c>
      <c r="DS457" s="408"/>
      <c r="DT457" s="408"/>
      <c r="DU457" s="408"/>
      <c r="DV457" s="408">
        <v>113226.34161490541</v>
      </c>
      <c r="DW457" s="408">
        <v>0</v>
      </c>
      <c r="DX457" s="408">
        <v>0</v>
      </c>
      <c r="DY457" s="408">
        <v>-69634.463040000017</v>
      </c>
      <c r="DZ457" s="408">
        <v>0</v>
      </c>
      <c r="EA457" s="408">
        <v>0</v>
      </c>
      <c r="EB457" s="408">
        <v>0</v>
      </c>
      <c r="EC457" s="408">
        <v>-69424.179022116688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0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265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464</v>
      </c>
      <c r="B458" s="408" t="s">
        <v>1031</v>
      </c>
      <c r="C458" s="408" t="s">
        <v>2235</v>
      </c>
      <c r="D458" s="408" t="s">
        <v>596</v>
      </c>
      <c r="E458" s="408" t="s">
        <v>965</v>
      </c>
      <c r="F458" s="408" t="s">
        <v>1317</v>
      </c>
      <c r="G458" s="408" t="s">
        <v>1317</v>
      </c>
      <c r="H458" s="408" t="s">
        <v>1317</v>
      </c>
      <c r="I458" s="408" t="s">
        <v>2236</v>
      </c>
      <c r="J458" s="408" t="s">
        <v>2228</v>
      </c>
      <c r="K458" s="828">
        <v>44652</v>
      </c>
      <c r="L458" s="408">
        <v>0</v>
      </c>
      <c r="M458" s="408">
        <v>0</v>
      </c>
      <c r="N458" s="408">
        <v>851.36900000000003</v>
      </c>
      <c r="O458" s="408">
        <v>851.36900000000003</v>
      </c>
      <c r="P458" s="408">
        <v>851.36900000000003</v>
      </c>
      <c r="Q458" s="408">
        <v>851.36900000000003</v>
      </c>
      <c r="R458" s="408"/>
      <c r="S458" s="408">
        <v>81.2</v>
      </c>
      <c r="T458" s="408">
        <v>252.22</v>
      </c>
      <c r="U458" s="408"/>
      <c r="V458" s="408">
        <v>283863.45198000001</v>
      </c>
      <c r="W458" s="408">
        <v>283863.45198000001</v>
      </c>
      <c r="X458" s="408">
        <v>282262.87825999997</v>
      </c>
      <c r="Y458" s="408">
        <v>0</v>
      </c>
      <c r="Z458" s="408">
        <v>45814.078288141987</v>
      </c>
      <c r="AA458" s="408">
        <v>0</v>
      </c>
      <c r="AB458" s="408">
        <v>0</v>
      </c>
      <c r="AC458" s="408">
        <v>0</v>
      </c>
      <c r="AD458" s="408">
        <v>0</v>
      </c>
      <c r="AE458" s="408">
        <v>0</v>
      </c>
      <c r="AF458" s="408">
        <v>214734.64532409111</v>
      </c>
      <c r="AG458" s="408">
        <v>0</v>
      </c>
      <c r="AH458" s="408">
        <v>0</v>
      </c>
      <c r="AI458" s="408">
        <v>0</v>
      </c>
      <c r="AJ458" s="408">
        <v>0</v>
      </c>
      <c r="AK458" s="408">
        <v>0</v>
      </c>
      <c r="AL458" s="408">
        <v>8139.9638553522755</v>
      </c>
      <c r="AM458" s="408"/>
      <c r="AN458" s="408">
        <v>2048.3139024955353</v>
      </c>
      <c r="AO458" s="408">
        <v>0</v>
      </c>
      <c r="AP458" s="408">
        <v>0</v>
      </c>
      <c r="AQ458" s="408">
        <v>0</v>
      </c>
      <c r="AR458" s="408">
        <v>0</v>
      </c>
      <c r="AS458" s="408">
        <v>0</v>
      </c>
      <c r="AT458" s="408">
        <v>0</v>
      </c>
      <c r="AU458" s="408">
        <v>0</v>
      </c>
      <c r="AV458" s="408">
        <v>0</v>
      </c>
      <c r="AW458" s="408">
        <v>0</v>
      </c>
      <c r="AX458" s="408">
        <v>0</v>
      </c>
      <c r="AY458" s="408">
        <v>0</v>
      </c>
      <c r="AZ458" s="408">
        <v>0</v>
      </c>
      <c r="BA458" s="408"/>
      <c r="BB458" s="408">
        <v>0</v>
      </c>
      <c r="BC458" s="408">
        <v>0</v>
      </c>
      <c r="BD458" s="408">
        <v>0</v>
      </c>
      <c r="BE458" s="408">
        <v>0</v>
      </c>
      <c r="BF458" s="408">
        <v>0</v>
      </c>
      <c r="BG458" s="408">
        <v>13130.528951273587</v>
      </c>
      <c r="BH458" s="408">
        <v>0</v>
      </c>
      <c r="BI458" s="408">
        <v>0</v>
      </c>
      <c r="BJ458" s="408">
        <v>0</v>
      </c>
      <c r="BK458" s="408">
        <v>0</v>
      </c>
      <c r="BL458" s="408">
        <v>0</v>
      </c>
      <c r="BM458" s="408"/>
      <c r="BN458" s="408"/>
      <c r="BO458" s="408"/>
      <c r="BP458" s="408"/>
      <c r="BQ458" s="408"/>
      <c r="BR458" s="408"/>
      <c r="BS458" s="408"/>
      <c r="BT458" s="408"/>
      <c r="BU458" s="408"/>
      <c r="BV458" s="408">
        <v>227865.1742753647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282263.20979999995</v>
      </c>
      <c r="CJ458" s="408">
        <v>-1600.272180000029</v>
      </c>
      <c r="CK458" s="408"/>
      <c r="CL458" s="408"/>
      <c r="CM458" s="408"/>
      <c r="CN458" s="408"/>
      <c r="CO458" s="408">
        <v>-1600.5737200000083</v>
      </c>
      <c r="CP458" s="408">
        <v>0</v>
      </c>
      <c r="CQ458" s="408">
        <v>30</v>
      </c>
      <c r="CR458" s="408">
        <v>-1603.1483166665421</v>
      </c>
      <c r="CS458" s="408">
        <v>0</v>
      </c>
      <c r="CT458" s="408">
        <v>0</v>
      </c>
      <c r="CU458" s="408">
        <v>0</v>
      </c>
      <c r="CV458" s="408">
        <v>0</v>
      </c>
      <c r="CW458" s="408">
        <v>0</v>
      </c>
      <c r="CX458" s="408">
        <v>0</v>
      </c>
      <c r="CY458" s="408">
        <v>0</v>
      </c>
      <c r="CZ458" s="408">
        <v>0</v>
      </c>
      <c r="DA458" s="408">
        <v>0</v>
      </c>
      <c r="DB458" s="408">
        <v>0</v>
      </c>
      <c r="DC458" s="408">
        <v>-3.0104420147836208E-5</v>
      </c>
      <c r="DD458" s="408">
        <v>0</v>
      </c>
      <c r="DE458" s="408">
        <v>0</v>
      </c>
      <c r="DF458" s="408">
        <v>0</v>
      </c>
      <c r="DG458" s="408">
        <v>-1.8408300093142316E-6</v>
      </c>
      <c r="DH458" s="408">
        <v>0</v>
      </c>
      <c r="DI458" s="408">
        <v>-1332.1400335375874</v>
      </c>
      <c r="DJ458" s="408"/>
      <c r="DK458" s="408">
        <v>0</v>
      </c>
      <c r="DL458" s="408">
        <v>0</v>
      </c>
      <c r="DM458" s="408">
        <v>0</v>
      </c>
      <c r="DN458" s="408">
        <v>0</v>
      </c>
      <c r="DO458" s="408">
        <v>-204.49310072151911</v>
      </c>
      <c r="DP458" s="408">
        <v>-66.515150462181964</v>
      </c>
      <c r="DQ458" s="408">
        <v>0</v>
      </c>
      <c r="DR458" s="408">
        <v>0</v>
      </c>
      <c r="DS458" s="408"/>
      <c r="DT458" s="408"/>
      <c r="DU458" s="408"/>
      <c r="DV458" s="408">
        <v>0</v>
      </c>
      <c r="DW458" s="408">
        <v>0</v>
      </c>
      <c r="DX458" s="408">
        <v>0</v>
      </c>
      <c r="DY458" s="408">
        <v>-1600.5737200000149</v>
      </c>
      <c r="DZ458" s="408">
        <v>0</v>
      </c>
      <c r="EA458" s="408">
        <v>0</v>
      </c>
      <c r="EB458" s="408">
        <v>0</v>
      </c>
      <c r="EC458" s="408">
        <v>0</v>
      </c>
      <c r="ED458" s="408">
        <v>0</v>
      </c>
      <c r="EE458" s="408">
        <v>0</v>
      </c>
      <c r="EF458" s="408">
        <v>0</v>
      </c>
      <c r="EG458" s="408">
        <v>0</v>
      </c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>
        <v>0</v>
      </c>
      <c r="EN458" s="408">
        <v>0</v>
      </c>
      <c r="EO458" s="408">
        <v>0</v>
      </c>
      <c r="EP458" s="408">
        <v>0</v>
      </c>
      <c r="EQ458" s="408">
        <v>0</v>
      </c>
      <c r="ER458" s="408">
        <v>0</v>
      </c>
      <c r="ES458" s="408">
        <v>0</v>
      </c>
      <c r="ET458" s="408">
        <v>0</v>
      </c>
      <c r="EU458" s="408">
        <v>0</v>
      </c>
      <c r="EV458" s="408">
        <v>265</v>
      </c>
      <c r="EW458" s="408">
        <v>0</v>
      </c>
      <c r="EX458" s="408">
        <v>0</v>
      </c>
      <c r="EY458" s="408">
        <v>0</v>
      </c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465</v>
      </c>
      <c r="B459" s="408" t="s">
        <v>1031</v>
      </c>
      <c r="C459" s="408" t="s">
        <v>2235</v>
      </c>
      <c r="D459" s="408" t="s">
        <v>596</v>
      </c>
      <c r="E459" s="408" t="s">
        <v>965</v>
      </c>
      <c r="F459" s="408" t="s">
        <v>1317</v>
      </c>
      <c r="G459" s="408" t="s">
        <v>1317</v>
      </c>
      <c r="H459" s="408" t="s">
        <v>1317</v>
      </c>
      <c r="I459" s="408" t="s">
        <v>1317</v>
      </c>
      <c r="J459" s="408" t="s">
        <v>2228</v>
      </c>
      <c r="K459" s="828">
        <v>44652</v>
      </c>
      <c r="L459" s="408">
        <v>3403</v>
      </c>
      <c r="M459" s="408">
        <v>3403</v>
      </c>
      <c r="N459" s="408">
        <v>0</v>
      </c>
      <c r="O459" s="408">
        <v>0</v>
      </c>
      <c r="P459" s="408">
        <v>0</v>
      </c>
      <c r="Q459" s="408">
        <v>0</v>
      </c>
      <c r="R459" s="408">
        <v>74.44</v>
      </c>
      <c r="S459" s="408"/>
      <c r="T459" s="408"/>
      <c r="U459" s="408">
        <v>253319.31999999998</v>
      </c>
      <c r="V459" s="408"/>
      <c r="W459" s="408">
        <v>253319.31999999998</v>
      </c>
      <c r="X459" s="408">
        <v>154564.26</v>
      </c>
      <c r="Y459" s="408">
        <v>0</v>
      </c>
      <c r="Z459" s="408">
        <v>0</v>
      </c>
      <c r="AA459" s="408">
        <v>0</v>
      </c>
      <c r="AB459" s="408">
        <v>0</v>
      </c>
      <c r="AC459" s="408">
        <v>0</v>
      </c>
      <c r="AD459" s="408">
        <v>92619.765881127474</v>
      </c>
      <c r="AE459" s="408">
        <v>160694.89359000843</v>
      </c>
      <c r="AF459" s="408"/>
      <c r="AG459" s="408"/>
      <c r="AH459" s="408"/>
      <c r="AI459" s="408">
        <v>0</v>
      </c>
      <c r="AJ459" s="408">
        <v>0</v>
      </c>
      <c r="AK459" s="408">
        <v>0</v>
      </c>
      <c r="AL459" s="408">
        <v>0</v>
      </c>
      <c r="AM459" s="408"/>
      <c r="AN459" s="408">
        <v>0</v>
      </c>
      <c r="AO459" s="408">
        <v>0</v>
      </c>
      <c r="AP459" s="408">
        <v>0</v>
      </c>
      <c r="AQ459" s="408">
        <v>0</v>
      </c>
      <c r="AR459" s="408">
        <v>0</v>
      </c>
      <c r="AS459" s="408"/>
      <c r="AT459" s="408"/>
      <c r="AU459" s="408">
        <v>0</v>
      </c>
      <c r="AV459" s="408">
        <v>0</v>
      </c>
      <c r="AW459" s="408">
        <v>0</v>
      </c>
      <c r="AX459" s="408"/>
      <c r="AY459" s="408"/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0</v>
      </c>
      <c r="BF459" s="408"/>
      <c r="BG459" s="408">
        <v>0</v>
      </c>
      <c r="BH459" s="408">
        <v>0</v>
      </c>
      <c r="BI459" s="408">
        <v>0</v>
      </c>
      <c r="BJ459" s="408">
        <v>0</v>
      </c>
      <c r="BK459" s="408">
        <v>142681.07</v>
      </c>
      <c r="BL459" s="408">
        <v>12</v>
      </c>
      <c r="BM459" s="408"/>
      <c r="BN459" s="408"/>
      <c r="BO459" s="408"/>
      <c r="BP459" s="408"/>
      <c r="BQ459" s="408"/>
      <c r="BR459" s="408"/>
      <c r="BS459" s="408"/>
      <c r="BT459" s="408"/>
      <c r="BU459" s="408"/>
      <c r="BV459" s="408">
        <v>0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154564.26</v>
      </c>
      <c r="CJ459" s="408">
        <v>-98755.09</v>
      </c>
      <c r="CK459" s="408"/>
      <c r="CL459" s="408"/>
      <c r="CM459" s="408"/>
      <c r="CN459" s="408"/>
      <c r="CO459" s="408">
        <v>-98755.059999999983</v>
      </c>
      <c r="CP459" s="408">
        <v>0</v>
      </c>
      <c r="CQ459" s="408">
        <v>30</v>
      </c>
      <c r="CR459" s="408">
        <v>-238.04095459032396</v>
      </c>
      <c r="CS459" s="408">
        <v>0</v>
      </c>
      <c r="CT459" s="408">
        <v>0</v>
      </c>
      <c r="CU459" s="408">
        <v>0</v>
      </c>
      <c r="CV459" s="408">
        <v>0</v>
      </c>
      <c r="CW459" s="408"/>
      <c r="CX459" s="408"/>
      <c r="CY459" s="408"/>
      <c r="CZ459" s="408">
        <v>-238.04095459032396</v>
      </c>
      <c r="DA459" s="408">
        <v>0</v>
      </c>
      <c r="DB459" s="408">
        <v>0</v>
      </c>
      <c r="DC459" s="408"/>
      <c r="DD459" s="408"/>
      <c r="DE459" s="408">
        <v>0</v>
      </c>
      <c r="DF459" s="408">
        <v>0</v>
      </c>
      <c r="DG459" s="408">
        <v>0</v>
      </c>
      <c r="DH459" s="408">
        <v>0</v>
      </c>
      <c r="DI459" s="408">
        <v>0</v>
      </c>
      <c r="DJ459" s="408"/>
      <c r="DK459" s="408">
        <v>0</v>
      </c>
      <c r="DL459" s="408">
        <v>0</v>
      </c>
      <c r="DM459" s="408"/>
      <c r="DN459" s="408">
        <v>0</v>
      </c>
      <c r="DO459" s="408">
        <v>0</v>
      </c>
      <c r="DP459" s="408">
        <v>0</v>
      </c>
      <c r="DQ459" s="408">
        <v>0</v>
      </c>
      <c r="DR459" s="408">
        <v>0</v>
      </c>
      <c r="DS459" s="408"/>
      <c r="DT459" s="408"/>
      <c r="DU459" s="408">
        <v>160694.89359000843</v>
      </c>
      <c r="DV459" s="408"/>
      <c r="DW459" s="408">
        <v>0</v>
      </c>
      <c r="DX459" s="408">
        <v>0</v>
      </c>
      <c r="DY459" s="408">
        <v>-98755.059999999969</v>
      </c>
      <c r="DZ459" s="408"/>
      <c r="EA459" s="408">
        <v>0</v>
      </c>
      <c r="EB459" s="408"/>
      <c r="EC459" s="408">
        <v>-98529.290105264125</v>
      </c>
      <c r="ED459" s="408"/>
      <c r="EE459" s="408">
        <v>0</v>
      </c>
      <c r="EF459" s="408">
        <v>0</v>
      </c>
      <c r="EG459" s="408"/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/>
      <c r="EN459" s="408"/>
      <c r="EO459" s="408">
        <v>0</v>
      </c>
      <c r="EP459" s="408">
        <v>0</v>
      </c>
      <c r="EQ459" s="408"/>
      <c r="ER459" s="408">
        <v>0</v>
      </c>
      <c r="ES459" s="408"/>
      <c r="ET459" s="408">
        <v>0</v>
      </c>
      <c r="EU459" s="408"/>
      <c r="EV459" s="408">
        <v>265</v>
      </c>
      <c r="EW459" s="408"/>
      <c r="EX459" s="408"/>
      <c r="EY459" s="408"/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466</v>
      </c>
      <c r="B460" s="408" t="s">
        <v>2230</v>
      </c>
      <c r="C460" s="408" t="s">
        <v>2235</v>
      </c>
      <c r="D460" s="408" t="s">
        <v>596</v>
      </c>
      <c r="E460" s="408" t="s">
        <v>965</v>
      </c>
      <c r="F460" s="408" t="s">
        <v>1317</v>
      </c>
      <c r="G460" s="408" t="s">
        <v>1317</v>
      </c>
      <c r="H460" s="408" t="s">
        <v>1317</v>
      </c>
      <c r="I460" s="408" t="s">
        <v>1317</v>
      </c>
      <c r="J460" s="408" t="s">
        <v>2228</v>
      </c>
      <c r="K460" s="828">
        <v>44652</v>
      </c>
      <c r="L460" s="408">
        <v>172</v>
      </c>
      <c r="M460" s="408">
        <v>172</v>
      </c>
      <c r="N460" s="408">
        <v>0</v>
      </c>
      <c r="O460" s="408">
        <v>0</v>
      </c>
      <c r="P460" s="408">
        <v>0</v>
      </c>
      <c r="Q460" s="408">
        <v>0</v>
      </c>
      <c r="R460" s="408">
        <v>74.44</v>
      </c>
      <c r="S460" s="408"/>
      <c r="T460" s="408"/>
      <c r="U460" s="408">
        <v>12803.68</v>
      </c>
      <c r="V460" s="408"/>
      <c r="W460" s="408">
        <v>12803.68</v>
      </c>
      <c r="X460" s="408">
        <v>7812.2400000000007</v>
      </c>
      <c r="Y460" s="408">
        <v>0</v>
      </c>
      <c r="Z460" s="408">
        <v>0</v>
      </c>
      <c r="AA460" s="408">
        <v>0</v>
      </c>
      <c r="AB460" s="408">
        <v>0</v>
      </c>
      <c r="AC460" s="408">
        <v>0</v>
      </c>
      <c r="AD460" s="408">
        <v>4681.3399152377096</v>
      </c>
      <c r="AE460" s="408">
        <v>8122.1045246786507</v>
      </c>
      <c r="AF460" s="408"/>
      <c r="AG460" s="408"/>
      <c r="AH460" s="408"/>
      <c r="AI460" s="408">
        <v>0</v>
      </c>
      <c r="AJ460" s="408">
        <v>0</v>
      </c>
      <c r="AK460" s="408">
        <v>0</v>
      </c>
      <c r="AL460" s="408">
        <v>0</v>
      </c>
      <c r="AM460" s="408"/>
      <c r="AN460" s="408">
        <v>0</v>
      </c>
      <c r="AO460" s="408">
        <v>0</v>
      </c>
      <c r="AP460" s="408">
        <v>0</v>
      </c>
      <c r="AQ460" s="408">
        <v>0</v>
      </c>
      <c r="AR460" s="408">
        <v>0</v>
      </c>
      <c r="AS460" s="408"/>
      <c r="AT460" s="408"/>
      <c r="AU460" s="408">
        <v>0</v>
      </c>
      <c r="AV460" s="408">
        <v>0</v>
      </c>
      <c r="AW460" s="408">
        <v>0</v>
      </c>
      <c r="AX460" s="408"/>
      <c r="AY460" s="408"/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/>
      <c r="BG460" s="408">
        <v>0</v>
      </c>
      <c r="BH460" s="408">
        <v>0</v>
      </c>
      <c r="BI460" s="408">
        <v>0</v>
      </c>
      <c r="BJ460" s="408">
        <v>0</v>
      </c>
      <c r="BK460" s="408">
        <v>2752.21</v>
      </c>
      <c r="BL460" s="408">
        <v>1</v>
      </c>
      <c r="BM460" s="408"/>
      <c r="BN460" s="408"/>
      <c r="BO460" s="408"/>
      <c r="BP460" s="408"/>
      <c r="BQ460" s="408"/>
      <c r="BR460" s="408"/>
      <c r="BS460" s="408"/>
      <c r="BT460" s="408"/>
      <c r="BU460" s="408"/>
      <c r="BV460" s="408">
        <v>0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7812.2400000000007</v>
      </c>
      <c r="CJ460" s="408">
        <v>-4991.47</v>
      </c>
      <c r="CK460" s="408"/>
      <c r="CL460" s="408"/>
      <c r="CM460" s="408"/>
      <c r="CN460" s="408"/>
      <c r="CO460" s="408">
        <v>-4991.4399999999996</v>
      </c>
      <c r="CP460" s="408">
        <v>0</v>
      </c>
      <c r="CQ460" s="408">
        <v>30</v>
      </c>
      <c r="CR460" s="408">
        <v>-12.031455830013329</v>
      </c>
      <c r="CS460" s="408">
        <v>0</v>
      </c>
      <c r="CT460" s="408">
        <v>0</v>
      </c>
      <c r="CU460" s="408">
        <v>0</v>
      </c>
      <c r="CV460" s="408">
        <v>0</v>
      </c>
      <c r="CW460" s="408"/>
      <c r="CX460" s="408"/>
      <c r="CY460" s="408"/>
      <c r="CZ460" s="408">
        <v>-12.031455830013329</v>
      </c>
      <c r="DA460" s="408">
        <v>0</v>
      </c>
      <c r="DB460" s="408">
        <v>0</v>
      </c>
      <c r="DC460" s="408"/>
      <c r="DD460" s="408"/>
      <c r="DE460" s="408">
        <v>0</v>
      </c>
      <c r="DF460" s="408">
        <v>0</v>
      </c>
      <c r="DG460" s="408">
        <v>0</v>
      </c>
      <c r="DH460" s="408">
        <v>0</v>
      </c>
      <c r="DI460" s="408">
        <v>0</v>
      </c>
      <c r="DJ460" s="408"/>
      <c r="DK460" s="408">
        <v>0</v>
      </c>
      <c r="DL460" s="408">
        <v>0</v>
      </c>
      <c r="DM460" s="408"/>
      <c r="DN460" s="408">
        <v>0</v>
      </c>
      <c r="DO460" s="408">
        <v>0</v>
      </c>
      <c r="DP460" s="408">
        <v>0</v>
      </c>
      <c r="DQ460" s="408">
        <v>0</v>
      </c>
      <c r="DR460" s="408">
        <v>0</v>
      </c>
      <c r="DS460" s="408"/>
      <c r="DT460" s="408"/>
      <c r="DU460" s="408">
        <v>8122.1045246786507</v>
      </c>
      <c r="DV460" s="408"/>
      <c r="DW460" s="408">
        <v>0</v>
      </c>
      <c r="DX460" s="408">
        <v>0</v>
      </c>
      <c r="DY460" s="408">
        <v>-4991.4399999999996</v>
      </c>
      <c r="DZ460" s="408"/>
      <c r="EA460" s="408">
        <v>0</v>
      </c>
      <c r="EB460" s="408"/>
      <c r="EC460" s="408">
        <v>-4980.028768176735</v>
      </c>
      <c r="ED460" s="408"/>
      <c r="EE460" s="408">
        <v>0</v>
      </c>
      <c r="EF460" s="408">
        <v>0</v>
      </c>
      <c r="EG460" s="408"/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/>
      <c r="EN460" s="408"/>
      <c r="EO460" s="408">
        <v>0</v>
      </c>
      <c r="EP460" s="408">
        <v>0</v>
      </c>
      <c r="EQ460" s="408"/>
      <c r="ER460" s="408">
        <v>0</v>
      </c>
      <c r="ES460" s="408"/>
      <c r="ET460" s="408">
        <v>0</v>
      </c>
      <c r="EU460" s="408"/>
      <c r="EV460" s="408">
        <v>265</v>
      </c>
      <c r="EW460" s="408"/>
      <c r="EX460" s="408"/>
      <c r="EY460" s="408"/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467</v>
      </c>
      <c r="B461" s="408" t="s">
        <v>1031</v>
      </c>
      <c r="C461" s="408" t="s">
        <v>2227</v>
      </c>
      <c r="D461" s="408" t="s">
        <v>1952</v>
      </c>
      <c r="E461" s="408" t="s">
        <v>993</v>
      </c>
      <c r="F461" s="408" t="s">
        <v>1317</v>
      </c>
      <c r="G461" s="408" t="s">
        <v>1317</v>
      </c>
      <c r="H461" s="408" t="s">
        <v>1317</v>
      </c>
      <c r="I461" s="408" t="s">
        <v>1317</v>
      </c>
      <c r="J461" s="408" t="s">
        <v>2228</v>
      </c>
      <c r="K461" s="828">
        <v>44652</v>
      </c>
      <c r="L461" s="408">
        <v>0</v>
      </c>
      <c r="M461" s="408">
        <v>0</v>
      </c>
      <c r="N461" s="408">
        <v>378.89600000000002</v>
      </c>
      <c r="O461" s="408">
        <v>378.89600000000002</v>
      </c>
      <c r="P461" s="408">
        <v>378.89600000000002</v>
      </c>
      <c r="Q461" s="408">
        <v>378.89600000000002</v>
      </c>
      <c r="R461" s="408"/>
      <c r="S461" s="408">
        <v>739.04</v>
      </c>
      <c r="T461" s="408">
        <v>252.22</v>
      </c>
      <c r="U461" s="408"/>
      <c r="V461" s="408">
        <v>375584.44896000001</v>
      </c>
      <c r="W461" s="408">
        <v>375584.44896000001</v>
      </c>
      <c r="X461" s="408">
        <v>256880.12112000003</v>
      </c>
      <c r="Y461" s="408">
        <v>0</v>
      </c>
      <c r="Z461" s="408">
        <v>23435.913631982079</v>
      </c>
      <c r="AA461" s="408">
        <v>0</v>
      </c>
      <c r="AB461" s="408">
        <v>0</v>
      </c>
      <c r="AC461" s="408">
        <v>0</v>
      </c>
      <c r="AD461" s="408">
        <v>46792.739411259856</v>
      </c>
      <c r="AE461" s="408">
        <v>192095.63812220193</v>
      </c>
      <c r="AF461" s="408">
        <v>95566.19770594986</v>
      </c>
      <c r="AG461" s="408">
        <v>0</v>
      </c>
      <c r="AH461" s="408">
        <v>0</v>
      </c>
      <c r="AI461" s="408">
        <v>0</v>
      </c>
      <c r="AJ461" s="408">
        <v>0</v>
      </c>
      <c r="AK461" s="408">
        <v>0</v>
      </c>
      <c r="AL461" s="408">
        <v>3622.6357137005875</v>
      </c>
      <c r="AM461" s="408"/>
      <c r="AN461" s="408">
        <v>887.86644330233491</v>
      </c>
      <c r="AO461" s="408">
        <v>0</v>
      </c>
      <c r="AP461" s="408">
        <v>0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>
        <v>0</v>
      </c>
      <c r="BG461" s="408">
        <v>13183.401375646346</v>
      </c>
      <c r="BH461" s="408">
        <v>0</v>
      </c>
      <c r="BI461" s="408">
        <v>0</v>
      </c>
      <c r="BJ461" s="408">
        <v>0</v>
      </c>
      <c r="BK461" s="408">
        <v>102108.72</v>
      </c>
      <c r="BL461" s="408">
        <v>834</v>
      </c>
      <c r="BM461" s="408"/>
      <c r="BN461" s="408"/>
      <c r="BO461" s="408"/>
      <c r="BP461" s="408"/>
      <c r="BQ461" s="408"/>
      <c r="BR461" s="408"/>
      <c r="BS461" s="408"/>
      <c r="BT461" s="408"/>
      <c r="BU461" s="408"/>
      <c r="BV461" s="408">
        <v>108749.59908159621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256882.83299999998</v>
      </c>
      <c r="CJ461" s="408">
        <v>-118701.64596000005</v>
      </c>
      <c r="CK461" s="408"/>
      <c r="CL461" s="408"/>
      <c r="CM461" s="408"/>
      <c r="CN461" s="408"/>
      <c r="CO461" s="408">
        <v>-118704.32784</v>
      </c>
      <c r="CP461" s="408">
        <v>0</v>
      </c>
      <c r="CQ461" s="408">
        <v>30</v>
      </c>
      <c r="CR461" s="408">
        <v>-921.54968799295602</v>
      </c>
      <c r="CS461" s="408">
        <v>0</v>
      </c>
      <c r="CT461" s="408">
        <v>0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-120.26146094601427</v>
      </c>
      <c r="DA461" s="408">
        <v>0</v>
      </c>
      <c r="DB461" s="408">
        <v>0</v>
      </c>
      <c r="DC461" s="408">
        <v>-1.3397759175859392E-5</v>
      </c>
      <c r="DD461" s="408">
        <v>0</v>
      </c>
      <c r="DE461" s="408">
        <v>0</v>
      </c>
      <c r="DF461" s="408">
        <v>0</v>
      </c>
      <c r="DG461" s="408">
        <v>-1.8482187442714348E-6</v>
      </c>
      <c r="DH461" s="408">
        <v>0</v>
      </c>
      <c r="DI461" s="408">
        <v>-681.44814734324245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-91.008267732299828</v>
      </c>
      <c r="DP461" s="408">
        <v>-28.831796725404729</v>
      </c>
      <c r="DQ461" s="408">
        <v>0</v>
      </c>
      <c r="DR461" s="408">
        <v>0</v>
      </c>
      <c r="DS461" s="408"/>
      <c r="DT461" s="408"/>
      <c r="DU461" s="408"/>
      <c r="DV461" s="408">
        <v>192095.63812220193</v>
      </c>
      <c r="DW461" s="408">
        <v>0</v>
      </c>
      <c r="DX461" s="408">
        <v>0</v>
      </c>
      <c r="DY461" s="408">
        <v>-118704.32783999998</v>
      </c>
      <c r="DZ461" s="408">
        <v>0</v>
      </c>
      <c r="EA461" s="408">
        <v>0</v>
      </c>
      <c r="EB461" s="408">
        <v>0</v>
      </c>
      <c r="EC461" s="408">
        <v>-117782.50343653157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0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265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468</v>
      </c>
      <c r="B462" s="408" t="s">
        <v>2229</v>
      </c>
      <c r="C462" s="408" t="s">
        <v>2227</v>
      </c>
      <c r="D462" s="408" t="s">
        <v>1952</v>
      </c>
      <c r="E462" s="408" t="s">
        <v>993</v>
      </c>
      <c r="F462" s="408" t="s">
        <v>1317</v>
      </c>
      <c r="G462" s="408" t="s">
        <v>1317</v>
      </c>
      <c r="H462" s="408" t="s">
        <v>1317</v>
      </c>
      <c r="I462" s="408" t="s">
        <v>1317</v>
      </c>
      <c r="J462" s="408" t="s">
        <v>2228</v>
      </c>
      <c r="K462" s="828">
        <v>44652</v>
      </c>
      <c r="L462" s="408">
        <v>0</v>
      </c>
      <c r="M462" s="408">
        <v>0</v>
      </c>
      <c r="N462" s="408">
        <v>-0.93700000000000006</v>
      </c>
      <c r="O462" s="408">
        <v>-0.93700000000000006</v>
      </c>
      <c r="P462" s="408">
        <v>-0.93700000000000006</v>
      </c>
      <c r="Q462" s="408">
        <v>-0.93700000000000006</v>
      </c>
      <c r="R462" s="408"/>
      <c r="S462" s="408">
        <v>739.04</v>
      </c>
      <c r="T462" s="408">
        <v>252.22</v>
      </c>
      <c r="U462" s="408"/>
      <c r="V462" s="408">
        <v>-928.81062000000009</v>
      </c>
      <c r="W462" s="408">
        <v>-928.81062000000009</v>
      </c>
      <c r="X462" s="408">
        <v>-635.25788999999997</v>
      </c>
      <c r="Y462" s="408">
        <v>0</v>
      </c>
      <c r="Z462" s="408">
        <v>-57.956407756131519</v>
      </c>
      <c r="AA462" s="408">
        <v>0</v>
      </c>
      <c r="AB462" s="408">
        <v>0</v>
      </c>
      <c r="AC462" s="408">
        <v>0</v>
      </c>
      <c r="AD462" s="408">
        <v>-115.71723329977219</v>
      </c>
      <c r="AE462" s="408">
        <v>-475.04754054015672</v>
      </c>
      <c r="AF462" s="408">
        <v>-236.33273312591061</v>
      </c>
      <c r="AG462" s="408">
        <v>0</v>
      </c>
      <c r="AH462" s="408">
        <v>0</v>
      </c>
      <c r="AI462" s="408">
        <v>0</v>
      </c>
      <c r="AJ462" s="408">
        <v>0</v>
      </c>
      <c r="AK462" s="408">
        <v>0</v>
      </c>
      <c r="AL462" s="408">
        <v>-8.9586843454073168</v>
      </c>
      <c r="AM462" s="408"/>
      <c r="AN462" s="408">
        <v>-2.195670731214602</v>
      </c>
      <c r="AO462" s="408">
        <v>0</v>
      </c>
      <c r="AP462" s="408">
        <v>0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>
        <v>0</v>
      </c>
      <c r="BG462" s="408">
        <v>-32.602210339989405</v>
      </c>
      <c r="BH462" s="408">
        <v>0</v>
      </c>
      <c r="BI462" s="408">
        <v>0</v>
      </c>
      <c r="BJ462" s="408">
        <v>0</v>
      </c>
      <c r="BK462" s="408">
        <v>-256.10000000000002</v>
      </c>
      <c r="BL462" s="408">
        <v>0</v>
      </c>
      <c r="BM462" s="408"/>
      <c r="BN462" s="408"/>
      <c r="BO462" s="408"/>
      <c r="BP462" s="408"/>
      <c r="BQ462" s="408"/>
      <c r="BR462" s="408"/>
      <c r="BS462" s="408"/>
      <c r="BT462" s="408"/>
      <c r="BU462" s="408"/>
      <c r="BV462" s="408">
        <v>-268.93494346590001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-637.29179999999997</v>
      </c>
      <c r="CJ462" s="408">
        <v>291.48882000000015</v>
      </c>
      <c r="CK462" s="408"/>
      <c r="CL462" s="408"/>
      <c r="CM462" s="408"/>
      <c r="CN462" s="408"/>
      <c r="CO462" s="408">
        <v>293.55273</v>
      </c>
      <c r="CP462" s="408">
        <v>0</v>
      </c>
      <c r="CQ462" s="408">
        <v>30</v>
      </c>
      <c r="CR462" s="408">
        <v>2.2789685234191666</v>
      </c>
      <c r="CS462" s="408">
        <v>0</v>
      </c>
      <c r="CT462" s="408">
        <v>0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0.29740347986363247</v>
      </c>
      <c r="DA462" s="408">
        <v>0</v>
      </c>
      <c r="DB462" s="408">
        <v>0</v>
      </c>
      <c r="DC462" s="408">
        <v>3.3132351973108598E-8</v>
      </c>
      <c r="DD462" s="408">
        <v>0</v>
      </c>
      <c r="DE462" s="408">
        <v>0</v>
      </c>
      <c r="DF462" s="408">
        <v>0</v>
      </c>
      <c r="DG462" s="408">
        <v>4.5705945694862748E-9</v>
      </c>
      <c r="DH462" s="408">
        <v>0</v>
      </c>
      <c r="DI462" s="408">
        <v>1.6852036285962839</v>
      </c>
      <c r="DJ462" s="408"/>
      <c r="DK462" s="408">
        <v>0</v>
      </c>
      <c r="DL462" s="408">
        <v>0</v>
      </c>
      <c r="DM462" s="408">
        <v>0</v>
      </c>
      <c r="DN462" s="408">
        <v>0</v>
      </c>
      <c r="DO462" s="408">
        <v>0.22506109028642385</v>
      </c>
      <c r="DP462" s="408">
        <v>7.1300286969786519E-2</v>
      </c>
      <c r="DQ462" s="408">
        <v>0</v>
      </c>
      <c r="DR462" s="408">
        <v>0</v>
      </c>
      <c r="DS462" s="408"/>
      <c r="DT462" s="408"/>
      <c r="DU462" s="408"/>
      <c r="DV462" s="408">
        <v>-475.04754054015672</v>
      </c>
      <c r="DW462" s="408">
        <v>0</v>
      </c>
      <c r="DX462" s="408">
        <v>0</v>
      </c>
      <c r="DY462" s="408">
        <v>293.55273000000005</v>
      </c>
      <c r="DZ462" s="408">
        <v>0</v>
      </c>
      <c r="EA462" s="408">
        <v>0</v>
      </c>
      <c r="EB462" s="408">
        <v>0</v>
      </c>
      <c r="EC462" s="408">
        <v>291.27308211232128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0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265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469</v>
      </c>
      <c r="B463" s="408" t="s">
        <v>2230</v>
      </c>
      <c r="C463" s="408" t="s">
        <v>2227</v>
      </c>
      <c r="D463" s="408" t="s">
        <v>1952</v>
      </c>
      <c r="E463" s="408" t="s">
        <v>993</v>
      </c>
      <c r="F463" s="408" t="s">
        <v>1317</v>
      </c>
      <c r="G463" s="408" t="s">
        <v>1317</v>
      </c>
      <c r="H463" s="408" t="s">
        <v>1317</v>
      </c>
      <c r="I463" s="408" t="s">
        <v>1317</v>
      </c>
      <c r="J463" s="408" t="s">
        <v>2228</v>
      </c>
      <c r="K463" s="828">
        <v>44652</v>
      </c>
      <c r="L463" s="408">
        <v>0</v>
      </c>
      <c r="M463" s="408">
        <v>0</v>
      </c>
      <c r="N463" s="408">
        <v>73.408000000000001</v>
      </c>
      <c r="O463" s="408">
        <v>73.408000000000001</v>
      </c>
      <c r="P463" s="408">
        <v>73.408000000000001</v>
      </c>
      <c r="Q463" s="408">
        <v>73.408000000000001</v>
      </c>
      <c r="R463" s="408"/>
      <c r="S463" s="408">
        <v>739.04</v>
      </c>
      <c r="T463" s="408">
        <v>252.22</v>
      </c>
      <c r="U463" s="408"/>
      <c r="V463" s="408">
        <v>72766.414079999988</v>
      </c>
      <c r="W463" s="408">
        <v>72766.414079999988</v>
      </c>
      <c r="X463" s="408">
        <v>49768.421759999997</v>
      </c>
      <c r="Y463" s="408">
        <v>0</v>
      </c>
      <c r="Z463" s="408">
        <v>4540.5165214109948</v>
      </c>
      <c r="AA463" s="408">
        <v>0</v>
      </c>
      <c r="AB463" s="408">
        <v>0</v>
      </c>
      <c r="AC463" s="408">
        <v>0</v>
      </c>
      <c r="AD463" s="408">
        <v>9065.7104184308191</v>
      </c>
      <c r="AE463" s="408">
        <v>37216.95822408946</v>
      </c>
      <c r="AF463" s="408">
        <v>18515.168914948608</v>
      </c>
      <c r="AG463" s="408">
        <v>0</v>
      </c>
      <c r="AH463" s="408">
        <v>0</v>
      </c>
      <c r="AI463" s="408">
        <v>0</v>
      </c>
      <c r="AJ463" s="408">
        <v>0</v>
      </c>
      <c r="AK463" s="408">
        <v>0</v>
      </c>
      <c r="AL463" s="408">
        <v>701.8560303390185</v>
      </c>
      <c r="AM463" s="408"/>
      <c r="AN463" s="408">
        <v>172.01685916435594</v>
      </c>
      <c r="AO463" s="408">
        <v>0</v>
      </c>
      <c r="AP463" s="408">
        <v>0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0</v>
      </c>
      <c r="BF463" s="408">
        <v>0</v>
      </c>
      <c r="BG463" s="408">
        <v>2554.1761543627986</v>
      </c>
      <c r="BH463" s="408">
        <v>0</v>
      </c>
      <c r="BI463" s="408">
        <v>0</v>
      </c>
      <c r="BJ463" s="408">
        <v>0</v>
      </c>
      <c r="BK463" s="408">
        <v>31000.22</v>
      </c>
      <c r="BL463" s="408">
        <v>125</v>
      </c>
      <c r="BM463" s="408"/>
      <c r="BN463" s="408"/>
      <c r="BO463" s="408"/>
      <c r="BP463" s="408"/>
      <c r="BQ463" s="408"/>
      <c r="BR463" s="408"/>
      <c r="BS463" s="408"/>
      <c r="BT463" s="408"/>
      <c r="BU463" s="408"/>
      <c r="BV463" s="408">
        <v>21069.345069311406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49769.777699999999</v>
      </c>
      <c r="CJ463" s="408">
        <v>-22996.666380000002</v>
      </c>
      <c r="CK463" s="408"/>
      <c r="CL463" s="408"/>
      <c r="CM463" s="408"/>
      <c r="CN463" s="408"/>
      <c r="CO463" s="408">
        <v>-22997.992319999998</v>
      </c>
      <c r="CP463" s="408">
        <v>0</v>
      </c>
      <c r="CQ463" s="408">
        <v>30</v>
      </c>
      <c r="CR463" s="408">
        <v>-178.54271223815158</v>
      </c>
      <c r="CS463" s="408">
        <v>0</v>
      </c>
      <c r="CT463" s="408">
        <v>0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-23.29967411934922</v>
      </c>
      <c r="DA463" s="408">
        <v>0</v>
      </c>
      <c r="DB463" s="408">
        <v>0</v>
      </c>
      <c r="DC463" s="408">
        <v>-2.5957087927963585E-6</v>
      </c>
      <c r="DD463" s="408">
        <v>0</v>
      </c>
      <c r="DE463" s="408">
        <v>0</v>
      </c>
      <c r="DF463" s="408">
        <v>0</v>
      </c>
      <c r="DG463" s="408">
        <v>-3.5807715903501958E-7</v>
      </c>
      <c r="DH463" s="408">
        <v>0</v>
      </c>
      <c r="DI463" s="408">
        <v>-132.0250031675514</v>
      </c>
      <c r="DJ463" s="408"/>
      <c r="DK463" s="408">
        <v>0</v>
      </c>
      <c r="DL463" s="408">
        <v>0</v>
      </c>
      <c r="DM463" s="408">
        <v>0</v>
      </c>
      <c r="DN463" s="408">
        <v>0</v>
      </c>
      <c r="DO463" s="408">
        <v>-17.632107274008376</v>
      </c>
      <c r="DP463" s="408">
        <v>-5.5859247234558325</v>
      </c>
      <c r="DQ463" s="408">
        <v>0</v>
      </c>
      <c r="DR463" s="408">
        <v>0</v>
      </c>
      <c r="DS463" s="408"/>
      <c r="DT463" s="408"/>
      <c r="DU463" s="408"/>
      <c r="DV463" s="408">
        <v>37216.95822408946</v>
      </c>
      <c r="DW463" s="408">
        <v>0</v>
      </c>
      <c r="DX463" s="408">
        <v>0</v>
      </c>
      <c r="DY463" s="408">
        <v>-22997.992319999994</v>
      </c>
      <c r="DZ463" s="408">
        <v>0</v>
      </c>
      <c r="EA463" s="408">
        <v>0</v>
      </c>
      <c r="EB463" s="408">
        <v>0</v>
      </c>
      <c r="EC463" s="408">
        <v>-22819.396383886105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0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265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470</v>
      </c>
      <c r="B464" s="408" t="s">
        <v>2230</v>
      </c>
      <c r="C464" s="408" t="s">
        <v>2227</v>
      </c>
      <c r="D464" s="408" t="s">
        <v>1952</v>
      </c>
      <c r="E464" s="408" t="s">
        <v>993</v>
      </c>
      <c r="F464" s="408" t="s">
        <v>1317</v>
      </c>
      <c r="G464" s="408" t="s">
        <v>1317</v>
      </c>
      <c r="H464" s="408" t="s">
        <v>1317</v>
      </c>
      <c r="I464" s="408" t="s">
        <v>1317</v>
      </c>
      <c r="J464" s="408" t="s">
        <v>2228</v>
      </c>
      <c r="K464" s="828">
        <v>44652</v>
      </c>
      <c r="L464" s="408">
        <v>0</v>
      </c>
      <c r="M464" s="408">
        <v>0</v>
      </c>
      <c r="N464" s="408">
        <v>-2.1680000000000001</v>
      </c>
      <c r="O464" s="408">
        <v>-2.1680000000000001</v>
      </c>
      <c r="P464" s="408">
        <v>-2.1680000000000001</v>
      </c>
      <c r="Q464" s="408">
        <v>-2.1680000000000001</v>
      </c>
      <c r="R464" s="408"/>
      <c r="S464" s="408">
        <v>739.04</v>
      </c>
      <c r="T464" s="408">
        <v>252.22</v>
      </c>
      <c r="U464" s="408"/>
      <c r="V464" s="408">
        <v>-2149.05168</v>
      </c>
      <c r="W464" s="408">
        <v>-2149.05168</v>
      </c>
      <c r="X464" s="408">
        <v>-1469.83896</v>
      </c>
      <c r="Y464" s="408">
        <v>0</v>
      </c>
      <c r="Z464" s="408">
        <v>-134.09764355954442</v>
      </c>
      <c r="AA464" s="408">
        <v>0</v>
      </c>
      <c r="AB464" s="408">
        <v>0</v>
      </c>
      <c r="AC464" s="408">
        <v>0</v>
      </c>
      <c r="AD464" s="408">
        <v>-267.74275538303749</v>
      </c>
      <c r="AE464" s="408">
        <v>-1099.149485476051</v>
      </c>
      <c r="AF464" s="408">
        <v>-546.81895989004715</v>
      </c>
      <c r="AG464" s="408">
        <v>0</v>
      </c>
      <c r="AH464" s="408">
        <v>0</v>
      </c>
      <c r="AI464" s="408">
        <v>0</v>
      </c>
      <c r="AJ464" s="408">
        <v>0</v>
      </c>
      <c r="AK464" s="408">
        <v>0</v>
      </c>
      <c r="AL464" s="408">
        <v>-20.728311270910421</v>
      </c>
      <c r="AM464" s="408"/>
      <c r="AN464" s="408">
        <v>-5.0802712329490474</v>
      </c>
      <c r="AO464" s="408">
        <v>0</v>
      </c>
      <c r="AP464" s="408">
        <v>0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0</v>
      </c>
      <c r="BF464" s="408">
        <v>0</v>
      </c>
      <c r="BG464" s="408">
        <v>-75.433929580679873</v>
      </c>
      <c r="BH464" s="408">
        <v>0</v>
      </c>
      <c r="BI464" s="408">
        <v>0</v>
      </c>
      <c r="BJ464" s="408">
        <v>0</v>
      </c>
      <c r="BK464" s="408">
        <v>-592.57000000000005</v>
      </c>
      <c r="BL464" s="408">
        <v>2</v>
      </c>
      <c r="BM464" s="408"/>
      <c r="BN464" s="408"/>
      <c r="BO464" s="408"/>
      <c r="BP464" s="408"/>
      <c r="BQ464" s="408"/>
      <c r="BR464" s="408"/>
      <c r="BS464" s="408"/>
      <c r="BT464" s="408"/>
      <c r="BU464" s="408"/>
      <c r="BV464" s="408">
        <v>-622.25288947072704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-1471.1949</v>
      </c>
      <c r="CJ464" s="408">
        <v>677.82677999999987</v>
      </c>
      <c r="CK464" s="408"/>
      <c r="CL464" s="408"/>
      <c r="CM464" s="408"/>
      <c r="CN464" s="408"/>
      <c r="CO464" s="408">
        <v>679.21271999999999</v>
      </c>
      <c r="CP464" s="408">
        <v>0</v>
      </c>
      <c r="CQ464" s="408">
        <v>30</v>
      </c>
      <c r="CR464" s="408">
        <v>5.2730029442609521</v>
      </c>
      <c r="CS464" s="408">
        <v>0</v>
      </c>
      <c r="CT464" s="408">
        <v>0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0.68812245927892945</v>
      </c>
      <c r="DA464" s="408">
        <v>0</v>
      </c>
      <c r="DB464" s="408">
        <v>0</v>
      </c>
      <c r="DC464" s="408">
        <v>7.666051260457607E-8</v>
      </c>
      <c r="DD464" s="408">
        <v>0</v>
      </c>
      <c r="DE464" s="408">
        <v>0</v>
      </c>
      <c r="DF464" s="408">
        <v>0</v>
      </c>
      <c r="DG464" s="408">
        <v>1.057530596426659E-8</v>
      </c>
      <c r="DH464" s="408">
        <v>0</v>
      </c>
      <c r="DI464" s="408">
        <v>3.8991691214479545</v>
      </c>
      <c r="DJ464" s="408"/>
      <c r="DK464" s="408">
        <v>0</v>
      </c>
      <c r="DL464" s="408">
        <v>0</v>
      </c>
      <c r="DM464" s="408">
        <v>0</v>
      </c>
      <c r="DN464" s="408">
        <v>0</v>
      </c>
      <c r="DO464" s="408">
        <v>0.52073900079079039</v>
      </c>
      <c r="DP464" s="408">
        <v>0.16497227550746807</v>
      </c>
      <c r="DQ464" s="408">
        <v>0</v>
      </c>
      <c r="DR464" s="408">
        <v>0</v>
      </c>
      <c r="DS464" s="408"/>
      <c r="DT464" s="408"/>
      <c r="DU464" s="408"/>
      <c r="DV464" s="408">
        <v>-1099.149485476051</v>
      </c>
      <c r="DW464" s="408">
        <v>0</v>
      </c>
      <c r="DX464" s="408">
        <v>0</v>
      </c>
      <c r="DY464" s="408">
        <v>679.21271999999999</v>
      </c>
      <c r="DZ464" s="408">
        <v>0</v>
      </c>
      <c r="EA464" s="408">
        <v>0</v>
      </c>
      <c r="EB464" s="408">
        <v>0</v>
      </c>
      <c r="EC464" s="408">
        <v>673.93814516490147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0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265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471</v>
      </c>
      <c r="B465" s="408" t="s">
        <v>1031</v>
      </c>
      <c r="C465" s="408" t="s">
        <v>2235</v>
      </c>
      <c r="D465" s="408" t="s">
        <v>596</v>
      </c>
      <c r="E465" s="408" t="s">
        <v>993</v>
      </c>
      <c r="F465" s="408" t="s">
        <v>1317</v>
      </c>
      <c r="G465" s="408" t="s">
        <v>1317</v>
      </c>
      <c r="H465" s="408" t="s">
        <v>1317</v>
      </c>
      <c r="I465" s="408" t="s">
        <v>968</v>
      </c>
      <c r="J465" s="408" t="s">
        <v>2228</v>
      </c>
      <c r="K465" s="828">
        <v>44652</v>
      </c>
      <c r="L465" s="408">
        <v>0</v>
      </c>
      <c r="M465" s="408">
        <v>0</v>
      </c>
      <c r="N465" s="408">
        <v>32.179000000000002</v>
      </c>
      <c r="O465" s="408">
        <v>32.179000000000002</v>
      </c>
      <c r="P465" s="408">
        <v>32.179000000000002</v>
      </c>
      <c r="Q465" s="408">
        <v>32.179000000000002</v>
      </c>
      <c r="R465" s="408"/>
      <c r="S465" s="408">
        <v>2641.06</v>
      </c>
      <c r="T465" s="408">
        <v>252.22</v>
      </c>
      <c r="U465" s="408"/>
      <c r="V465" s="408">
        <v>93102.857120000001</v>
      </c>
      <c r="W465" s="408">
        <v>93102.857120000001</v>
      </c>
      <c r="X465" s="408">
        <v>55262.283860000003</v>
      </c>
      <c r="Y465" s="408">
        <v>0</v>
      </c>
      <c r="Z465" s="408">
        <v>1731.6242724765889</v>
      </c>
      <c r="AA465" s="408">
        <v>0</v>
      </c>
      <c r="AB465" s="408">
        <v>0</v>
      </c>
      <c r="AC465" s="408">
        <v>0</v>
      </c>
      <c r="AD465" s="408">
        <v>20844.49398856211</v>
      </c>
      <c r="AE465" s="408">
        <v>61529.155073393027</v>
      </c>
      <c r="AF465" s="408">
        <v>8116.276434641064</v>
      </c>
      <c r="AG465" s="408">
        <v>0</v>
      </c>
      <c r="AH465" s="408">
        <v>0</v>
      </c>
      <c r="AI465" s="408">
        <v>0</v>
      </c>
      <c r="AJ465" s="408">
        <v>0</v>
      </c>
      <c r="AK465" s="408">
        <v>0</v>
      </c>
      <c r="AL465" s="408">
        <v>307.66435811191252</v>
      </c>
      <c r="AM465" s="408"/>
      <c r="AN465" s="408">
        <v>77.419653603083773</v>
      </c>
      <c r="AO465" s="408">
        <v>0</v>
      </c>
      <c r="AP465" s="408">
        <v>0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>
        <v>0</v>
      </c>
      <c r="BG465" s="408">
        <v>496.29160930575671</v>
      </c>
      <c r="BH465" s="408">
        <v>0</v>
      </c>
      <c r="BI465" s="408">
        <v>0</v>
      </c>
      <c r="BJ465" s="408">
        <v>0</v>
      </c>
      <c r="BK465" s="408">
        <v>0</v>
      </c>
      <c r="BL465" s="408">
        <v>0</v>
      </c>
      <c r="BM465" s="408"/>
      <c r="BN465" s="408"/>
      <c r="BO465" s="408"/>
      <c r="BP465" s="408"/>
      <c r="BQ465" s="408"/>
      <c r="BR465" s="408"/>
      <c r="BS465" s="408"/>
      <c r="BT465" s="408"/>
      <c r="BU465" s="408"/>
      <c r="BV465" s="408">
        <v>8612.5680439468215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55264.001199999992</v>
      </c>
      <c r="CJ465" s="408">
        <v>-37838.885919999993</v>
      </c>
      <c r="CK465" s="408"/>
      <c r="CL465" s="408"/>
      <c r="CM465" s="408"/>
      <c r="CN465" s="408"/>
      <c r="CO465" s="408">
        <v>-37840.573260000005</v>
      </c>
      <c r="CP465" s="408">
        <v>0</v>
      </c>
      <c r="CQ465" s="408">
        <v>30</v>
      </c>
      <c r="CR465" s="408">
        <v>-114.16601660035303</v>
      </c>
      <c r="CS465" s="408">
        <v>0</v>
      </c>
      <c r="CT465" s="408">
        <v>0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-53.572185157096101</v>
      </c>
      <c r="DA465" s="408">
        <v>0</v>
      </c>
      <c r="DB465" s="408">
        <v>0</v>
      </c>
      <c r="DC465" s="408">
        <v>-1.1378497219993733E-6</v>
      </c>
      <c r="DD465" s="408">
        <v>0</v>
      </c>
      <c r="DE465" s="408">
        <v>0</v>
      </c>
      <c r="DF465" s="408">
        <v>0</v>
      </c>
      <c r="DG465" s="408">
        <v>-6.9577424710587366E-8</v>
      </c>
      <c r="DH465" s="408">
        <v>0</v>
      </c>
      <c r="DI465" s="408">
        <v>-50.350593149628367</v>
      </c>
      <c r="DJ465" s="408"/>
      <c r="DK465" s="408">
        <v>0</v>
      </c>
      <c r="DL465" s="408">
        <v>0</v>
      </c>
      <c r="DM465" s="408">
        <v>0</v>
      </c>
      <c r="DN465" s="408">
        <v>0</v>
      </c>
      <c r="DO465" s="408">
        <v>-7.7291791081396468</v>
      </c>
      <c r="DP465" s="408">
        <v>-2.5140579780595118</v>
      </c>
      <c r="DQ465" s="408">
        <v>0</v>
      </c>
      <c r="DR465" s="408">
        <v>0</v>
      </c>
      <c r="DS465" s="408"/>
      <c r="DT465" s="408"/>
      <c r="DU465" s="408"/>
      <c r="DV465" s="408">
        <v>61529.155073393027</v>
      </c>
      <c r="DW465" s="408">
        <v>0</v>
      </c>
      <c r="DX465" s="408">
        <v>0</v>
      </c>
      <c r="DY465" s="408">
        <v>-37840.573259999997</v>
      </c>
      <c r="DZ465" s="408">
        <v>0</v>
      </c>
      <c r="EA465" s="408">
        <v>0</v>
      </c>
      <c r="EB465" s="408">
        <v>0</v>
      </c>
      <c r="EC465" s="408">
        <v>-37726.301282638022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0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265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472</v>
      </c>
      <c r="B466" s="408" t="s">
        <v>2230</v>
      </c>
      <c r="C466" s="408" t="s">
        <v>2235</v>
      </c>
      <c r="D466" s="408" t="s">
        <v>596</v>
      </c>
      <c r="E466" s="408" t="s">
        <v>993</v>
      </c>
      <c r="F466" s="408" t="s">
        <v>1317</v>
      </c>
      <c r="G466" s="408" t="s">
        <v>1317</v>
      </c>
      <c r="H466" s="408" t="s">
        <v>1317</v>
      </c>
      <c r="I466" s="408" t="s">
        <v>968</v>
      </c>
      <c r="J466" s="408" t="s">
        <v>2228</v>
      </c>
      <c r="K466" s="828">
        <v>44652</v>
      </c>
      <c r="L466" s="408">
        <v>0</v>
      </c>
      <c r="M466" s="408">
        <v>0</v>
      </c>
      <c r="N466" s="408">
        <v>4.4279999999999999</v>
      </c>
      <c r="O466" s="408">
        <v>4.4279999999999999</v>
      </c>
      <c r="P466" s="408">
        <v>4.4279999999999999</v>
      </c>
      <c r="Q466" s="408">
        <v>4.4279999999999999</v>
      </c>
      <c r="R466" s="408"/>
      <c r="S466" s="408">
        <v>2641.06</v>
      </c>
      <c r="T466" s="408">
        <v>252.22</v>
      </c>
      <c r="U466" s="408"/>
      <c r="V466" s="408">
        <v>12811.44384</v>
      </c>
      <c r="W466" s="408">
        <v>12811.44384</v>
      </c>
      <c r="X466" s="408">
        <v>7604.381519999999</v>
      </c>
      <c r="Y466" s="408">
        <v>0</v>
      </c>
      <c r="Z466" s="408">
        <v>238.28062644974469</v>
      </c>
      <c r="AA466" s="408">
        <v>0</v>
      </c>
      <c r="AB466" s="408">
        <v>0</v>
      </c>
      <c r="AC466" s="408">
        <v>0</v>
      </c>
      <c r="AD466" s="408">
        <v>2868.3122341077415</v>
      </c>
      <c r="AE466" s="408">
        <v>8466.7360286206622</v>
      </c>
      <c r="AF466" s="408">
        <v>1116.8424143879745</v>
      </c>
      <c r="AG466" s="408">
        <v>0</v>
      </c>
      <c r="AH466" s="408">
        <v>0</v>
      </c>
      <c r="AI466" s="408">
        <v>0</v>
      </c>
      <c r="AJ466" s="408">
        <v>0</v>
      </c>
      <c r="AK466" s="408">
        <v>0</v>
      </c>
      <c r="AL466" s="408">
        <v>42.336237226748771</v>
      </c>
      <c r="AM466" s="408"/>
      <c r="AN466" s="408">
        <v>10.65335237746527</v>
      </c>
      <c r="AO466" s="408">
        <v>0</v>
      </c>
      <c r="AP466" s="408">
        <v>0</v>
      </c>
      <c r="AQ466" s="408">
        <v>0</v>
      </c>
      <c r="AR466" s="408">
        <v>0</v>
      </c>
      <c r="AS466" s="408">
        <v>0</v>
      </c>
      <c r="AT466" s="408">
        <v>0</v>
      </c>
      <c r="AU466" s="408">
        <v>0</v>
      </c>
      <c r="AV466" s="408">
        <v>0</v>
      </c>
      <c r="AW466" s="408">
        <v>0</v>
      </c>
      <c r="AX466" s="408">
        <v>0</v>
      </c>
      <c r="AY466" s="408">
        <v>0</v>
      </c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>
        <v>0</v>
      </c>
      <c r="BG466" s="408">
        <v>68.292341154351917</v>
      </c>
      <c r="BH466" s="408">
        <v>0</v>
      </c>
      <c r="BI466" s="408">
        <v>0</v>
      </c>
      <c r="BJ466" s="408">
        <v>0</v>
      </c>
      <c r="BK466" s="408">
        <v>0</v>
      </c>
      <c r="BL466" s="408">
        <v>0</v>
      </c>
      <c r="BM466" s="408"/>
      <c r="BN466" s="408"/>
      <c r="BO466" s="408"/>
      <c r="BP466" s="408"/>
      <c r="BQ466" s="408"/>
      <c r="BR466" s="408"/>
      <c r="BS466" s="408"/>
      <c r="BT466" s="408"/>
      <c r="BU466" s="408"/>
      <c r="BV466" s="408">
        <v>1185.1347555423265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7607.8161999999993</v>
      </c>
      <c r="CJ466" s="408">
        <v>-5203.6576400000013</v>
      </c>
      <c r="CK466" s="408"/>
      <c r="CL466" s="408"/>
      <c r="CM466" s="408"/>
      <c r="CN466" s="408"/>
      <c r="CO466" s="408">
        <v>-5207.06232</v>
      </c>
      <c r="CP466" s="408">
        <v>0</v>
      </c>
      <c r="CQ466" s="408">
        <v>30</v>
      </c>
      <c r="CR466" s="408">
        <v>-15.709845598257743</v>
      </c>
      <c r="CS466" s="408">
        <v>0</v>
      </c>
      <c r="CT466" s="408">
        <v>0</v>
      </c>
      <c r="CU466" s="408">
        <v>0</v>
      </c>
      <c r="CV466" s="408">
        <v>0</v>
      </c>
      <c r="CW466" s="408">
        <v>0</v>
      </c>
      <c r="CX466" s="408">
        <v>0</v>
      </c>
      <c r="CY466" s="408">
        <v>0</v>
      </c>
      <c r="CZ466" s="408">
        <v>-7.371815030785001</v>
      </c>
      <c r="DA466" s="408">
        <v>0</v>
      </c>
      <c r="DB466" s="408">
        <v>0</v>
      </c>
      <c r="DC466" s="408">
        <v>-1.565742877573939E-7</v>
      </c>
      <c r="DD466" s="408">
        <v>0</v>
      </c>
      <c r="DE466" s="408">
        <v>0</v>
      </c>
      <c r="DF466" s="408">
        <v>0</v>
      </c>
      <c r="DG466" s="408">
        <v>-9.57420809299947E-9</v>
      </c>
      <c r="DH466" s="408">
        <v>0</v>
      </c>
      <c r="DI466" s="408">
        <v>-6.9285069910983452</v>
      </c>
      <c r="DJ466" s="408"/>
      <c r="DK466" s="408">
        <v>0</v>
      </c>
      <c r="DL466" s="408">
        <v>0</v>
      </c>
      <c r="DM466" s="408">
        <v>0</v>
      </c>
      <c r="DN466" s="408">
        <v>0</v>
      </c>
      <c r="DO466" s="408">
        <v>-1.0635757820579386</v>
      </c>
      <c r="DP466" s="408">
        <v>-0.34594762816891489</v>
      </c>
      <c r="DQ466" s="408">
        <v>0</v>
      </c>
      <c r="DR466" s="408">
        <v>0</v>
      </c>
      <c r="DS466" s="408"/>
      <c r="DT466" s="408"/>
      <c r="DU466" s="408"/>
      <c r="DV466" s="408">
        <v>8466.7360286206622</v>
      </c>
      <c r="DW466" s="408">
        <v>0</v>
      </c>
      <c r="DX466" s="408">
        <v>0</v>
      </c>
      <c r="DY466" s="408">
        <v>-5207.0623200000009</v>
      </c>
      <c r="DZ466" s="408">
        <v>0</v>
      </c>
      <c r="EA466" s="408">
        <v>0</v>
      </c>
      <c r="EB466" s="408">
        <v>0</v>
      </c>
      <c r="EC466" s="408">
        <v>-5191.3378936424724</v>
      </c>
      <c r="ED466" s="408">
        <v>0</v>
      </c>
      <c r="EE466" s="408">
        <v>0</v>
      </c>
      <c r="EF466" s="408">
        <v>0</v>
      </c>
      <c r="EG466" s="408">
        <v>0</v>
      </c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>
        <v>0</v>
      </c>
      <c r="EN466" s="408">
        <v>0</v>
      </c>
      <c r="EO466" s="408">
        <v>0</v>
      </c>
      <c r="EP466" s="408">
        <v>0</v>
      </c>
      <c r="EQ466" s="408">
        <v>0</v>
      </c>
      <c r="ER466" s="408">
        <v>0</v>
      </c>
      <c r="ES466" s="408">
        <v>0</v>
      </c>
      <c r="ET466" s="408">
        <v>0</v>
      </c>
      <c r="EU466" s="408">
        <v>0</v>
      </c>
      <c r="EV466" s="408">
        <v>265</v>
      </c>
      <c r="EW466" s="408">
        <v>0</v>
      </c>
      <c r="EX466" s="408">
        <v>0</v>
      </c>
      <c r="EY466" s="408">
        <v>0</v>
      </c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473</v>
      </c>
      <c r="B467" s="408" t="s">
        <v>1031</v>
      </c>
      <c r="C467" s="408" t="s">
        <v>2235</v>
      </c>
      <c r="D467" s="408" t="s">
        <v>596</v>
      </c>
      <c r="E467" s="408" t="s">
        <v>993</v>
      </c>
      <c r="F467" s="408" t="s">
        <v>1317</v>
      </c>
      <c r="G467" s="408" t="s">
        <v>1317</v>
      </c>
      <c r="H467" s="408" t="s">
        <v>1317</v>
      </c>
      <c r="I467" s="408" t="s">
        <v>2236</v>
      </c>
      <c r="J467" s="408" t="s">
        <v>2228</v>
      </c>
      <c r="K467" s="828">
        <v>44652</v>
      </c>
      <c r="L467" s="408">
        <v>0</v>
      </c>
      <c r="M467" s="408">
        <v>0</v>
      </c>
      <c r="N467" s="408">
        <v>501.79</v>
      </c>
      <c r="O467" s="408">
        <v>501.79</v>
      </c>
      <c r="P467" s="408">
        <v>501.79</v>
      </c>
      <c r="Q467" s="408">
        <v>501.79</v>
      </c>
      <c r="R467" s="408"/>
      <c r="S467" s="408">
        <v>81.2</v>
      </c>
      <c r="T467" s="408">
        <v>252.22</v>
      </c>
      <c r="U467" s="408"/>
      <c r="V467" s="408">
        <v>167306.82180000001</v>
      </c>
      <c r="W467" s="408">
        <v>167306.82180000001</v>
      </c>
      <c r="X467" s="408">
        <v>166363.4566</v>
      </c>
      <c r="Y467" s="408">
        <v>0</v>
      </c>
      <c r="Z467" s="408">
        <v>27002.447051991283</v>
      </c>
      <c r="AA467" s="408">
        <v>0</v>
      </c>
      <c r="AB467" s="408">
        <v>0</v>
      </c>
      <c r="AC467" s="408">
        <v>0</v>
      </c>
      <c r="AD467" s="408">
        <v>0</v>
      </c>
      <c r="AE467" s="408">
        <v>0</v>
      </c>
      <c r="AF467" s="408">
        <v>126562.86249226326</v>
      </c>
      <c r="AG467" s="408">
        <v>0</v>
      </c>
      <c r="AH467" s="408">
        <v>0</v>
      </c>
      <c r="AI467" s="408">
        <v>0</v>
      </c>
      <c r="AJ467" s="408">
        <v>0</v>
      </c>
      <c r="AK467" s="408">
        <v>0</v>
      </c>
      <c r="AL467" s="408">
        <v>4797.6288342389944</v>
      </c>
      <c r="AM467" s="408"/>
      <c r="AN467" s="408">
        <v>1207.2596408058487</v>
      </c>
      <c r="AO467" s="408">
        <v>0</v>
      </c>
      <c r="AP467" s="408">
        <v>0</v>
      </c>
      <c r="AQ467" s="408">
        <v>0</v>
      </c>
      <c r="AR467" s="408">
        <v>0</v>
      </c>
      <c r="AS467" s="408">
        <v>0</v>
      </c>
      <c r="AT467" s="408">
        <v>0</v>
      </c>
      <c r="AU467" s="408">
        <v>0</v>
      </c>
      <c r="AV467" s="408">
        <v>0</v>
      </c>
      <c r="AW467" s="408">
        <v>0</v>
      </c>
      <c r="AX467" s="408">
        <v>0</v>
      </c>
      <c r="AY467" s="408">
        <v>0</v>
      </c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>
        <v>0</v>
      </c>
      <c r="BG467" s="408">
        <v>7739.0275220962631</v>
      </c>
      <c r="BH467" s="408">
        <v>0</v>
      </c>
      <c r="BI467" s="408">
        <v>0</v>
      </c>
      <c r="BJ467" s="408">
        <v>0</v>
      </c>
      <c r="BK467" s="408">
        <v>0</v>
      </c>
      <c r="BL467" s="408">
        <v>0</v>
      </c>
      <c r="BM467" s="408"/>
      <c r="BN467" s="408"/>
      <c r="BO467" s="408"/>
      <c r="BP467" s="408"/>
      <c r="BQ467" s="408"/>
      <c r="BR467" s="408"/>
      <c r="BS467" s="408"/>
      <c r="BT467" s="408"/>
      <c r="BU467" s="408"/>
      <c r="BV467" s="408">
        <v>134301.89001435952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166363.4566</v>
      </c>
      <c r="CJ467" s="408">
        <v>-943.39520000002813</v>
      </c>
      <c r="CK467" s="408"/>
      <c r="CL467" s="408"/>
      <c r="CM467" s="408"/>
      <c r="CN467" s="408"/>
      <c r="CO467" s="408">
        <v>-943.36520000000485</v>
      </c>
      <c r="CP467" s="408">
        <v>0</v>
      </c>
      <c r="CQ467" s="408">
        <v>30</v>
      </c>
      <c r="CR467" s="408">
        <v>-944.88264644364244</v>
      </c>
      <c r="CS467" s="408">
        <v>0</v>
      </c>
      <c r="CT467" s="408">
        <v>0</v>
      </c>
      <c r="CU467" s="408">
        <v>0</v>
      </c>
      <c r="CV467" s="408">
        <v>0</v>
      </c>
      <c r="CW467" s="408">
        <v>0</v>
      </c>
      <c r="CX467" s="408">
        <v>0</v>
      </c>
      <c r="CY467" s="408">
        <v>0</v>
      </c>
      <c r="CZ467" s="408">
        <v>0</v>
      </c>
      <c r="DA467" s="408">
        <v>0</v>
      </c>
      <c r="DB467" s="408">
        <v>0</v>
      </c>
      <c r="DC467" s="408">
        <v>-1.7743295757099986E-5</v>
      </c>
      <c r="DD467" s="408">
        <v>0</v>
      </c>
      <c r="DE467" s="408">
        <v>0</v>
      </c>
      <c r="DF467" s="408">
        <v>0</v>
      </c>
      <c r="DG467" s="408">
        <v>-1.0849698810488917E-6</v>
      </c>
      <c r="DH467" s="408">
        <v>0</v>
      </c>
      <c r="DI467" s="408">
        <v>-785.15255715068633</v>
      </c>
      <c r="DJ467" s="408"/>
      <c r="DK467" s="408">
        <v>0</v>
      </c>
      <c r="DL467" s="408">
        <v>0</v>
      </c>
      <c r="DM467" s="408">
        <v>0</v>
      </c>
      <c r="DN467" s="408">
        <v>0</v>
      </c>
      <c r="DO467" s="408">
        <v>-120.5265789699306</v>
      </c>
      <c r="DP467" s="408">
        <v>-39.203491494778746</v>
      </c>
      <c r="DQ467" s="408">
        <v>0</v>
      </c>
      <c r="DR467" s="408">
        <v>0</v>
      </c>
      <c r="DS467" s="408"/>
      <c r="DT467" s="408"/>
      <c r="DU467" s="408"/>
      <c r="DV467" s="408">
        <v>0</v>
      </c>
      <c r="DW467" s="408">
        <v>0</v>
      </c>
      <c r="DX467" s="408">
        <v>0</v>
      </c>
      <c r="DY467" s="408">
        <v>-943.36520000000746</v>
      </c>
      <c r="DZ467" s="408">
        <v>0</v>
      </c>
      <c r="EA467" s="408">
        <v>0</v>
      </c>
      <c r="EB467" s="408">
        <v>0</v>
      </c>
      <c r="EC467" s="408">
        <v>0</v>
      </c>
      <c r="ED467" s="408">
        <v>0</v>
      </c>
      <c r="EE467" s="408">
        <v>0</v>
      </c>
      <c r="EF467" s="408">
        <v>0</v>
      </c>
      <c r="EG467" s="408">
        <v>0</v>
      </c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>
        <v>0</v>
      </c>
      <c r="EN467" s="408">
        <v>0</v>
      </c>
      <c r="EO467" s="408">
        <v>0</v>
      </c>
      <c r="EP467" s="408">
        <v>0</v>
      </c>
      <c r="EQ467" s="408">
        <v>0</v>
      </c>
      <c r="ER467" s="408">
        <v>0</v>
      </c>
      <c r="ES467" s="408">
        <v>0</v>
      </c>
      <c r="ET467" s="408">
        <v>0</v>
      </c>
      <c r="EU467" s="408">
        <v>0</v>
      </c>
      <c r="EV467" s="408">
        <v>265</v>
      </c>
      <c r="EW467" s="408">
        <v>0</v>
      </c>
      <c r="EX467" s="408">
        <v>0</v>
      </c>
      <c r="EY467" s="408">
        <v>0</v>
      </c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474</v>
      </c>
      <c r="B468" s="408" t="s">
        <v>2230</v>
      </c>
      <c r="C468" s="408" t="s">
        <v>2235</v>
      </c>
      <c r="D468" s="408" t="s">
        <v>596</v>
      </c>
      <c r="E468" s="408" t="s">
        <v>993</v>
      </c>
      <c r="F468" s="408" t="s">
        <v>1317</v>
      </c>
      <c r="G468" s="408" t="s">
        <v>1317</v>
      </c>
      <c r="H468" s="408" t="s">
        <v>1317</v>
      </c>
      <c r="I468" s="408" t="s">
        <v>2236</v>
      </c>
      <c r="J468" s="408" t="s">
        <v>2228</v>
      </c>
      <c r="K468" s="828">
        <v>44652</v>
      </c>
      <c r="L468" s="408">
        <v>0</v>
      </c>
      <c r="M468" s="408">
        <v>0</v>
      </c>
      <c r="N468" s="408">
        <v>28.596</v>
      </c>
      <c r="O468" s="408">
        <v>28.596</v>
      </c>
      <c r="P468" s="408">
        <v>28.596</v>
      </c>
      <c r="Q468" s="408">
        <v>28.596</v>
      </c>
      <c r="R468" s="408"/>
      <c r="S468" s="408">
        <v>81.2</v>
      </c>
      <c r="T468" s="408">
        <v>252.22</v>
      </c>
      <c r="U468" s="408"/>
      <c r="V468" s="408">
        <v>9534.4783200000002</v>
      </c>
      <c r="W468" s="408">
        <v>9534.4783200000002</v>
      </c>
      <c r="X468" s="408">
        <v>9480.7178399999993</v>
      </c>
      <c r="Y468" s="408">
        <v>0</v>
      </c>
      <c r="Z468" s="408">
        <v>1538.8149941185411</v>
      </c>
      <c r="AA468" s="408">
        <v>0</v>
      </c>
      <c r="AB468" s="408">
        <v>0</v>
      </c>
      <c r="AC468" s="408">
        <v>0</v>
      </c>
      <c r="AD468" s="408">
        <v>0</v>
      </c>
      <c r="AE468" s="408">
        <v>0</v>
      </c>
      <c r="AF468" s="408">
        <v>7212.5622587711196</v>
      </c>
      <c r="AG468" s="408">
        <v>0</v>
      </c>
      <c r="AH468" s="408">
        <v>0</v>
      </c>
      <c r="AI468" s="408">
        <v>0</v>
      </c>
      <c r="AJ468" s="408">
        <v>0</v>
      </c>
      <c r="AK468" s="408">
        <v>0</v>
      </c>
      <c r="AL468" s="408">
        <v>273.40719054564312</v>
      </c>
      <c r="AM468" s="408"/>
      <c r="AN468" s="408">
        <v>68.799291911923405</v>
      </c>
      <c r="AO468" s="408">
        <v>0</v>
      </c>
      <c r="AP468" s="408">
        <v>0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0</v>
      </c>
      <c r="BE468" s="408">
        <v>0</v>
      </c>
      <c r="BF468" s="408">
        <v>0</v>
      </c>
      <c r="BG468" s="408">
        <v>441.03156902661419</v>
      </c>
      <c r="BH468" s="408">
        <v>0</v>
      </c>
      <c r="BI468" s="408">
        <v>0</v>
      </c>
      <c r="BJ468" s="408">
        <v>0</v>
      </c>
      <c r="BK468" s="408">
        <v>0</v>
      </c>
      <c r="BL468" s="408">
        <v>0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7653.5938277977339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9482.0439999999999</v>
      </c>
      <c r="CJ468" s="408">
        <v>-52.464320000000953</v>
      </c>
      <c r="CK468" s="408"/>
      <c r="CL468" s="408"/>
      <c r="CM468" s="408"/>
      <c r="CN468" s="408"/>
      <c r="CO468" s="408">
        <v>-53.760480000000278</v>
      </c>
      <c r="CP468" s="408">
        <v>0</v>
      </c>
      <c r="CQ468" s="408">
        <v>30</v>
      </c>
      <c r="CR468" s="408">
        <v>-53.846956212168152</v>
      </c>
      <c r="CS468" s="408">
        <v>0</v>
      </c>
      <c r="CT468" s="408">
        <v>0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0</v>
      </c>
      <c r="DA468" s="408">
        <v>0</v>
      </c>
      <c r="DB468" s="408">
        <v>0</v>
      </c>
      <c r="DC468" s="408">
        <v>-1.0111543815582991E-6</v>
      </c>
      <c r="DD468" s="408">
        <v>0</v>
      </c>
      <c r="DE468" s="408">
        <v>0</v>
      </c>
      <c r="DF468" s="408">
        <v>0</v>
      </c>
      <c r="DG468" s="408">
        <v>-6.1830291997466702E-8</v>
      </c>
      <c r="DH468" s="408">
        <v>0</v>
      </c>
      <c r="DI468" s="408">
        <v>-44.744260595629839</v>
      </c>
      <c r="DJ468" s="408"/>
      <c r="DK468" s="408">
        <v>0</v>
      </c>
      <c r="DL468" s="408">
        <v>0</v>
      </c>
      <c r="DM468" s="408">
        <v>0</v>
      </c>
      <c r="DN468" s="408">
        <v>0</v>
      </c>
      <c r="DO468" s="408">
        <v>-6.8685666358917388</v>
      </c>
      <c r="DP468" s="408">
        <v>-2.2341279076599534</v>
      </c>
      <c r="DQ468" s="408">
        <v>0</v>
      </c>
      <c r="DR468" s="408">
        <v>0</v>
      </c>
      <c r="DS468" s="408"/>
      <c r="DT468" s="408"/>
      <c r="DU468" s="408"/>
      <c r="DV468" s="408">
        <v>0</v>
      </c>
      <c r="DW468" s="408">
        <v>0</v>
      </c>
      <c r="DX468" s="408">
        <v>0</v>
      </c>
      <c r="DY468" s="408">
        <v>-53.760480000000371</v>
      </c>
      <c r="DZ468" s="408">
        <v>0</v>
      </c>
      <c r="EA468" s="408">
        <v>0</v>
      </c>
      <c r="EB468" s="408">
        <v>0</v>
      </c>
      <c r="EC468" s="408">
        <v>0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0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265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475</v>
      </c>
      <c r="B469" s="408" t="s">
        <v>1031</v>
      </c>
      <c r="C469" s="408" t="s">
        <v>2235</v>
      </c>
      <c r="D469" s="408" t="s">
        <v>596</v>
      </c>
      <c r="E469" s="408" t="s">
        <v>993</v>
      </c>
      <c r="F469" s="408" t="s">
        <v>1317</v>
      </c>
      <c r="G469" s="408" t="s">
        <v>1317</v>
      </c>
      <c r="H469" s="408" t="s">
        <v>1317</v>
      </c>
      <c r="I469" s="408" t="s">
        <v>1317</v>
      </c>
      <c r="J469" s="408" t="s">
        <v>2228</v>
      </c>
      <c r="K469" s="828">
        <v>44652</v>
      </c>
      <c r="L469" s="408">
        <v>3444</v>
      </c>
      <c r="M469" s="408">
        <v>3444</v>
      </c>
      <c r="N469" s="408">
        <v>0</v>
      </c>
      <c r="O469" s="408">
        <v>0</v>
      </c>
      <c r="P469" s="408">
        <v>0</v>
      </c>
      <c r="Q469" s="408">
        <v>0</v>
      </c>
      <c r="R469" s="408">
        <v>74.44</v>
      </c>
      <c r="S469" s="408"/>
      <c r="T469" s="408"/>
      <c r="U469" s="408">
        <v>256371.36</v>
      </c>
      <c r="V469" s="408"/>
      <c r="W469" s="408">
        <v>256371.36</v>
      </c>
      <c r="X469" s="408">
        <v>156426.48000000001</v>
      </c>
      <c r="Y469" s="408">
        <v>0</v>
      </c>
      <c r="Z469" s="408">
        <v>0</v>
      </c>
      <c r="AA469" s="408">
        <v>0</v>
      </c>
      <c r="AB469" s="408">
        <v>0</v>
      </c>
      <c r="AC469" s="408">
        <v>0</v>
      </c>
      <c r="AD469" s="408">
        <v>93735.666674876004</v>
      </c>
      <c r="AE469" s="408">
        <v>162630.97664530971</v>
      </c>
      <c r="AF469" s="408"/>
      <c r="AG469" s="408"/>
      <c r="AH469" s="408"/>
      <c r="AI469" s="408">
        <v>0</v>
      </c>
      <c r="AJ469" s="408">
        <v>0</v>
      </c>
      <c r="AK469" s="408">
        <v>0</v>
      </c>
      <c r="AL469" s="408">
        <v>0</v>
      </c>
      <c r="AM469" s="408"/>
      <c r="AN469" s="408">
        <v>0</v>
      </c>
      <c r="AO469" s="408">
        <v>0</v>
      </c>
      <c r="AP469" s="408">
        <v>0</v>
      </c>
      <c r="AQ469" s="408">
        <v>0</v>
      </c>
      <c r="AR469" s="408">
        <v>0</v>
      </c>
      <c r="AS469" s="408"/>
      <c r="AT469" s="408"/>
      <c r="AU469" s="408">
        <v>0</v>
      </c>
      <c r="AV469" s="408">
        <v>0</v>
      </c>
      <c r="AW469" s="408">
        <v>0</v>
      </c>
      <c r="AX469" s="408"/>
      <c r="AY469" s="408"/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0</v>
      </c>
      <c r="BF469" s="408"/>
      <c r="BG469" s="408">
        <v>0</v>
      </c>
      <c r="BH469" s="408">
        <v>0</v>
      </c>
      <c r="BI469" s="408">
        <v>0</v>
      </c>
      <c r="BJ469" s="408">
        <v>0</v>
      </c>
      <c r="BK469" s="408">
        <v>150992.6</v>
      </c>
      <c r="BL469" s="408">
        <v>15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>
        <v>0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156426.48000000001</v>
      </c>
      <c r="CJ469" s="408">
        <v>-99944.91</v>
      </c>
      <c r="CK469" s="408"/>
      <c r="CL469" s="408"/>
      <c r="CM469" s="408"/>
      <c r="CN469" s="408"/>
      <c r="CO469" s="408">
        <v>-99944.87999999999</v>
      </c>
      <c r="CP469" s="408">
        <v>0</v>
      </c>
      <c r="CQ469" s="408">
        <v>30</v>
      </c>
      <c r="CR469" s="408">
        <v>-240.90891789864691</v>
      </c>
      <c r="CS469" s="408">
        <v>0</v>
      </c>
      <c r="CT469" s="408">
        <v>0</v>
      </c>
      <c r="CU469" s="408">
        <v>0</v>
      </c>
      <c r="CV469" s="408">
        <v>0</v>
      </c>
      <c r="CW469" s="408"/>
      <c r="CX469" s="408"/>
      <c r="CY469" s="408"/>
      <c r="CZ469" s="408">
        <v>-240.90891789864691</v>
      </c>
      <c r="DA469" s="408">
        <v>0</v>
      </c>
      <c r="DB469" s="408">
        <v>0</v>
      </c>
      <c r="DC469" s="408"/>
      <c r="DD469" s="408"/>
      <c r="DE469" s="408">
        <v>0</v>
      </c>
      <c r="DF469" s="408">
        <v>0</v>
      </c>
      <c r="DG469" s="408">
        <v>0</v>
      </c>
      <c r="DH469" s="408">
        <v>0</v>
      </c>
      <c r="DI469" s="408">
        <v>0</v>
      </c>
      <c r="DJ469" s="408"/>
      <c r="DK469" s="408">
        <v>0</v>
      </c>
      <c r="DL469" s="408">
        <v>0</v>
      </c>
      <c r="DM469" s="408"/>
      <c r="DN469" s="408">
        <v>0</v>
      </c>
      <c r="DO469" s="408">
        <v>0</v>
      </c>
      <c r="DP469" s="408">
        <v>0</v>
      </c>
      <c r="DQ469" s="408">
        <v>0</v>
      </c>
      <c r="DR469" s="408">
        <v>0</v>
      </c>
      <c r="DS469" s="408"/>
      <c r="DT469" s="408"/>
      <c r="DU469" s="408">
        <v>162630.97664530971</v>
      </c>
      <c r="DV469" s="408"/>
      <c r="DW469" s="408">
        <v>0</v>
      </c>
      <c r="DX469" s="408">
        <v>0</v>
      </c>
      <c r="DY469" s="408">
        <v>-99944.879999999976</v>
      </c>
      <c r="DZ469" s="408"/>
      <c r="EA469" s="408">
        <v>0</v>
      </c>
      <c r="EB469" s="408"/>
      <c r="EC469" s="408">
        <v>-99716.389986050403</v>
      </c>
      <c r="ED469" s="408"/>
      <c r="EE469" s="408">
        <v>0</v>
      </c>
      <c r="EF469" s="408">
        <v>0</v>
      </c>
      <c r="EG469" s="408"/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/>
      <c r="EN469" s="408"/>
      <c r="EO469" s="408">
        <v>0</v>
      </c>
      <c r="EP469" s="408">
        <v>0</v>
      </c>
      <c r="EQ469" s="408"/>
      <c r="ER469" s="408">
        <v>0</v>
      </c>
      <c r="ES469" s="408"/>
      <c r="ET469" s="408">
        <v>0</v>
      </c>
      <c r="EU469" s="408"/>
      <c r="EV469" s="408">
        <v>265</v>
      </c>
      <c r="EW469" s="408"/>
      <c r="EX469" s="408"/>
      <c r="EY469" s="408"/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476</v>
      </c>
      <c r="B470" s="408" t="s">
        <v>2230</v>
      </c>
      <c r="C470" s="408" t="s">
        <v>2235</v>
      </c>
      <c r="D470" s="408" t="s">
        <v>596</v>
      </c>
      <c r="E470" s="408" t="s">
        <v>993</v>
      </c>
      <c r="F470" s="408" t="s">
        <v>1317</v>
      </c>
      <c r="G470" s="408" t="s">
        <v>1317</v>
      </c>
      <c r="H470" s="408" t="s">
        <v>1317</v>
      </c>
      <c r="I470" s="408" t="s">
        <v>1317</v>
      </c>
      <c r="J470" s="408" t="s">
        <v>2228</v>
      </c>
      <c r="K470" s="828">
        <v>44652</v>
      </c>
      <c r="L470" s="408">
        <v>181</v>
      </c>
      <c r="M470" s="408">
        <v>181</v>
      </c>
      <c r="N470" s="408">
        <v>0</v>
      </c>
      <c r="O470" s="408">
        <v>0</v>
      </c>
      <c r="P470" s="408">
        <v>0</v>
      </c>
      <c r="Q470" s="408">
        <v>0</v>
      </c>
      <c r="R470" s="408">
        <v>74.44</v>
      </c>
      <c r="S470" s="408"/>
      <c r="T470" s="408"/>
      <c r="U470" s="408">
        <v>13473.64</v>
      </c>
      <c r="V470" s="408"/>
      <c r="W470" s="408">
        <v>13473.64</v>
      </c>
      <c r="X470" s="408">
        <v>8221.02</v>
      </c>
      <c r="Y470" s="408">
        <v>0</v>
      </c>
      <c r="Z470" s="408">
        <v>0</v>
      </c>
      <c r="AA470" s="408">
        <v>0</v>
      </c>
      <c r="AB470" s="408">
        <v>0</v>
      </c>
      <c r="AC470" s="408">
        <v>0</v>
      </c>
      <c r="AD470" s="408">
        <v>4926.2937480117762</v>
      </c>
      <c r="AE470" s="408">
        <v>8547.0983660862548</v>
      </c>
      <c r="AF470" s="408"/>
      <c r="AG470" s="408"/>
      <c r="AH470" s="408"/>
      <c r="AI470" s="408">
        <v>0</v>
      </c>
      <c r="AJ470" s="408">
        <v>0</v>
      </c>
      <c r="AK470" s="408">
        <v>0</v>
      </c>
      <c r="AL470" s="408">
        <v>0</v>
      </c>
      <c r="AM470" s="408"/>
      <c r="AN470" s="408">
        <v>0</v>
      </c>
      <c r="AO470" s="408">
        <v>0</v>
      </c>
      <c r="AP470" s="408">
        <v>0</v>
      </c>
      <c r="AQ470" s="408">
        <v>0</v>
      </c>
      <c r="AR470" s="408">
        <v>0</v>
      </c>
      <c r="AS470" s="408"/>
      <c r="AT470" s="408"/>
      <c r="AU470" s="408">
        <v>0</v>
      </c>
      <c r="AV470" s="408">
        <v>0</v>
      </c>
      <c r="AW470" s="408">
        <v>0</v>
      </c>
      <c r="AX470" s="408"/>
      <c r="AY470" s="408"/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/>
      <c r="BG470" s="408">
        <v>0</v>
      </c>
      <c r="BH470" s="408">
        <v>0</v>
      </c>
      <c r="BI470" s="408">
        <v>0</v>
      </c>
      <c r="BJ470" s="408">
        <v>0</v>
      </c>
      <c r="BK470" s="408">
        <v>12939.97</v>
      </c>
      <c r="BL470" s="408">
        <v>1</v>
      </c>
      <c r="BM470" s="408"/>
      <c r="BN470" s="408"/>
      <c r="BO470" s="408"/>
      <c r="BP470" s="408"/>
      <c r="BQ470" s="408"/>
      <c r="BR470" s="408"/>
      <c r="BS470" s="408"/>
      <c r="BT470" s="408"/>
      <c r="BU470" s="408"/>
      <c r="BV470" s="408">
        <v>0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8221.02</v>
      </c>
      <c r="CJ470" s="408">
        <v>-5252.65</v>
      </c>
      <c r="CK470" s="408"/>
      <c r="CL470" s="408"/>
      <c r="CM470" s="408"/>
      <c r="CN470" s="408"/>
      <c r="CO470" s="408">
        <v>-5252.619999999999</v>
      </c>
      <c r="CP470" s="408">
        <v>0</v>
      </c>
      <c r="CQ470" s="408">
        <v>30</v>
      </c>
      <c r="CR470" s="408">
        <v>-12.661008751351801</v>
      </c>
      <c r="CS470" s="408">
        <v>0</v>
      </c>
      <c r="CT470" s="408">
        <v>0</v>
      </c>
      <c r="CU470" s="408">
        <v>0</v>
      </c>
      <c r="CV470" s="408">
        <v>0</v>
      </c>
      <c r="CW470" s="408"/>
      <c r="CX470" s="408"/>
      <c r="CY470" s="408"/>
      <c r="CZ470" s="408">
        <v>-12.661008751351801</v>
      </c>
      <c r="DA470" s="408">
        <v>0</v>
      </c>
      <c r="DB470" s="408">
        <v>0</v>
      </c>
      <c r="DC470" s="408"/>
      <c r="DD470" s="408"/>
      <c r="DE470" s="408">
        <v>0</v>
      </c>
      <c r="DF470" s="408">
        <v>0</v>
      </c>
      <c r="DG470" s="408">
        <v>0</v>
      </c>
      <c r="DH470" s="408">
        <v>0</v>
      </c>
      <c r="DI470" s="408">
        <v>0</v>
      </c>
      <c r="DJ470" s="408"/>
      <c r="DK470" s="408">
        <v>0</v>
      </c>
      <c r="DL470" s="408">
        <v>0</v>
      </c>
      <c r="DM470" s="408"/>
      <c r="DN470" s="408">
        <v>0</v>
      </c>
      <c r="DO470" s="408">
        <v>0</v>
      </c>
      <c r="DP470" s="408">
        <v>0</v>
      </c>
      <c r="DQ470" s="408">
        <v>0</v>
      </c>
      <c r="DR470" s="408">
        <v>0</v>
      </c>
      <c r="DS470" s="408"/>
      <c r="DT470" s="408"/>
      <c r="DU470" s="408">
        <v>8547.0983660862548</v>
      </c>
      <c r="DV470" s="408"/>
      <c r="DW470" s="408">
        <v>0</v>
      </c>
      <c r="DX470" s="408">
        <v>0</v>
      </c>
      <c r="DY470" s="408">
        <v>-5252.619999999999</v>
      </c>
      <c r="DZ470" s="408"/>
      <c r="EA470" s="408">
        <v>0</v>
      </c>
      <c r="EB470" s="408"/>
      <c r="EC470" s="408">
        <v>-5240.6116688371458</v>
      </c>
      <c r="ED470" s="408"/>
      <c r="EE470" s="408">
        <v>0</v>
      </c>
      <c r="EF470" s="408">
        <v>0</v>
      </c>
      <c r="EG470" s="408"/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/>
      <c r="EN470" s="408"/>
      <c r="EO470" s="408">
        <v>0</v>
      </c>
      <c r="EP470" s="408">
        <v>0</v>
      </c>
      <c r="EQ470" s="408"/>
      <c r="ER470" s="408">
        <v>0</v>
      </c>
      <c r="ES470" s="408"/>
      <c r="ET470" s="408">
        <v>0</v>
      </c>
      <c r="EU470" s="408"/>
      <c r="EV470" s="408">
        <v>265</v>
      </c>
      <c r="EW470" s="408"/>
      <c r="EX470" s="408"/>
      <c r="EY470" s="408"/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477</v>
      </c>
      <c r="B471" s="408" t="s">
        <v>1031</v>
      </c>
      <c r="C471" s="408" t="s">
        <v>2227</v>
      </c>
      <c r="D471" s="408" t="s">
        <v>2237</v>
      </c>
      <c r="E471" s="408" t="s">
        <v>969</v>
      </c>
      <c r="F471" s="408" t="s">
        <v>1317</v>
      </c>
      <c r="G471" s="408" t="s">
        <v>1317</v>
      </c>
      <c r="H471" s="408" t="s">
        <v>1317</v>
      </c>
      <c r="I471" s="408" t="s">
        <v>1317</v>
      </c>
      <c r="J471" s="408" t="s">
        <v>2228</v>
      </c>
      <c r="K471" s="828">
        <v>44652</v>
      </c>
      <c r="L471" s="408">
        <v>0</v>
      </c>
      <c r="M471" s="408">
        <v>0</v>
      </c>
      <c r="N471" s="408">
        <v>3507.4749999999999</v>
      </c>
      <c r="O471" s="408">
        <v>3507.4749999999999</v>
      </c>
      <c r="P471" s="408">
        <v>3507.4749999999999</v>
      </c>
      <c r="Q471" s="408">
        <v>3507.4749999999999</v>
      </c>
      <c r="R471" s="408"/>
      <c r="S471" s="408">
        <v>739.04</v>
      </c>
      <c r="T471" s="408">
        <v>252.22</v>
      </c>
      <c r="U471" s="408"/>
      <c r="V471" s="408">
        <v>3476819.6685000001</v>
      </c>
      <c r="W471" s="408">
        <v>3476819.6685000001</v>
      </c>
      <c r="X471" s="408">
        <v>2377962.8257499998</v>
      </c>
      <c r="Y471" s="408">
        <v>0</v>
      </c>
      <c r="Z471" s="408">
        <v>216948.40052768131</v>
      </c>
      <c r="AA471" s="408">
        <v>0</v>
      </c>
      <c r="AB471" s="408">
        <v>0</v>
      </c>
      <c r="AC471" s="408">
        <v>0</v>
      </c>
      <c r="AD471" s="408">
        <v>433164.67755402182</v>
      </c>
      <c r="AE471" s="408">
        <v>1778246.9287685016</v>
      </c>
      <c r="AF471" s="408">
        <v>884665.05135624681</v>
      </c>
      <c r="AG471" s="408">
        <v>0</v>
      </c>
      <c r="AH471" s="408">
        <v>0</v>
      </c>
      <c r="AI471" s="408">
        <v>0</v>
      </c>
      <c r="AJ471" s="408">
        <v>0</v>
      </c>
      <c r="AK471" s="408">
        <v>0</v>
      </c>
      <c r="AL471" s="408">
        <v>33535.070837147839</v>
      </c>
      <c r="AM471" s="408"/>
      <c r="AN471" s="408">
        <v>8219.0610437213836</v>
      </c>
      <c r="AO471" s="408">
        <v>0</v>
      </c>
      <c r="AP471" s="408">
        <v>0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>
        <v>0</v>
      </c>
      <c r="BG471" s="408">
        <v>122039.95486900143</v>
      </c>
      <c r="BH471" s="408">
        <v>0</v>
      </c>
      <c r="BI471" s="408">
        <v>0</v>
      </c>
      <c r="BJ471" s="408">
        <v>0</v>
      </c>
      <c r="BK471" s="408">
        <v>121184.58</v>
      </c>
      <c r="BL471" s="408">
        <v>12048</v>
      </c>
      <c r="BM471" s="408"/>
      <c r="BN471" s="408"/>
      <c r="BO471" s="408"/>
      <c r="BP471" s="408"/>
      <c r="BQ471" s="408"/>
      <c r="BR471" s="408">
        <v>285333.09124999988</v>
      </c>
      <c r="BS471" s="408"/>
      <c r="BT471" s="408"/>
      <c r="BU471" s="408"/>
      <c r="BV471" s="408">
        <v>1006705.0062252482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2092632.7176000001</v>
      </c>
      <c r="CJ471" s="408">
        <v>-966972.82964999927</v>
      </c>
      <c r="CK471" s="408"/>
      <c r="CL471" s="408"/>
      <c r="CM471" s="408"/>
      <c r="CN471" s="408"/>
      <c r="CO471" s="408">
        <v>-1098856.8427499998</v>
      </c>
      <c r="CP471" s="408">
        <v>0</v>
      </c>
      <c r="CQ471" s="408">
        <v>30</v>
      </c>
      <c r="CR471" s="408">
        <v>-8530.8699270857032</v>
      </c>
      <c r="CS471" s="408">
        <v>0</v>
      </c>
      <c r="CT471" s="408">
        <v>0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-1113.2713666326017</v>
      </c>
      <c r="DA471" s="408">
        <v>0</v>
      </c>
      <c r="DB471" s="408">
        <v>0</v>
      </c>
      <c r="DC471" s="408">
        <v>-1.2402446009218693E-4</v>
      </c>
      <c r="DD471" s="408">
        <v>0</v>
      </c>
      <c r="DE471" s="408">
        <v>0</v>
      </c>
      <c r="DF471" s="408">
        <v>0</v>
      </c>
      <c r="DG471" s="408">
        <v>-1.7109137843362987E-5</v>
      </c>
      <c r="DH471" s="408">
        <v>0</v>
      </c>
      <c r="DI471" s="408">
        <v>-6308.2279586027144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-842.47187582964398</v>
      </c>
      <c r="DP471" s="408">
        <v>-266.89858488724985</v>
      </c>
      <c r="DQ471" s="408">
        <v>0</v>
      </c>
      <c r="DR471" s="408">
        <v>0</v>
      </c>
      <c r="DS471" s="408"/>
      <c r="DT471" s="408"/>
      <c r="DU471" s="408"/>
      <c r="DV471" s="408">
        <v>1778246.9287685016</v>
      </c>
      <c r="DW471" s="408">
        <v>0</v>
      </c>
      <c r="DX471" s="408">
        <v>0</v>
      </c>
      <c r="DY471" s="408">
        <v>-1098856.8427500001</v>
      </c>
      <c r="DZ471" s="408">
        <v>0</v>
      </c>
      <c r="EA471" s="408">
        <v>0</v>
      </c>
      <c r="EB471" s="408">
        <v>0</v>
      </c>
      <c r="EC471" s="408">
        <v>-1090323.4297565785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265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478</v>
      </c>
      <c r="B472" s="408" t="s">
        <v>2229</v>
      </c>
      <c r="C472" s="408" t="s">
        <v>2227</v>
      </c>
      <c r="D472" s="408" t="s">
        <v>2237</v>
      </c>
      <c r="E472" s="408" t="s">
        <v>969</v>
      </c>
      <c r="F472" s="408" t="s">
        <v>1317</v>
      </c>
      <c r="G472" s="408" t="s">
        <v>1317</v>
      </c>
      <c r="H472" s="408" t="s">
        <v>1317</v>
      </c>
      <c r="I472" s="408" t="s">
        <v>1317</v>
      </c>
      <c r="J472" s="408" t="s">
        <v>2228</v>
      </c>
      <c r="K472" s="828">
        <v>44652</v>
      </c>
      <c r="L472" s="408">
        <v>0</v>
      </c>
      <c r="M472" s="408">
        <v>0</v>
      </c>
      <c r="N472" s="408">
        <v>-5.1719999999999997</v>
      </c>
      <c r="O472" s="408">
        <v>-5.1719999999999997</v>
      </c>
      <c r="P472" s="408">
        <v>-5.1719999999999997</v>
      </c>
      <c r="Q472" s="408">
        <v>-5.1719999999999997</v>
      </c>
      <c r="R472" s="408"/>
      <c r="S472" s="408">
        <v>739.04</v>
      </c>
      <c r="T472" s="408">
        <v>252.22</v>
      </c>
      <c r="U472" s="408"/>
      <c r="V472" s="408">
        <v>-5126.7967199999994</v>
      </c>
      <c r="W472" s="408">
        <v>-5126.7967199999994</v>
      </c>
      <c r="X472" s="408">
        <v>-3506.4608399999997</v>
      </c>
      <c r="Y472" s="408">
        <v>0</v>
      </c>
      <c r="Z472" s="408">
        <v>-319.90452605625632</v>
      </c>
      <c r="AA472" s="408">
        <v>0</v>
      </c>
      <c r="AB472" s="408">
        <v>0</v>
      </c>
      <c r="AC472" s="408">
        <v>0</v>
      </c>
      <c r="AD472" s="408">
        <v>-638.72948839532739</v>
      </c>
      <c r="AE472" s="408">
        <v>-2622.1407467168519</v>
      </c>
      <c r="AF472" s="408">
        <v>-1304.496153390832</v>
      </c>
      <c r="AG472" s="408">
        <v>0</v>
      </c>
      <c r="AH472" s="408">
        <v>0</v>
      </c>
      <c r="AI472" s="408">
        <v>0</v>
      </c>
      <c r="AJ472" s="408">
        <v>0</v>
      </c>
      <c r="AK472" s="408">
        <v>0</v>
      </c>
      <c r="AL472" s="408">
        <v>-49.449642939644221</v>
      </c>
      <c r="AM472" s="408"/>
      <c r="AN472" s="408">
        <v>-12.119540044655198</v>
      </c>
      <c r="AO472" s="408">
        <v>0</v>
      </c>
      <c r="AP472" s="408">
        <v>0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0</v>
      </c>
      <c r="BF472" s="408">
        <v>0</v>
      </c>
      <c r="BG472" s="408">
        <v>-179.95585045723072</v>
      </c>
      <c r="BH472" s="408">
        <v>0</v>
      </c>
      <c r="BI472" s="408">
        <v>0</v>
      </c>
      <c r="BJ472" s="408">
        <v>0</v>
      </c>
      <c r="BK472" s="408">
        <v>-7.82</v>
      </c>
      <c r="BL472" s="408">
        <v>0</v>
      </c>
      <c r="BM472" s="408"/>
      <c r="BN472" s="408"/>
      <c r="BO472" s="408"/>
      <c r="BP472" s="408"/>
      <c r="BQ472" s="408"/>
      <c r="BR472" s="408">
        <v>-420.7421999999998</v>
      </c>
      <c r="BS472" s="408"/>
      <c r="BT472" s="408"/>
      <c r="BU472" s="408"/>
      <c r="BV472" s="408">
        <v>-1484.4520038480628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-3084.5254000000004</v>
      </c>
      <c r="CJ472" s="408">
        <v>1427.0319199999994</v>
      </c>
      <c r="CK472" s="408"/>
      <c r="CL472" s="408"/>
      <c r="CM472" s="408"/>
      <c r="CN472" s="408"/>
      <c r="CO472" s="408">
        <v>1620.3358799999996</v>
      </c>
      <c r="CP472" s="408">
        <v>0</v>
      </c>
      <c r="CQ472" s="408">
        <v>30</v>
      </c>
      <c r="CR472" s="408">
        <v>12.579322522010898</v>
      </c>
      <c r="CS472" s="408">
        <v>0</v>
      </c>
      <c r="CT472" s="408">
        <v>0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1.6415910329293411</v>
      </c>
      <c r="DA472" s="408">
        <v>0</v>
      </c>
      <c r="DB472" s="408">
        <v>0</v>
      </c>
      <c r="DC472" s="408">
        <v>1.8288210412720218E-7</v>
      </c>
      <c r="DD472" s="408">
        <v>0</v>
      </c>
      <c r="DE472" s="408">
        <v>0</v>
      </c>
      <c r="DF472" s="408">
        <v>0</v>
      </c>
      <c r="DG472" s="408">
        <v>2.5228501954188687E-8</v>
      </c>
      <c r="DH472" s="408">
        <v>0</v>
      </c>
      <c r="DI472" s="408">
        <v>9.3018923875133055</v>
      </c>
      <c r="DJ472" s="408"/>
      <c r="DK472" s="408">
        <v>0</v>
      </c>
      <c r="DL472" s="408">
        <v>0</v>
      </c>
      <c r="DM472" s="408">
        <v>0</v>
      </c>
      <c r="DN472" s="408">
        <v>0</v>
      </c>
      <c r="DO472" s="408">
        <v>1.2422795719972086</v>
      </c>
      <c r="DP472" s="408">
        <v>0.39355932145969774</v>
      </c>
      <c r="DQ472" s="408">
        <v>0</v>
      </c>
      <c r="DR472" s="408">
        <v>0</v>
      </c>
      <c r="DS472" s="408"/>
      <c r="DT472" s="408"/>
      <c r="DU472" s="408"/>
      <c r="DV472" s="408">
        <v>-2622.1407467168519</v>
      </c>
      <c r="DW472" s="408">
        <v>0</v>
      </c>
      <c r="DX472" s="408">
        <v>0</v>
      </c>
      <c r="DY472" s="408">
        <v>1620.3358799999996</v>
      </c>
      <c r="DZ472" s="408">
        <v>0</v>
      </c>
      <c r="EA472" s="408">
        <v>0</v>
      </c>
      <c r="EB472" s="408">
        <v>0</v>
      </c>
      <c r="EC472" s="408">
        <v>1607.7528075612868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265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479</v>
      </c>
      <c r="B473" s="408" t="s">
        <v>2230</v>
      </c>
      <c r="C473" s="408" t="s">
        <v>2227</v>
      </c>
      <c r="D473" s="408" t="s">
        <v>2237</v>
      </c>
      <c r="E473" s="408" t="s">
        <v>969</v>
      </c>
      <c r="F473" s="408" t="s">
        <v>1317</v>
      </c>
      <c r="G473" s="408" t="s">
        <v>1317</v>
      </c>
      <c r="H473" s="408" t="s">
        <v>1317</v>
      </c>
      <c r="I473" s="408" t="s">
        <v>1317</v>
      </c>
      <c r="J473" s="408" t="s">
        <v>2228</v>
      </c>
      <c r="K473" s="828">
        <v>44652</v>
      </c>
      <c r="L473" s="408">
        <v>0</v>
      </c>
      <c r="M473" s="408">
        <v>0</v>
      </c>
      <c r="N473" s="408">
        <v>178.11600000000001</v>
      </c>
      <c r="O473" s="408">
        <v>178.11600000000001</v>
      </c>
      <c r="P473" s="408">
        <v>178.11600000000001</v>
      </c>
      <c r="Q473" s="408">
        <v>178.11600000000001</v>
      </c>
      <c r="R473" s="408"/>
      <c r="S473" s="408">
        <v>739.04</v>
      </c>
      <c r="T473" s="408">
        <v>252.22</v>
      </c>
      <c r="U473" s="408"/>
      <c r="V473" s="408">
        <v>176559.26616</v>
      </c>
      <c r="W473" s="408">
        <v>176559.26616</v>
      </c>
      <c r="X473" s="408">
        <v>120757.30452000001</v>
      </c>
      <c r="Y473" s="408">
        <v>0</v>
      </c>
      <c r="Z473" s="408">
        <v>11017.036845134602</v>
      </c>
      <c r="AA473" s="408">
        <v>0</v>
      </c>
      <c r="AB473" s="408">
        <v>0</v>
      </c>
      <c r="AC473" s="408">
        <v>0</v>
      </c>
      <c r="AD473" s="408">
        <v>21996.895118913795</v>
      </c>
      <c r="AE473" s="408">
        <v>90302.633650854375</v>
      </c>
      <c r="AF473" s="408">
        <v>44924.910451926036</v>
      </c>
      <c r="AG473" s="408">
        <v>0</v>
      </c>
      <c r="AH473" s="408">
        <v>0</v>
      </c>
      <c r="AI473" s="408">
        <v>0</v>
      </c>
      <c r="AJ473" s="408">
        <v>0</v>
      </c>
      <c r="AK473" s="408">
        <v>0</v>
      </c>
      <c r="AL473" s="408">
        <v>1702.9722741372143</v>
      </c>
      <c r="AM473" s="408"/>
      <c r="AN473" s="408">
        <v>417.37896260514418</v>
      </c>
      <c r="AO473" s="408">
        <v>0</v>
      </c>
      <c r="AP473" s="408">
        <v>0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0</v>
      </c>
      <c r="BE473" s="408">
        <v>0</v>
      </c>
      <c r="BF473" s="408">
        <v>0</v>
      </c>
      <c r="BG473" s="408">
        <v>6197.4122699226828</v>
      </c>
      <c r="BH473" s="408">
        <v>0</v>
      </c>
      <c r="BI473" s="408">
        <v>0</v>
      </c>
      <c r="BJ473" s="408">
        <v>0</v>
      </c>
      <c r="BK473" s="408">
        <v>8702.98</v>
      </c>
      <c r="BL473" s="408">
        <v>957</v>
      </c>
      <c r="BM473" s="408"/>
      <c r="BN473" s="408"/>
      <c r="BO473" s="408"/>
      <c r="BP473" s="408"/>
      <c r="BQ473" s="408"/>
      <c r="BR473" s="408">
        <v>14489.736599999995</v>
      </c>
      <c r="BS473" s="408"/>
      <c r="BT473" s="408"/>
      <c r="BU473" s="408"/>
      <c r="BV473" s="408">
        <v>51122.322721848715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106269.95440000002</v>
      </c>
      <c r="CJ473" s="408">
        <v>-49102.443560000014</v>
      </c>
      <c r="CK473" s="408"/>
      <c r="CL473" s="408"/>
      <c r="CM473" s="408"/>
      <c r="CN473" s="408"/>
      <c r="CO473" s="408">
        <v>-55801.961640000001</v>
      </c>
      <c r="CP473" s="408">
        <v>0</v>
      </c>
      <c r="CQ473" s="408">
        <v>30</v>
      </c>
      <c r="CR473" s="408">
        <v>-433.21318838560546</v>
      </c>
      <c r="CS473" s="408">
        <v>0</v>
      </c>
      <c r="CT473" s="408">
        <v>0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-56.533957544710574</v>
      </c>
      <c r="DA473" s="408">
        <v>0</v>
      </c>
      <c r="DB473" s="408">
        <v>0</v>
      </c>
      <c r="DC473" s="408">
        <v>-6.2981853261590004E-6</v>
      </c>
      <c r="DD473" s="408">
        <v>0</v>
      </c>
      <c r="DE473" s="408">
        <v>0</v>
      </c>
      <c r="DF473" s="408">
        <v>0</v>
      </c>
      <c r="DG473" s="408">
        <v>-8.6883301264606416E-7</v>
      </c>
      <c r="DH473" s="408">
        <v>0</v>
      </c>
      <c r="DI473" s="408">
        <v>-320.34336127113784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-42.782263775300862</v>
      </c>
      <c r="DP473" s="408">
        <v>-13.553598627439214</v>
      </c>
      <c r="DQ473" s="408">
        <v>0</v>
      </c>
      <c r="DR473" s="408">
        <v>0</v>
      </c>
      <c r="DS473" s="408"/>
      <c r="DT473" s="408"/>
      <c r="DU473" s="408"/>
      <c r="DV473" s="408">
        <v>90302.633650854375</v>
      </c>
      <c r="DW473" s="408">
        <v>0</v>
      </c>
      <c r="DX473" s="408">
        <v>0</v>
      </c>
      <c r="DY473" s="408">
        <v>-55801.961640000009</v>
      </c>
      <c r="DZ473" s="408">
        <v>0</v>
      </c>
      <c r="EA473" s="408">
        <v>0</v>
      </c>
      <c r="EB473" s="408">
        <v>0</v>
      </c>
      <c r="EC473" s="408">
        <v>-55368.619310051457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0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265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480</v>
      </c>
      <c r="B474" s="408" t="s">
        <v>2230</v>
      </c>
      <c r="C474" s="408" t="s">
        <v>2227</v>
      </c>
      <c r="D474" s="408" t="s">
        <v>2237</v>
      </c>
      <c r="E474" s="408" t="s">
        <v>969</v>
      </c>
      <c r="F474" s="408" t="s">
        <v>1317</v>
      </c>
      <c r="G474" s="408" t="s">
        <v>1317</v>
      </c>
      <c r="H474" s="408" t="s">
        <v>1317</v>
      </c>
      <c r="I474" s="408" t="s">
        <v>1317</v>
      </c>
      <c r="J474" s="408" t="s">
        <v>2228</v>
      </c>
      <c r="K474" s="828">
        <v>44652</v>
      </c>
      <c r="L474" s="408">
        <v>0</v>
      </c>
      <c r="M474" s="408">
        <v>0</v>
      </c>
      <c r="N474" s="408">
        <v>-0.439</v>
      </c>
      <c r="O474" s="408">
        <v>-0.439</v>
      </c>
      <c r="P474" s="408">
        <v>-0.439</v>
      </c>
      <c r="Q474" s="408">
        <v>-0.439</v>
      </c>
      <c r="R474" s="408"/>
      <c r="S474" s="408">
        <v>739.04</v>
      </c>
      <c r="T474" s="408">
        <v>252.22</v>
      </c>
      <c r="U474" s="408"/>
      <c r="V474" s="408">
        <v>-435.16314</v>
      </c>
      <c r="W474" s="408">
        <v>-435.16314</v>
      </c>
      <c r="X474" s="408">
        <v>-297.62882999999999</v>
      </c>
      <c r="Y474" s="408">
        <v>0</v>
      </c>
      <c r="Z474" s="408">
        <v>-27.153535757675279</v>
      </c>
      <c r="AA474" s="408">
        <v>0</v>
      </c>
      <c r="AB474" s="408">
        <v>0</v>
      </c>
      <c r="AC474" s="408">
        <v>0</v>
      </c>
      <c r="AD474" s="408">
        <v>-54.215438013447162</v>
      </c>
      <c r="AE474" s="408">
        <v>-222.56763105349924</v>
      </c>
      <c r="AF474" s="408">
        <v>-110.72579492238501</v>
      </c>
      <c r="AG474" s="408">
        <v>0</v>
      </c>
      <c r="AH474" s="408">
        <v>0</v>
      </c>
      <c r="AI474" s="408">
        <v>0</v>
      </c>
      <c r="AJ474" s="408">
        <v>0</v>
      </c>
      <c r="AK474" s="408">
        <v>0</v>
      </c>
      <c r="AL474" s="408">
        <v>-4.1972918117756794</v>
      </c>
      <c r="AM474" s="408"/>
      <c r="AN474" s="408">
        <v>-1.0287080587013984</v>
      </c>
      <c r="AO474" s="408">
        <v>0</v>
      </c>
      <c r="AP474" s="408">
        <v>0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0</v>
      </c>
      <c r="BE474" s="408">
        <v>0</v>
      </c>
      <c r="BF474" s="408">
        <v>0</v>
      </c>
      <c r="BG474" s="408">
        <v>-15.274674855128442</v>
      </c>
      <c r="BH474" s="408">
        <v>0</v>
      </c>
      <c r="BI474" s="408">
        <v>0</v>
      </c>
      <c r="BJ474" s="408">
        <v>0</v>
      </c>
      <c r="BK474" s="408">
        <v>-3.76</v>
      </c>
      <c r="BL474" s="408">
        <v>2</v>
      </c>
      <c r="BM474" s="408"/>
      <c r="BN474" s="408"/>
      <c r="BO474" s="408"/>
      <c r="BP474" s="408"/>
      <c r="BQ474" s="408"/>
      <c r="BR474" s="408">
        <v>-35.712649999999982</v>
      </c>
      <c r="BS474" s="408"/>
      <c r="BT474" s="408"/>
      <c r="BU474" s="408"/>
      <c r="BV474" s="408">
        <v>-126.00046977751344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-262.51280000000003</v>
      </c>
      <c r="CJ474" s="408">
        <v>120.40129000000002</v>
      </c>
      <c r="CK474" s="408"/>
      <c r="CL474" s="408"/>
      <c r="CM474" s="408"/>
      <c r="CN474" s="408"/>
      <c r="CO474" s="408">
        <v>137.53430999999998</v>
      </c>
      <c r="CP474" s="408">
        <v>0</v>
      </c>
      <c r="CQ474" s="408">
        <v>30</v>
      </c>
      <c r="CR474" s="408">
        <v>1.0677344522742658</v>
      </c>
      <c r="CS474" s="408">
        <v>0</v>
      </c>
      <c r="CT474" s="408">
        <v>0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0.13933845001081835</v>
      </c>
      <c r="DA474" s="408">
        <v>0</v>
      </c>
      <c r="DB474" s="408">
        <v>0</v>
      </c>
      <c r="DC474" s="408">
        <v>1.5523042407039611E-8</v>
      </c>
      <c r="DD474" s="408">
        <v>0</v>
      </c>
      <c r="DE474" s="408">
        <v>0</v>
      </c>
      <c r="DF474" s="408">
        <v>0</v>
      </c>
      <c r="DG474" s="408">
        <v>2.1413999462538413E-9</v>
      </c>
      <c r="DH474" s="408">
        <v>0</v>
      </c>
      <c r="DI474" s="408">
        <v>0.78954577689836469</v>
      </c>
      <c r="DJ474" s="408"/>
      <c r="DK474" s="408">
        <v>0</v>
      </c>
      <c r="DL474" s="408">
        <v>0</v>
      </c>
      <c r="DM474" s="408">
        <v>0</v>
      </c>
      <c r="DN474" s="408">
        <v>0</v>
      </c>
      <c r="DO474" s="408">
        <v>0.105444843794813</v>
      </c>
      <c r="DP474" s="408">
        <v>3.3405363905801844E-2</v>
      </c>
      <c r="DQ474" s="408">
        <v>0</v>
      </c>
      <c r="DR474" s="408">
        <v>0</v>
      </c>
      <c r="DS474" s="408"/>
      <c r="DT474" s="408"/>
      <c r="DU474" s="408"/>
      <c r="DV474" s="408">
        <v>-222.56763105349924</v>
      </c>
      <c r="DW474" s="408">
        <v>0</v>
      </c>
      <c r="DX474" s="408">
        <v>0</v>
      </c>
      <c r="DY474" s="408">
        <v>137.53431</v>
      </c>
      <c r="DZ474" s="408">
        <v>0</v>
      </c>
      <c r="EA474" s="408">
        <v>0</v>
      </c>
      <c r="EB474" s="408">
        <v>0</v>
      </c>
      <c r="EC474" s="408">
        <v>136.46625725433194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0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265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481</v>
      </c>
      <c r="B475" s="408" t="s">
        <v>2230</v>
      </c>
      <c r="C475" s="408" t="s">
        <v>2239</v>
      </c>
      <c r="D475" s="408" t="s">
        <v>596</v>
      </c>
      <c r="E475" s="408" t="s">
        <v>969</v>
      </c>
      <c r="F475" s="408" t="s">
        <v>1317</v>
      </c>
      <c r="G475" s="408" t="s">
        <v>1317</v>
      </c>
      <c r="H475" s="408" t="s">
        <v>1317</v>
      </c>
      <c r="I475" s="408" t="s">
        <v>968</v>
      </c>
      <c r="J475" s="408" t="s">
        <v>2228</v>
      </c>
      <c r="K475" s="828">
        <v>44652</v>
      </c>
      <c r="L475" s="408">
        <v>11</v>
      </c>
      <c r="M475" s="408">
        <v>10.559999999999999</v>
      </c>
      <c r="N475" s="408">
        <v>0</v>
      </c>
      <c r="O475" s="408">
        <v>0</v>
      </c>
      <c r="P475" s="408">
        <v>0</v>
      </c>
      <c r="Q475" s="408">
        <v>0</v>
      </c>
      <c r="R475" s="408">
        <v>106.38</v>
      </c>
      <c r="S475" s="408"/>
      <c r="T475" s="408"/>
      <c r="U475" s="408">
        <v>1170.1799999999998</v>
      </c>
      <c r="V475" s="408"/>
      <c r="W475" s="408">
        <v>1170.1799999999998</v>
      </c>
      <c r="X475" s="408">
        <v>633.16000000000008</v>
      </c>
      <c r="Y475" s="408">
        <v>0</v>
      </c>
      <c r="Z475" s="408">
        <v>0</v>
      </c>
      <c r="AA475" s="408">
        <v>0</v>
      </c>
      <c r="AB475" s="408">
        <v>0</v>
      </c>
      <c r="AC475" s="408">
        <v>0</v>
      </c>
      <c r="AD475" s="408">
        <v>295.64607450583037</v>
      </c>
      <c r="AE475" s="408">
        <v>874.55502330718389</v>
      </c>
      <c r="AF475" s="408"/>
      <c r="AG475" s="408"/>
      <c r="AH475" s="408"/>
      <c r="AI475" s="408">
        <v>0</v>
      </c>
      <c r="AJ475" s="408">
        <v>0</v>
      </c>
      <c r="AK475" s="408">
        <v>0</v>
      </c>
      <c r="AL475" s="408">
        <v>0</v>
      </c>
      <c r="AM475" s="408"/>
      <c r="AN475" s="408">
        <v>0</v>
      </c>
      <c r="AO475" s="408">
        <v>0</v>
      </c>
      <c r="AP475" s="408">
        <v>0</v>
      </c>
      <c r="AQ475" s="408">
        <v>0</v>
      </c>
      <c r="AR475" s="408">
        <v>0</v>
      </c>
      <c r="AS475" s="408"/>
      <c r="AT475" s="408"/>
      <c r="AU475" s="408">
        <v>0</v>
      </c>
      <c r="AV475" s="408">
        <v>0</v>
      </c>
      <c r="AW475" s="408">
        <v>0</v>
      </c>
      <c r="AX475" s="408"/>
      <c r="AY475" s="408"/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/>
      <c r="BG475" s="408">
        <v>0</v>
      </c>
      <c r="BH475" s="408">
        <v>0</v>
      </c>
      <c r="BI475" s="408">
        <v>0</v>
      </c>
      <c r="BJ475" s="408">
        <v>0</v>
      </c>
      <c r="BK475" s="408">
        <v>0</v>
      </c>
      <c r="BL475" s="408">
        <v>0</v>
      </c>
      <c r="BM475" s="408"/>
      <c r="BN475" s="408"/>
      <c r="BO475" s="408"/>
      <c r="BP475" s="408"/>
      <c r="BQ475" s="408"/>
      <c r="BR475" s="408">
        <v>25.326400000000074</v>
      </c>
      <c r="BS475" s="408"/>
      <c r="BT475" s="408"/>
      <c r="BU475" s="408"/>
      <c r="BV475" s="408">
        <v>0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607.83360000000005</v>
      </c>
      <c r="CJ475" s="408">
        <v>-515.5691999999998</v>
      </c>
      <c r="CK475" s="408"/>
      <c r="CL475" s="408"/>
      <c r="CM475" s="408"/>
      <c r="CN475" s="408"/>
      <c r="CO475" s="408">
        <v>-537.02</v>
      </c>
      <c r="CP475" s="408">
        <v>0</v>
      </c>
      <c r="CQ475" s="408">
        <v>30</v>
      </c>
      <c r="CR475" s="408">
        <v>-0.75983644664506755</v>
      </c>
      <c r="CS475" s="408">
        <v>0</v>
      </c>
      <c r="CT475" s="408">
        <v>0</v>
      </c>
      <c r="CU475" s="408">
        <v>0</v>
      </c>
      <c r="CV475" s="408">
        <v>0</v>
      </c>
      <c r="CW475" s="408"/>
      <c r="CX475" s="408"/>
      <c r="CY475" s="408"/>
      <c r="CZ475" s="408">
        <v>-0.75983644664506755</v>
      </c>
      <c r="DA475" s="408">
        <v>0</v>
      </c>
      <c r="DB475" s="408">
        <v>0</v>
      </c>
      <c r="DC475" s="408"/>
      <c r="DD475" s="408"/>
      <c r="DE475" s="408">
        <v>0</v>
      </c>
      <c r="DF475" s="408">
        <v>0</v>
      </c>
      <c r="DG475" s="408">
        <v>0</v>
      </c>
      <c r="DH475" s="408">
        <v>0</v>
      </c>
      <c r="DI475" s="408">
        <v>0</v>
      </c>
      <c r="DJ475" s="408"/>
      <c r="DK475" s="408">
        <v>0</v>
      </c>
      <c r="DL475" s="408">
        <v>0</v>
      </c>
      <c r="DM475" s="408"/>
      <c r="DN475" s="408">
        <v>0</v>
      </c>
      <c r="DO475" s="408">
        <v>0</v>
      </c>
      <c r="DP475" s="408">
        <v>0</v>
      </c>
      <c r="DQ475" s="408">
        <v>0</v>
      </c>
      <c r="DR475" s="408">
        <v>0</v>
      </c>
      <c r="DS475" s="408"/>
      <c r="DT475" s="408"/>
      <c r="DU475" s="408">
        <v>874.55502330718389</v>
      </c>
      <c r="DV475" s="408"/>
      <c r="DW475" s="408">
        <v>0</v>
      </c>
      <c r="DX475" s="408">
        <v>0</v>
      </c>
      <c r="DY475" s="408">
        <v>-537.01999999999975</v>
      </c>
      <c r="DZ475" s="408"/>
      <c r="EA475" s="408">
        <v>0</v>
      </c>
      <c r="EB475" s="408"/>
      <c r="EC475" s="408">
        <v>-536.22914629943887</v>
      </c>
      <c r="ED475" s="408"/>
      <c r="EE475" s="408">
        <v>0</v>
      </c>
      <c r="EF475" s="408">
        <v>0</v>
      </c>
      <c r="EG475" s="408"/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/>
      <c r="EN475" s="408"/>
      <c r="EO475" s="408">
        <v>0</v>
      </c>
      <c r="EP475" s="408">
        <v>0</v>
      </c>
      <c r="EQ475" s="408"/>
      <c r="ER475" s="408">
        <v>0</v>
      </c>
      <c r="ES475" s="408"/>
      <c r="ET475" s="408">
        <v>0</v>
      </c>
      <c r="EU475" s="408"/>
      <c r="EV475" s="408">
        <v>265</v>
      </c>
      <c r="EW475" s="408"/>
      <c r="EX475" s="408"/>
      <c r="EY475" s="408"/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482</v>
      </c>
      <c r="B476" s="408" t="s">
        <v>2230</v>
      </c>
      <c r="C476" s="408" t="s">
        <v>2239</v>
      </c>
      <c r="D476" s="408" t="s">
        <v>596</v>
      </c>
      <c r="E476" s="408" t="s">
        <v>969</v>
      </c>
      <c r="F476" s="408" t="s">
        <v>1317</v>
      </c>
      <c r="G476" s="408" t="s">
        <v>1317</v>
      </c>
      <c r="H476" s="408" t="s">
        <v>1317</v>
      </c>
      <c r="I476" s="408" t="s">
        <v>2236</v>
      </c>
      <c r="J476" s="408" t="s">
        <v>2228</v>
      </c>
      <c r="K476" s="828">
        <v>44652</v>
      </c>
      <c r="L476" s="408">
        <v>65</v>
      </c>
      <c r="M476" s="408">
        <v>62.4</v>
      </c>
      <c r="N476" s="408">
        <v>0</v>
      </c>
      <c r="O476" s="408">
        <v>0</v>
      </c>
      <c r="P476" s="408">
        <v>0</v>
      </c>
      <c r="Q476" s="408">
        <v>0</v>
      </c>
      <c r="R476" s="408">
        <v>74.44</v>
      </c>
      <c r="S476" s="408"/>
      <c r="T476" s="408"/>
      <c r="U476" s="408">
        <v>4838.5999999999995</v>
      </c>
      <c r="V476" s="408"/>
      <c r="W476" s="408">
        <v>4838.5999999999995</v>
      </c>
      <c r="X476" s="408">
        <v>2952.3</v>
      </c>
      <c r="Y476" s="408">
        <v>0</v>
      </c>
      <c r="Z476" s="408">
        <v>0</v>
      </c>
      <c r="AA476" s="408">
        <v>0</v>
      </c>
      <c r="AB476" s="408">
        <v>0</v>
      </c>
      <c r="AC476" s="408">
        <v>0</v>
      </c>
      <c r="AD476" s="408">
        <v>1769.111014479367</v>
      </c>
      <c r="AE476" s="408">
        <v>3069.3999657215832</v>
      </c>
      <c r="AF476" s="408"/>
      <c r="AG476" s="408"/>
      <c r="AH476" s="408"/>
      <c r="AI476" s="408">
        <v>0</v>
      </c>
      <c r="AJ476" s="408">
        <v>0</v>
      </c>
      <c r="AK476" s="408">
        <v>0</v>
      </c>
      <c r="AL476" s="408">
        <v>0</v>
      </c>
      <c r="AM476" s="408"/>
      <c r="AN476" s="408">
        <v>0</v>
      </c>
      <c r="AO476" s="408">
        <v>0</v>
      </c>
      <c r="AP476" s="408">
        <v>0</v>
      </c>
      <c r="AQ476" s="408">
        <v>0</v>
      </c>
      <c r="AR476" s="408">
        <v>0</v>
      </c>
      <c r="AS476" s="408"/>
      <c r="AT476" s="408"/>
      <c r="AU476" s="408">
        <v>0</v>
      </c>
      <c r="AV476" s="408">
        <v>0</v>
      </c>
      <c r="AW476" s="408">
        <v>0</v>
      </c>
      <c r="AX476" s="408"/>
      <c r="AY476" s="408"/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/>
      <c r="BG476" s="408">
        <v>0</v>
      </c>
      <c r="BH476" s="408">
        <v>0</v>
      </c>
      <c r="BI476" s="408">
        <v>0</v>
      </c>
      <c r="BJ476" s="408">
        <v>0</v>
      </c>
      <c r="BK476" s="408">
        <v>0</v>
      </c>
      <c r="BL476" s="408">
        <v>0</v>
      </c>
      <c r="BM476" s="408"/>
      <c r="BN476" s="408"/>
      <c r="BO476" s="408"/>
      <c r="BP476" s="408"/>
      <c r="BQ476" s="408"/>
      <c r="BR476" s="408">
        <v>118.09200000000007</v>
      </c>
      <c r="BS476" s="408"/>
      <c r="BT476" s="408"/>
      <c r="BU476" s="408"/>
      <c r="BV476" s="408">
        <v>0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2834.2080000000001</v>
      </c>
      <c r="CJ476" s="408">
        <v>-1810.8780000000002</v>
      </c>
      <c r="CK476" s="408"/>
      <c r="CL476" s="408"/>
      <c r="CM476" s="408"/>
      <c r="CN476" s="408"/>
      <c r="CO476" s="408">
        <v>-1886.2999999999997</v>
      </c>
      <c r="CP476" s="408">
        <v>0</v>
      </c>
      <c r="CQ476" s="408">
        <v>30</v>
      </c>
      <c r="CR476" s="408">
        <v>-4.5467710985515168</v>
      </c>
      <c r="CS476" s="408">
        <v>0</v>
      </c>
      <c r="CT476" s="408">
        <v>0</v>
      </c>
      <c r="CU476" s="408">
        <v>0</v>
      </c>
      <c r="CV476" s="408">
        <v>0</v>
      </c>
      <c r="CW476" s="408"/>
      <c r="CX476" s="408"/>
      <c r="CY476" s="408"/>
      <c r="CZ476" s="408">
        <v>-4.5467710985515168</v>
      </c>
      <c r="DA476" s="408">
        <v>0</v>
      </c>
      <c r="DB476" s="408">
        <v>0</v>
      </c>
      <c r="DC476" s="408"/>
      <c r="DD476" s="408"/>
      <c r="DE476" s="408">
        <v>0</v>
      </c>
      <c r="DF476" s="408">
        <v>0</v>
      </c>
      <c r="DG476" s="408">
        <v>0</v>
      </c>
      <c r="DH476" s="408">
        <v>0</v>
      </c>
      <c r="DI476" s="408">
        <v>0</v>
      </c>
      <c r="DJ476" s="408"/>
      <c r="DK476" s="408">
        <v>0</v>
      </c>
      <c r="DL476" s="408">
        <v>0</v>
      </c>
      <c r="DM476" s="408"/>
      <c r="DN476" s="408">
        <v>0</v>
      </c>
      <c r="DO476" s="408">
        <v>0</v>
      </c>
      <c r="DP476" s="408">
        <v>0</v>
      </c>
      <c r="DQ476" s="408">
        <v>0</v>
      </c>
      <c r="DR476" s="408">
        <v>0</v>
      </c>
      <c r="DS476" s="408"/>
      <c r="DT476" s="408"/>
      <c r="DU476" s="408">
        <v>3069.3999657215832</v>
      </c>
      <c r="DV476" s="408"/>
      <c r="DW476" s="408">
        <v>0</v>
      </c>
      <c r="DX476" s="408">
        <v>0</v>
      </c>
      <c r="DY476" s="408">
        <v>-1886.2999999999993</v>
      </c>
      <c r="DZ476" s="408"/>
      <c r="EA476" s="408">
        <v>0</v>
      </c>
      <c r="EB476" s="408"/>
      <c r="EC476" s="408">
        <v>-1881.9876158807426</v>
      </c>
      <c r="ED476" s="408"/>
      <c r="EE476" s="408">
        <v>0</v>
      </c>
      <c r="EF476" s="408">
        <v>0</v>
      </c>
      <c r="EG476" s="408"/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/>
      <c r="EN476" s="408"/>
      <c r="EO476" s="408">
        <v>0</v>
      </c>
      <c r="EP476" s="408">
        <v>0</v>
      </c>
      <c r="EQ476" s="408"/>
      <c r="ER476" s="408">
        <v>0</v>
      </c>
      <c r="ES476" s="408"/>
      <c r="ET476" s="408">
        <v>0</v>
      </c>
      <c r="EU476" s="408"/>
      <c r="EV476" s="408">
        <v>265</v>
      </c>
      <c r="EW476" s="408"/>
      <c r="EX476" s="408"/>
      <c r="EY476" s="408"/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483</v>
      </c>
      <c r="B477" s="408" t="s">
        <v>2230</v>
      </c>
      <c r="C477" s="408" t="s">
        <v>2239</v>
      </c>
      <c r="D477" s="408" t="s">
        <v>596</v>
      </c>
      <c r="E477" s="408" t="s">
        <v>969</v>
      </c>
      <c r="F477" s="408" t="s">
        <v>1317</v>
      </c>
      <c r="G477" s="408" t="s">
        <v>1317</v>
      </c>
      <c r="H477" s="408" t="s">
        <v>1317</v>
      </c>
      <c r="I477" s="408" t="s">
        <v>1317</v>
      </c>
      <c r="J477" s="408" t="s">
        <v>2228</v>
      </c>
      <c r="K477" s="828">
        <v>44652</v>
      </c>
      <c r="L477" s="408">
        <v>0</v>
      </c>
      <c r="M477" s="408">
        <v>0</v>
      </c>
      <c r="N477" s="408">
        <v>0</v>
      </c>
      <c r="O477" s="408">
        <v>0</v>
      </c>
      <c r="P477" s="408">
        <v>0</v>
      </c>
      <c r="Q477" s="408">
        <v>0</v>
      </c>
      <c r="R477" s="408"/>
      <c r="S477" s="408"/>
      <c r="T477" s="408"/>
      <c r="U477" s="408"/>
      <c r="V477" s="408"/>
      <c r="W477" s="408"/>
      <c r="X477" s="408"/>
      <c r="Y477" s="408"/>
      <c r="Z477" s="408"/>
      <c r="AA477" s="408">
        <v>0</v>
      </c>
      <c r="AB477" s="408"/>
      <c r="AC477" s="408"/>
      <c r="AD477" s="408"/>
      <c r="AE477" s="408"/>
      <c r="AF477" s="408"/>
      <c r="AG477" s="408"/>
      <c r="AH477" s="408"/>
      <c r="AI477" s="408"/>
      <c r="AJ477" s="408"/>
      <c r="AK477" s="408"/>
      <c r="AL477" s="408"/>
      <c r="AM477" s="408"/>
      <c r="AN477" s="408"/>
      <c r="AO477" s="408"/>
      <c r="AP477" s="408"/>
      <c r="AQ477" s="408"/>
      <c r="AR477" s="408"/>
      <c r="AS477" s="408"/>
      <c r="AT477" s="408"/>
      <c r="AU477" s="408"/>
      <c r="AV477" s="408"/>
      <c r="AW477" s="408"/>
      <c r="AX477" s="408"/>
      <c r="AY477" s="408"/>
      <c r="AZ477" s="408">
        <v>0</v>
      </c>
      <c r="BA477" s="408"/>
      <c r="BB477" s="408"/>
      <c r="BC477" s="408"/>
      <c r="BD477" s="408"/>
      <c r="BE477" s="408"/>
      <c r="BF477" s="408"/>
      <c r="BG477" s="408"/>
      <c r="BH477" s="408"/>
      <c r="BI477" s="408">
        <v>0</v>
      </c>
      <c r="BJ477" s="408">
        <v>0</v>
      </c>
      <c r="BK477" s="408">
        <v>1.38</v>
      </c>
      <c r="BL477" s="408">
        <v>1</v>
      </c>
      <c r="BM477" s="408"/>
      <c r="BN477" s="408"/>
      <c r="BO477" s="408"/>
      <c r="BP477" s="408"/>
      <c r="BQ477" s="408"/>
      <c r="BR477" s="408"/>
      <c r="BS477" s="408"/>
      <c r="BT477" s="408"/>
      <c r="BU477" s="408"/>
      <c r="BV477" s="408"/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/>
      <c r="CJ477" s="408">
        <v>-0.03</v>
      </c>
      <c r="CK477" s="408"/>
      <c r="CL477" s="408"/>
      <c r="CM477" s="408"/>
      <c r="CN477" s="408"/>
      <c r="CO477" s="408">
        <v>0</v>
      </c>
      <c r="CP477" s="408">
        <v>0</v>
      </c>
      <c r="CQ477" s="408">
        <v>30</v>
      </c>
      <c r="CR477" s="408"/>
      <c r="CS477" s="408"/>
      <c r="CT477" s="408"/>
      <c r="CU477" s="408"/>
      <c r="CV477" s="408"/>
      <c r="CW477" s="408"/>
      <c r="CX477" s="408"/>
      <c r="CY477" s="408"/>
      <c r="CZ477" s="408"/>
      <c r="DA477" s="408"/>
      <c r="DB477" s="408"/>
      <c r="DC477" s="408"/>
      <c r="DD477" s="408"/>
      <c r="DE477" s="408"/>
      <c r="DF477" s="408"/>
      <c r="DG477" s="408"/>
      <c r="DH477" s="408"/>
      <c r="DI477" s="408"/>
      <c r="DJ477" s="408"/>
      <c r="DK477" s="408">
        <v>0</v>
      </c>
      <c r="DL477" s="408"/>
      <c r="DM477" s="408"/>
      <c r="DN477" s="408"/>
      <c r="DO477" s="408"/>
      <c r="DP477" s="408"/>
      <c r="DQ477" s="408"/>
      <c r="DR477" s="408"/>
      <c r="DS477" s="408"/>
      <c r="DT477" s="408"/>
      <c r="DU477" s="408"/>
      <c r="DV477" s="408"/>
      <c r="DW477" s="408"/>
      <c r="DX477" s="408"/>
      <c r="DY477" s="408"/>
      <c r="DZ477" s="408"/>
      <c r="EA477" s="408"/>
      <c r="EB477" s="408"/>
      <c r="EC477" s="408"/>
      <c r="ED477" s="408"/>
      <c r="EE477" s="408"/>
      <c r="EF477" s="408"/>
      <c r="EG477" s="408"/>
      <c r="EH477" s="408"/>
      <c r="EI477" s="408"/>
      <c r="EJ477" s="408"/>
      <c r="EK477" s="408"/>
      <c r="EL477" s="408"/>
      <c r="EM477" s="408"/>
      <c r="EN477" s="408"/>
      <c r="EO477" s="408"/>
      <c r="EP477" s="408"/>
      <c r="EQ477" s="408"/>
      <c r="ER477" s="408"/>
      <c r="ES477" s="408"/>
      <c r="ET477" s="408"/>
      <c r="EU477" s="408"/>
      <c r="EV477" s="408">
        <v>265</v>
      </c>
      <c r="EW477" s="408"/>
      <c r="EX477" s="408"/>
      <c r="EY477" s="408"/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484</v>
      </c>
      <c r="B478" s="408" t="s">
        <v>1031</v>
      </c>
      <c r="C478" s="408" t="s">
        <v>2235</v>
      </c>
      <c r="D478" s="408" t="s">
        <v>596</v>
      </c>
      <c r="E478" s="408" t="s">
        <v>969</v>
      </c>
      <c r="F478" s="408" t="s">
        <v>1317</v>
      </c>
      <c r="G478" s="408" t="s">
        <v>1317</v>
      </c>
      <c r="H478" s="408" t="s">
        <v>1317</v>
      </c>
      <c r="I478" s="408" t="s">
        <v>968</v>
      </c>
      <c r="J478" s="408" t="s">
        <v>2228</v>
      </c>
      <c r="K478" s="828">
        <v>44652</v>
      </c>
      <c r="L478" s="408">
        <v>0</v>
      </c>
      <c r="M478" s="408">
        <v>0</v>
      </c>
      <c r="N478" s="408">
        <v>8.2959999999999994</v>
      </c>
      <c r="O478" s="408">
        <v>7.9641599999999997</v>
      </c>
      <c r="P478" s="408">
        <v>8.2959999999999994</v>
      </c>
      <c r="Q478" s="408">
        <v>7.9641599999999997</v>
      </c>
      <c r="R478" s="408"/>
      <c r="S478" s="408">
        <v>2641.06</v>
      </c>
      <c r="T478" s="408">
        <v>252.22</v>
      </c>
      <c r="U478" s="408"/>
      <c r="V478" s="408">
        <v>24002.650879999997</v>
      </c>
      <c r="W478" s="408">
        <v>24002.650879999997</v>
      </c>
      <c r="X478" s="408">
        <v>14247.052639999998</v>
      </c>
      <c r="Y478" s="408">
        <v>0</v>
      </c>
      <c r="Z478" s="408">
        <v>446.42639499256592</v>
      </c>
      <c r="AA478" s="408">
        <v>0</v>
      </c>
      <c r="AB478" s="408">
        <v>0</v>
      </c>
      <c r="AC478" s="408">
        <v>0</v>
      </c>
      <c r="AD478" s="408">
        <v>5373.8749535135094</v>
      </c>
      <c r="AE478" s="408">
        <v>15862.701466449189</v>
      </c>
      <c r="AF478" s="408">
        <v>2092.4400789888518</v>
      </c>
      <c r="AG478" s="408">
        <v>0</v>
      </c>
      <c r="AH478" s="408">
        <v>0</v>
      </c>
      <c r="AI478" s="408">
        <v>0</v>
      </c>
      <c r="AJ478" s="408">
        <v>0</v>
      </c>
      <c r="AK478" s="408">
        <v>0</v>
      </c>
      <c r="AL478" s="408">
        <v>79.318298110457945</v>
      </c>
      <c r="AM478" s="408"/>
      <c r="AN478" s="408">
        <v>19.959397317852726</v>
      </c>
      <c r="AO478" s="408">
        <v>0</v>
      </c>
      <c r="AP478" s="408">
        <v>0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0</v>
      </c>
      <c r="BE478" s="408">
        <v>0</v>
      </c>
      <c r="BF478" s="408">
        <v>0</v>
      </c>
      <c r="BG478" s="408">
        <v>127.947891196139</v>
      </c>
      <c r="BH478" s="408">
        <v>0</v>
      </c>
      <c r="BI478" s="408">
        <v>0</v>
      </c>
      <c r="BJ478" s="408">
        <v>0</v>
      </c>
      <c r="BK478" s="408">
        <v>0</v>
      </c>
      <c r="BL478" s="408">
        <v>0</v>
      </c>
      <c r="BM478" s="408"/>
      <c r="BN478" s="408"/>
      <c r="BO478" s="408"/>
      <c r="BP478" s="408"/>
      <c r="BQ478" s="408"/>
      <c r="BR478" s="408">
        <v>569.88210559999948</v>
      </c>
      <c r="BS478" s="408"/>
      <c r="BT478" s="408"/>
      <c r="BU478" s="408"/>
      <c r="BV478" s="408">
        <v>2220.387970184991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13670.026400000001</v>
      </c>
      <c r="CJ478" s="408">
        <v>-9372.5484447999934</v>
      </c>
      <c r="CK478" s="408"/>
      <c r="CL478" s="408"/>
      <c r="CM478" s="408"/>
      <c r="CN478" s="408"/>
      <c r="CO478" s="408">
        <v>-9755.5982399999994</v>
      </c>
      <c r="CP478" s="408">
        <v>0</v>
      </c>
      <c r="CQ478" s="408">
        <v>30</v>
      </c>
      <c r="CR478" s="408">
        <v>-29.432899521939362</v>
      </c>
      <c r="CS478" s="408">
        <v>0</v>
      </c>
      <c r="CT478" s="408">
        <v>0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-13.811331864360909</v>
      </c>
      <c r="DA478" s="408">
        <v>0</v>
      </c>
      <c r="DB478" s="408">
        <v>0</v>
      </c>
      <c r="DC478" s="408">
        <v>-2.9334660212043673E-7</v>
      </c>
      <c r="DD478" s="408">
        <v>0</v>
      </c>
      <c r="DE478" s="408">
        <v>0</v>
      </c>
      <c r="DF478" s="408">
        <v>0</v>
      </c>
      <c r="DG478" s="408">
        <v>-1.7937594520844868E-8</v>
      </c>
      <c r="DH478" s="408">
        <v>0</v>
      </c>
      <c r="DI478" s="408">
        <v>-12.98078003571635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-1.9926433351293298</v>
      </c>
      <c r="DP478" s="408">
        <v>-0.64814397544925839</v>
      </c>
      <c r="DQ478" s="408">
        <v>0</v>
      </c>
      <c r="DR478" s="408">
        <v>0</v>
      </c>
      <c r="DS478" s="408"/>
      <c r="DT478" s="408"/>
      <c r="DU478" s="408"/>
      <c r="DV478" s="408">
        <v>15862.701466449189</v>
      </c>
      <c r="DW478" s="408">
        <v>0</v>
      </c>
      <c r="DX478" s="408">
        <v>0</v>
      </c>
      <c r="DY478" s="408">
        <v>-9755.5982400000012</v>
      </c>
      <c r="DZ478" s="408">
        <v>0</v>
      </c>
      <c r="EA478" s="408">
        <v>0</v>
      </c>
      <c r="EB478" s="408">
        <v>0</v>
      </c>
      <c r="EC478" s="408">
        <v>-9726.1380229579845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0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265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485</v>
      </c>
      <c r="B479" s="408" t="s">
        <v>1031</v>
      </c>
      <c r="C479" s="408" t="s">
        <v>2235</v>
      </c>
      <c r="D479" s="408" t="s">
        <v>596</v>
      </c>
      <c r="E479" s="408" t="s">
        <v>969</v>
      </c>
      <c r="F479" s="408" t="s">
        <v>1317</v>
      </c>
      <c r="G479" s="408" t="s">
        <v>1317</v>
      </c>
      <c r="H479" s="408" t="s">
        <v>1317</v>
      </c>
      <c r="I479" s="408" t="s">
        <v>2236</v>
      </c>
      <c r="J479" s="408" t="s">
        <v>2228</v>
      </c>
      <c r="K479" s="828">
        <v>44652</v>
      </c>
      <c r="L479" s="408">
        <v>0</v>
      </c>
      <c r="M479" s="408">
        <v>0</v>
      </c>
      <c r="N479" s="408">
        <v>71.855000000000004</v>
      </c>
      <c r="O479" s="408">
        <v>68.980800000000002</v>
      </c>
      <c r="P479" s="408">
        <v>71.855000000000004</v>
      </c>
      <c r="Q479" s="408">
        <v>68.980800000000002</v>
      </c>
      <c r="R479" s="408"/>
      <c r="S479" s="408">
        <v>81.2</v>
      </c>
      <c r="T479" s="408">
        <v>252.22</v>
      </c>
      <c r="U479" s="408"/>
      <c r="V479" s="408">
        <v>23957.894100000001</v>
      </c>
      <c r="W479" s="408">
        <v>23957.894100000001</v>
      </c>
      <c r="X479" s="408">
        <v>23822.806700000001</v>
      </c>
      <c r="Y479" s="408">
        <v>0</v>
      </c>
      <c r="Z479" s="408">
        <v>3866.6789551821153</v>
      </c>
      <c r="AA479" s="408">
        <v>0</v>
      </c>
      <c r="AB479" s="408">
        <v>0</v>
      </c>
      <c r="AC479" s="408">
        <v>0</v>
      </c>
      <c r="AD479" s="408">
        <v>0</v>
      </c>
      <c r="AE479" s="408">
        <v>0</v>
      </c>
      <c r="AF479" s="408">
        <v>18123.466957056891</v>
      </c>
      <c r="AG479" s="408">
        <v>0</v>
      </c>
      <c r="AH479" s="408">
        <v>0</v>
      </c>
      <c r="AI479" s="408">
        <v>0</v>
      </c>
      <c r="AJ479" s="408">
        <v>0</v>
      </c>
      <c r="AK479" s="408">
        <v>0</v>
      </c>
      <c r="AL479" s="408">
        <v>687.00775201626766</v>
      </c>
      <c r="AM479" s="408"/>
      <c r="AN479" s="408">
        <v>172.87638552004677</v>
      </c>
      <c r="AO479" s="408">
        <v>0</v>
      </c>
      <c r="AP479" s="408">
        <v>0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</v>
      </c>
      <c r="BF479" s="408">
        <v>0</v>
      </c>
      <c r="BG479" s="408">
        <v>1108.2082596309751</v>
      </c>
      <c r="BH479" s="408">
        <v>0</v>
      </c>
      <c r="BI479" s="408">
        <v>0</v>
      </c>
      <c r="BJ479" s="408">
        <v>0</v>
      </c>
      <c r="BK479" s="408">
        <v>0</v>
      </c>
      <c r="BL479" s="408">
        <v>0</v>
      </c>
      <c r="BM479" s="408"/>
      <c r="BN479" s="408"/>
      <c r="BO479" s="408"/>
      <c r="BP479" s="408"/>
      <c r="BQ479" s="408"/>
      <c r="BR479" s="408">
        <v>952.91226800000061</v>
      </c>
      <c r="BS479" s="408"/>
      <c r="BT479" s="408"/>
      <c r="BU479" s="408"/>
      <c r="BV479" s="408">
        <v>19231.675216687865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22869.629200000003</v>
      </c>
      <c r="CJ479" s="408">
        <v>-129.97913599999447</v>
      </c>
      <c r="CK479" s="408"/>
      <c r="CL479" s="408"/>
      <c r="CM479" s="408"/>
      <c r="CN479" s="408"/>
      <c r="CO479" s="408">
        <v>-135.08740000000071</v>
      </c>
      <c r="CP479" s="408">
        <v>0</v>
      </c>
      <c r="CQ479" s="408">
        <v>30</v>
      </c>
      <c r="CR479" s="408">
        <v>-135.3046943147674</v>
      </c>
      <c r="CS479" s="408">
        <v>0</v>
      </c>
      <c r="CT479" s="408">
        <v>0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0</v>
      </c>
      <c r="DA479" s="408">
        <v>0</v>
      </c>
      <c r="DB479" s="408">
        <v>0</v>
      </c>
      <c r="DC479" s="408">
        <v>-2.5407935027033091E-6</v>
      </c>
      <c r="DD479" s="408">
        <v>0</v>
      </c>
      <c r="DE479" s="408">
        <v>0</v>
      </c>
      <c r="DF479" s="408">
        <v>0</v>
      </c>
      <c r="DG479" s="408">
        <v>-1.5536488717771135E-7</v>
      </c>
      <c r="DH479" s="408">
        <v>0</v>
      </c>
      <c r="DI479" s="408">
        <v>-112.43176825776254</v>
      </c>
      <c r="DJ479" s="408"/>
      <c r="DK479" s="408">
        <v>0</v>
      </c>
      <c r="DL479" s="408">
        <v>0</v>
      </c>
      <c r="DM479" s="408">
        <v>0</v>
      </c>
      <c r="DN479" s="408">
        <v>0</v>
      </c>
      <c r="DO479" s="408">
        <v>-17.259087131836736</v>
      </c>
      <c r="DP479" s="408">
        <v>-5.6138362290147938</v>
      </c>
      <c r="DQ479" s="408">
        <v>0</v>
      </c>
      <c r="DR479" s="408">
        <v>0</v>
      </c>
      <c r="DS479" s="408"/>
      <c r="DT479" s="408"/>
      <c r="DU479" s="408"/>
      <c r="DV479" s="408">
        <v>0</v>
      </c>
      <c r="DW479" s="408">
        <v>0</v>
      </c>
      <c r="DX479" s="408">
        <v>0</v>
      </c>
      <c r="DY479" s="408">
        <v>-135.08740000000034</v>
      </c>
      <c r="DZ479" s="408">
        <v>0</v>
      </c>
      <c r="EA479" s="408">
        <v>0</v>
      </c>
      <c r="EB479" s="408">
        <v>0</v>
      </c>
      <c r="EC479" s="408">
        <v>0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0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265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486</v>
      </c>
      <c r="B480" s="408" t="s">
        <v>1031</v>
      </c>
      <c r="C480" s="408" t="s">
        <v>2235</v>
      </c>
      <c r="D480" s="408" t="s">
        <v>596</v>
      </c>
      <c r="E480" s="408" t="s">
        <v>969</v>
      </c>
      <c r="F480" s="408" t="s">
        <v>1317</v>
      </c>
      <c r="G480" s="408" t="s">
        <v>1317</v>
      </c>
      <c r="H480" s="408" t="s">
        <v>1317</v>
      </c>
      <c r="I480" s="408" t="s">
        <v>1317</v>
      </c>
      <c r="J480" s="408" t="s">
        <v>2228</v>
      </c>
      <c r="K480" s="828">
        <v>44652</v>
      </c>
      <c r="L480" s="408">
        <v>319</v>
      </c>
      <c r="M480" s="408">
        <v>306.24</v>
      </c>
      <c r="N480" s="408">
        <v>0</v>
      </c>
      <c r="O480" s="408">
        <v>0</v>
      </c>
      <c r="P480" s="408">
        <v>0</v>
      </c>
      <c r="Q480" s="408">
        <v>0</v>
      </c>
      <c r="R480" s="408">
        <v>74.44</v>
      </c>
      <c r="S480" s="408"/>
      <c r="T480" s="408"/>
      <c r="U480" s="408">
        <v>23746.36</v>
      </c>
      <c r="V480" s="408"/>
      <c r="W480" s="408">
        <v>23746.36</v>
      </c>
      <c r="X480" s="408">
        <v>14488.980000000001</v>
      </c>
      <c r="Y480" s="408">
        <v>0</v>
      </c>
      <c r="Z480" s="408">
        <v>0</v>
      </c>
      <c r="AA480" s="408">
        <v>0</v>
      </c>
      <c r="AB480" s="408">
        <v>0</v>
      </c>
      <c r="AC480" s="408">
        <v>0</v>
      </c>
      <c r="AD480" s="408">
        <v>8682.252517214125</v>
      </c>
      <c r="AE480" s="408">
        <v>15063.670601002847</v>
      </c>
      <c r="AF480" s="408"/>
      <c r="AG480" s="408"/>
      <c r="AH480" s="408"/>
      <c r="AI480" s="408">
        <v>0</v>
      </c>
      <c r="AJ480" s="408">
        <v>0</v>
      </c>
      <c r="AK480" s="408">
        <v>0</v>
      </c>
      <c r="AL480" s="408">
        <v>0</v>
      </c>
      <c r="AM480" s="408"/>
      <c r="AN480" s="408">
        <v>0</v>
      </c>
      <c r="AO480" s="408">
        <v>0</v>
      </c>
      <c r="AP480" s="408">
        <v>0</v>
      </c>
      <c r="AQ480" s="408">
        <v>0</v>
      </c>
      <c r="AR480" s="408">
        <v>0</v>
      </c>
      <c r="AS480" s="408"/>
      <c r="AT480" s="408"/>
      <c r="AU480" s="408">
        <v>0</v>
      </c>
      <c r="AV480" s="408">
        <v>0</v>
      </c>
      <c r="AW480" s="408">
        <v>0</v>
      </c>
      <c r="AX480" s="408"/>
      <c r="AY480" s="408"/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/>
      <c r="BG480" s="408">
        <v>0</v>
      </c>
      <c r="BH480" s="408">
        <v>0</v>
      </c>
      <c r="BI480" s="408">
        <v>0</v>
      </c>
      <c r="BJ480" s="408">
        <v>0</v>
      </c>
      <c r="BK480" s="408">
        <v>25.02</v>
      </c>
      <c r="BL480" s="408">
        <v>3</v>
      </c>
      <c r="BM480" s="408"/>
      <c r="BN480" s="408"/>
      <c r="BO480" s="408"/>
      <c r="BP480" s="408"/>
      <c r="BQ480" s="408"/>
      <c r="BR480" s="408">
        <v>579.55919999999958</v>
      </c>
      <c r="BS480" s="408"/>
      <c r="BT480" s="408"/>
      <c r="BU480" s="408"/>
      <c r="BV480" s="408">
        <v>0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13909.420800000002</v>
      </c>
      <c r="CJ480" s="408">
        <v>-8887.1147999999939</v>
      </c>
      <c r="CK480" s="408"/>
      <c r="CL480" s="408"/>
      <c r="CM480" s="408"/>
      <c r="CN480" s="408"/>
      <c r="CO480" s="408">
        <v>-9257.3799999999992</v>
      </c>
      <c r="CP480" s="408">
        <v>0</v>
      </c>
      <c r="CQ480" s="408">
        <v>30</v>
      </c>
      <c r="CR480" s="408">
        <v>-22.314153545199588</v>
      </c>
      <c r="CS480" s="408">
        <v>0</v>
      </c>
      <c r="CT480" s="408">
        <v>0</v>
      </c>
      <c r="CU480" s="408">
        <v>0</v>
      </c>
      <c r="CV480" s="408">
        <v>0</v>
      </c>
      <c r="CW480" s="408"/>
      <c r="CX480" s="408"/>
      <c r="CY480" s="408"/>
      <c r="CZ480" s="408">
        <v>-22.314153545199588</v>
      </c>
      <c r="DA480" s="408">
        <v>0</v>
      </c>
      <c r="DB480" s="408">
        <v>0</v>
      </c>
      <c r="DC480" s="408"/>
      <c r="DD480" s="408"/>
      <c r="DE480" s="408">
        <v>0</v>
      </c>
      <c r="DF480" s="408">
        <v>0</v>
      </c>
      <c r="DG480" s="408">
        <v>0</v>
      </c>
      <c r="DH480" s="408">
        <v>0</v>
      </c>
      <c r="DI480" s="408">
        <v>0</v>
      </c>
      <c r="DJ480" s="408"/>
      <c r="DK480" s="408">
        <v>0</v>
      </c>
      <c r="DL480" s="408">
        <v>0</v>
      </c>
      <c r="DM480" s="408"/>
      <c r="DN480" s="408">
        <v>0</v>
      </c>
      <c r="DO480" s="408">
        <v>0</v>
      </c>
      <c r="DP480" s="408">
        <v>0</v>
      </c>
      <c r="DQ480" s="408">
        <v>0</v>
      </c>
      <c r="DR480" s="408">
        <v>0</v>
      </c>
      <c r="DS480" s="408"/>
      <c r="DT480" s="408"/>
      <c r="DU480" s="408">
        <v>15063.670601002847</v>
      </c>
      <c r="DV480" s="408"/>
      <c r="DW480" s="408">
        <v>0</v>
      </c>
      <c r="DX480" s="408">
        <v>0</v>
      </c>
      <c r="DY480" s="408">
        <v>-9257.3799999999992</v>
      </c>
      <c r="DZ480" s="408"/>
      <c r="EA480" s="408">
        <v>0</v>
      </c>
      <c r="EB480" s="408"/>
      <c r="EC480" s="408">
        <v>-9236.2161456301073</v>
      </c>
      <c r="ED480" s="408"/>
      <c r="EE480" s="408">
        <v>0</v>
      </c>
      <c r="EF480" s="408">
        <v>0</v>
      </c>
      <c r="EG480" s="408"/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/>
      <c r="EN480" s="408"/>
      <c r="EO480" s="408">
        <v>0</v>
      </c>
      <c r="EP480" s="408">
        <v>0</v>
      </c>
      <c r="EQ480" s="408"/>
      <c r="ER480" s="408">
        <v>0</v>
      </c>
      <c r="ES480" s="408"/>
      <c r="ET480" s="408">
        <v>0</v>
      </c>
      <c r="EU480" s="408"/>
      <c r="EV480" s="408">
        <v>265</v>
      </c>
      <c r="EW480" s="408"/>
      <c r="EX480" s="408"/>
      <c r="EY480" s="408"/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487</v>
      </c>
      <c r="B481" s="408" t="s">
        <v>2230</v>
      </c>
      <c r="C481" s="408" t="s">
        <v>2235</v>
      </c>
      <c r="D481" s="408" t="s">
        <v>596</v>
      </c>
      <c r="E481" s="408" t="s">
        <v>969</v>
      </c>
      <c r="F481" s="408" t="s">
        <v>1317</v>
      </c>
      <c r="G481" s="408" t="s">
        <v>1317</v>
      </c>
      <c r="H481" s="408" t="s">
        <v>1317</v>
      </c>
      <c r="I481" s="408" t="s">
        <v>1317</v>
      </c>
      <c r="J481" s="408" t="s">
        <v>2228</v>
      </c>
      <c r="K481" s="828">
        <v>44652</v>
      </c>
      <c r="L481" s="408">
        <v>812</v>
      </c>
      <c r="M481" s="408">
        <v>779.52</v>
      </c>
      <c r="N481" s="408">
        <v>0</v>
      </c>
      <c r="O481" s="408">
        <v>0</v>
      </c>
      <c r="P481" s="408">
        <v>0</v>
      </c>
      <c r="Q481" s="408">
        <v>0</v>
      </c>
      <c r="R481" s="408">
        <v>74.44</v>
      </c>
      <c r="S481" s="408"/>
      <c r="T481" s="408"/>
      <c r="U481" s="408">
        <v>60445.279999999999</v>
      </c>
      <c r="V481" s="408"/>
      <c r="W481" s="408">
        <v>60445.279999999999</v>
      </c>
      <c r="X481" s="408">
        <v>36881.040000000001</v>
      </c>
      <c r="Y481" s="408">
        <v>0</v>
      </c>
      <c r="Z481" s="408">
        <v>0</v>
      </c>
      <c r="AA481" s="408">
        <v>0</v>
      </c>
      <c r="AB481" s="408">
        <v>0</v>
      </c>
      <c r="AC481" s="408">
        <v>0</v>
      </c>
      <c r="AD481" s="408">
        <v>22100.279134726861</v>
      </c>
      <c r="AE481" s="408">
        <v>38343.888802552698</v>
      </c>
      <c r="AF481" s="408"/>
      <c r="AG481" s="408"/>
      <c r="AH481" s="408"/>
      <c r="AI481" s="408">
        <v>0</v>
      </c>
      <c r="AJ481" s="408">
        <v>0</v>
      </c>
      <c r="AK481" s="408">
        <v>0</v>
      </c>
      <c r="AL481" s="408">
        <v>0</v>
      </c>
      <c r="AM481" s="408"/>
      <c r="AN481" s="408">
        <v>0</v>
      </c>
      <c r="AO481" s="408">
        <v>0</v>
      </c>
      <c r="AP481" s="408">
        <v>0</v>
      </c>
      <c r="AQ481" s="408">
        <v>0</v>
      </c>
      <c r="AR481" s="408">
        <v>0</v>
      </c>
      <c r="AS481" s="408"/>
      <c r="AT481" s="408"/>
      <c r="AU481" s="408">
        <v>0</v>
      </c>
      <c r="AV481" s="408">
        <v>0</v>
      </c>
      <c r="AW481" s="408">
        <v>0</v>
      </c>
      <c r="AX481" s="408"/>
      <c r="AY481" s="408"/>
      <c r="AZ481" s="408">
        <v>0</v>
      </c>
      <c r="BA481" s="408"/>
      <c r="BB481" s="408">
        <v>0</v>
      </c>
      <c r="BC481" s="408">
        <v>0</v>
      </c>
      <c r="BD481" s="408">
        <v>0</v>
      </c>
      <c r="BE481" s="408">
        <v>0</v>
      </c>
      <c r="BF481" s="408"/>
      <c r="BG481" s="408">
        <v>0</v>
      </c>
      <c r="BH481" s="408">
        <v>0</v>
      </c>
      <c r="BI481" s="408">
        <v>0</v>
      </c>
      <c r="BJ481" s="408">
        <v>0</v>
      </c>
      <c r="BK481" s="408">
        <v>5.4</v>
      </c>
      <c r="BL481" s="408">
        <v>3</v>
      </c>
      <c r="BM481" s="408"/>
      <c r="BN481" s="408"/>
      <c r="BO481" s="408"/>
      <c r="BP481" s="408"/>
      <c r="BQ481" s="408"/>
      <c r="BR481" s="408">
        <v>1475.241600000001</v>
      </c>
      <c r="BS481" s="408"/>
      <c r="BT481" s="408"/>
      <c r="BU481" s="408"/>
      <c r="BV481" s="408">
        <v>0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35405.7984</v>
      </c>
      <c r="CJ481" s="408">
        <v>-22621.700400000002</v>
      </c>
      <c r="CK481" s="408"/>
      <c r="CL481" s="408"/>
      <c r="CM481" s="408"/>
      <c r="CN481" s="408"/>
      <c r="CO481" s="408">
        <v>-23564.239999999998</v>
      </c>
      <c r="CP481" s="408">
        <v>0</v>
      </c>
      <c r="CQ481" s="408">
        <v>30</v>
      </c>
      <c r="CR481" s="408">
        <v>-56.799663569596305</v>
      </c>
      <c r="CS481" s="408">
        <v>0</v>
      </c>
      <c r="CT481" s="408">
        <v>0</v>
      </c>
      <c r="CU481" s="408">
        <v>0</v>
      </c>
      <c r="CV481" s="408">
        <v>0</v>
      </c>
      <c r="CW481" s="408"/>
      <c r="CX481" s="408"/>
      <c r="CY481" s="408"/>
      <c r="CZ481" s="408">
        <v>-56.799663569596305</v>
      </c>
      <c r="DA481" s="408">
        <v>0</v>
      </c>
      <c r="DB481" s="408">
        <v>0</v>
      </c>
      <c r="DC481" s="408"/>
      <c r="DD481" s="408"/>
      <c r="DE481" s="408">
        <v>0</v>
      </c>
      <c r="DF481" s="408">
        <v>0</v>
      </c>
      <c r="DG481" s="408">
        <v>0</v>
      </c>
      <c r="DH481" s="408">
        <v>0</v>
      </c>
      <c r="DI481" s="408">
        <v>0</v>
      </c>
      <c r="DJ481" s="408"/>
      <c r="DK481" s="408">
        <v>0</v>
      </c>
      <c r="DL481" s="408">
        <v>0</v>
      </c>
      <c r="DM481" s="408"/>
      <c r="DN481" s="408">
        <v>0</v>
      </c>
      <c r="DO481" s="408">
        <v>0</v>
      </c>
      <c r="DP481" s="408">
        <v>0</v>
      </c>
      <c r="DQ481" s="408">
        <v>0</v>
      </c>
      <c r="DR481" s="408">
        <v>0</v>
      </c>
      <c r="DS481" s="408"/>
      <c r="DT481" s="408"/>
      <c r="DU481" s="408">
        <v>38343.888802552698</v>
      </c>
      <c r="DV481" s="408"/>
      <c r="DW481" s="408">
        <v>0</v>
      </c>
      <c r="DX481" s="408">
        <v>0</v>
      </c>
      <c r="DY481" s="408">
        <v>-23564.239999999998</v>
      </c>
      <c r="DZ481" s="408"/>
      <c r="EA481" s="408">
        <v>0</v>
      </c>
      <c r="EB481" s="408"/>
      <c r="EC481" s="408">
        <v>-23510.368370694814</v>
      </c>
      <c r="ED481" s="408"/>
      <c r="EE481" s="408">
        <v>0</v>
      </c>
      <c r="EF481" s="408">
        <v>0</v>
      </c>
      <c r="EG481" s="408"/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/>
      <c r="EN481" s="408"/>
      <c r="EO481" s="408">
        <v>0</v>
      </c>
      <c r="EP481" s="408">
        <v>0</v>
      </c>
      <c r="EQ481" s="408"/>
      <c r="ER481" s="408">
        <v>0</v>
      </c>
      <c r="ES481" s="408"/>
      <c r="ET481" s="408">
        <v>0</v>
      </c>
      <c r="EU481" s="408"/>
      <c r="EV481" s="408">
        <v>265</v>
      </c>
      <c r="EW481" s="408"/>
      <c r="EX481" s="408"/>
      <c r="EY481" s="408"/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488</v>
      </c>
      <c r="B482" s="408" t="s">
        <v>1031</v>
      </c>
      <c r="C482" s="408" t="s">
        <v>2227</v>
      </c>
      <c r="D482" s="408" t="s">
        <v>1952</v>
      </c>
      <c r="E482" s="408" t="s">
        <v>2238</v>
      </c>
      <c r="F482" s="408" t="s">
        <v>1317</v>
      </c>
      <c r="G482" s="408" t="s">
        <v>1317</v>
      </c>
      <c r="H482" s="408" t="s">
        <v>1317</v>
      </c>
      <c r="I482" s="408" t="s">
        <v>1317</v>
      </c>
      <c r="J482" s="408" t="s">
        <v>2228</v>
      </c>
      <c r="K482" s="828">
        <v>44652</v>
      </c>
      <c r="L482" s="408">
        <v>0</v>
      </c>
      <c r="M482" s="408">
        <v>0</v>
      </c>
      <c r="N482" s="408">
        <v>196.91</v>
      </c>
      <c r="O482" s="408">
        <v>196.91</v>
      </c>
      <c r="P482" s="408">
        <v>196.91</v>
      </c>
      <c r="Q482" s="408">
        <v>196.91</v>
      </c>
      <c r="R482" s="408"/>
      <c r="S482" s="408">
        <v>739.04</v>
      </c>
      <c r="T482" s="408">
        <v>252.22</v>
      </c>
      <c r="U482" s="408"/>
      <c r="V482" s="408">
        <v>195189.00659999999</v>
      </c>
      <c r="W482" s="408">
        <v>195189.00659999999</v>
      </c>
      <c r="X482" s="408">
        <v>133499.07269999999</v>
      </c>
      <c r="Y482" s="408">
        <v>0</v>
      </c>
      <c r="Z482" s="408">
        <v>12179.505070714895</v>
      </c>
      <c r="AA482" s="408">
        <v>0</v>
      </c>
      <c r="AB482" s="408">
        <v>0</v>
      </c>
      <c r="AC482" s="408">
        <v>0</v>
      </c>
      <c r="AD482" s="408">
        <v>24317.908654277631</v>
      </c>
      <c r="AE482" s="408">
        <v>99830.961801240395</v>
      </c>
      <c r="AF482" s="408">
        <v>49665.185143887997</v>
      </c>
      <c r="AG482" s="408">
        <v>0</v>
      </c>
      <c r="AH482" s="408">
        <v>0</v>
      </c>
      <c r="AI482" s="408">
        <v>0</v>
      </c>
      <c r="AJ482" s="408">
        <v>0</v>
      </c>
      <c r="AK482" s="408">
        <v>0</v>
      </c>
      <c r="AL482" s="408">
        <v>1882.6622566212964</v>
      </c>
      <c r="AM482" s="408"/>
      <c r="AN482" s="408">
        <v>461.41891535055203</v>
      </c>
      <c r="AO482" s="408">
        <v>0</v>
      </c>
      <c r="AP482" s="408">
        <v>0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>
        <v>0</v>
      </c>
      <c r="BG482" s="408">
        <v>6851.3353661123947</v>
      </c>
      <c r="BH482" s="408">
        <v>0</v>
      </c>
      <c r="BI482" s="408">
        <v>0</v>
      </c>
      <c r="BJ482" s="408">
        <v>0</v>
      </c>
      <c r="BK482" s="408">
        <v>48711.4</v>
      </c>
      <c r="BL482" s="408">
        <v>379</v>
      </c>
      <c r="BM482" s="408"/>
      <c r="BN482" s="408"/>
      <c r="BO482" s="408"/>
      <c r="BP482" s="408"/>
      <c r="BQ482" s="408"/>
      <c r="BR482" s="408"/>
      <c r="BS482" s="408"/>
      <c r="BT482" s="408"/>
      <c r="BU482" s="408"/>
      <c r="BV482" s="408">
        <v>56516.520510000395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133499.07269999999</v>
      </c>
      <c r="CJ482" s="408">
        <v>-61689.963900000032</v>
      </c>
      <c r="CK482" s="408"/>
      <c r="CL482" s="408"/>
      <c r="CM482" s="408"/>
      <c r="CN482" s="408"/>
      <c r="CO482" s="408">
        <v>-61689.933899999989</v>
      </c>
      <c r="CP482" s="408">
        <v>0</v>
      </c>
      <c r="CQ482" s="408">
        <v>30</v>
      </c>
      <c r="CR482" s="408">
        <v>-478.92389748820278</v>
      </c>
      <c r="CS482" s="408">
        <v>0</v>
      </c>
      <c r="CT482" s="408">
        <v>0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-62.499166723529925</v>
      </c>
      <c r="DA482" s="408">
        <v>0</v>
      </c>
      <c r="DB482" s="408">
        <v>0</v>
      </c>
      <c r="DC482" s="408">
        <v>-6.9627421908080578E-6</v>
      </c>
      <c r="DD482" s="408">
        <v>0</v>
      </c>
      <c r="DE482" s="408">
        <v>0</v>
      </c>
      <c r="DF482" s="408">
        <v>0</v>
      </c>
      <c r="DG482" s="408">
        <v>-9.6050825959537178E-7</v>
      </c>
      <c r="DH482" s="408">
        <v>0</v>
      </c>
      <c r="DI482" s="408">
        <v>-354.14455336915125</v>
      </c>
      <c r="DJ482" s="408"/>
      <c r="DK482" s="408">
        <v>0</v>
      </c>
      <c r="DL482" s="408">
        <v>0</v>
      </c>
      <c r="DM482" s="408">
        <v>0</v>
      </c>
      <c r="DN482" s="408">
        <v>0</v>
      </c>
      <c r="DO482" s="408">
        <v>-47.296456017395712</v>
      </c>
      <c r="DP482" s="408">
        <v>-14.983713454878</v>
      </c>
      <c r="DQ482" s="408">
        <v>0</v>
      </c>
      <c r="DR482" s="408">
        <v>0</v>
      </c>
      <c r="DS482" s="408"/>
      <c r="DT482" s="408"/>
      <c r="DU482" s="408"/>
      <c r="DV482" s="408">
        <v>99830.961801240395</v>
      </c>
      <c r="DW482" s="408">
        <v>0</v>
      </c>
      <c r="DX482" s="408">
        <v>0</v>
      </c>
      <c r="DY482" s="408">
        <v>-61689.933900000004</v>
      </c>
      <c r="DZ482" s="408">
        <v>0</v>
      </c>
      <c r="EA482" s="408">
        <v>0</v>
      </c>
      <c r="EB482" s="408">
        <v>0</v>
      </c>
      <c r="EC482" s="408">
        <v>-61210.867234511396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265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489</v>
      </c>
      <c r="B483" s="408" t="s">
        <v>2229</v>
      </c>
      <c r="C483" s="408" t="s">
        <v>2227</v>
      </c>
      <c r="D483" s="408" t="s">
        <v>1952</v>
      </c>
      <c r="E483" s="408" t="s">
        <v>2238</v>
      </c>
      <c r="F483" s="408" t="s">
        <v>1317</v>
      </c>
      <c r="G483" s="408" t="s">
        <v>1317</v>
      </c>
      <c r="H483" s="408" t="s">
        <v>1317</v>
      </c>
      <c r="I483" s="408" t="s">
        <v>1317</v>
      </c>
      <c r="J483" s="408" t="s">
        <v>2228</v>
      </c>
      <c r="K483" s="828">
        <v>44652</v>
      </c>
      <c r="L483" s="408">
        <v>0</v>
      </c>
      <c r="M483" s="408">
        <v>0</v>
      </c>
      <c r="N483" s="408">
        <v>-0.03</v>
      </c>
      <c r="O483" s="408">
        <v>-0.03</v>
      </c>
      <c r="P483" s="408">
        <v>-0.03</v>
      </c>
      <c r="Q483" s="408">
        <v>-0.03</v>
      </c>
      <c r="R483" s="408"/>
      <c r="S483" s="408">
        <v>739.04</v>
      </c>
      <c r="T483" s="408">
        <v>252.22</v>
      </c>
      <c r="U483" s="408"/>
      <c r="V483" s="408">
        <v>-29.7378</v>
      </c>
      <c r="W483" s="408">
        <v>-29.7378</v>
      </c>
      <c r="X483" s="408">
        <v>-20.339099999999998</v>
      </c>
      <c r="Y483" s="408">
        <v>0</v>
      </c>
      <c r="Z483" s="408">
        <v>-1.855594698702183</v>
      </c>
      <c r="AA483" s="408">
        <v>0</v>
      </c>
      <c r="AB483" s="408">
        <v>0</v>
      </c>
      <c r="AC483" s="408">
        <v>0</v>
      </c>
      <c r="AD483" s="408">
        <v>-3.7049274268870498</v>
      </c>
      <c r="AE483" s="408">
        <v>-15.209633101605869</v>
      </c>
      <c r="AF483" s="408">
        <v>-7.5666830243087695</v>
      </c>
      <c r="AG483" s="408">
        <v>0</v>
      </c>
      <c r="AH483" s="408">
        <v>0</v>
      </c>
      <c r="AI483" s="408">
        <v>0</v>
      </c>
      <c r="AJ483" s="408">
        <v>0</v>
      </c>
      <c r="AK483" s="408">
        <v>0</v>
      </c>
      <c r="AL483" s="408">
        <v>-0.2868308755199781</v>
      </c>
      <c r="AM483" s="408"/>
      <c r="AN483" s="408">
        <v>-7.0298956175494184E-2</v>
      </c>
      <c r="AO483" s="408">
        <v>0</v>
      </c>
      <c r="AP483" s="408">
        <v>0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</v>
      </c>
      <c r="BF483" s="408">
        <v>0</v>
      </c>
      <c r="BG483" s="408">
        <v>-1.0438274388470461</v>
      </c>
      <c r="BH483" s="408">
        <v>0</v>
      </c>
      <c r="BI483" s="408">
        <v>0</v>
      </c>
      <c r="BJ483" s="408">
        <v>0</v>
      </c>
      <c r="BK483" s="408">
        <v>-8.19</v>
      </c>
      <c r="BL483" s="408">
        <v>0</v>
      </c>
      <c r="BM483" s="408"/>
      <c r="BN483" s="408"/>
      <c r="BO483" s="408"/>
      <c r="BP483" s="408"/>
      <c r="BQ483" s="408"/>
      <c r="BR483" s="408"/>
      <c r="BS483" s="408"/>
      <c r="BT483" s="408"/>
      <c r="BU483" s="408"/>
      <c r="BV483" s="408">
        <v>-8.6105104631558156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-20.339099999999998</v>
      </c>
      <c r="CJ483" s="408">
        <v>9.3686999999999969</v>
      </c>
      <c r="CK483" s="408"/>
      <c r="CL483" s="408"/>
      <c r="CM483" s="408"/>
      <c r="CN483" s="408"/>
      <c r="CO483" s="408">
        <v>9.3986999999999981</v>
      </c>
      <c r="CP483" s="408">
        <v>0</v>
      </c>
      <c r="CQ483" s="408">
        <v>30</v>
      </c>
      <c r="CR483" s="408">
        <v>7.2965907900288229E-2</v>
      </c>
      <c r="CS483" s="408">
        <v>0</v>
      </c>
      <c r="CT483" s="408">
        <v>0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9.5219897501701567E-3</v>
      </c>
      <c r="DA483" s="408">
        <v>0</v>
      </c>
      <c r="DB483" s="408">
        <v>0</v>
      </c>
      <c r="DC483" s="408">
        <v>1.0608003364609431E-9</v>
      </c>
      <c r="DD483" s="408">
        <v>0</v>
      </c>
      <c r="DE483" s="408">
        <v>0</v>
      </c>
      <c r="DF483" s="408">
        <v>0</v>
      </c>
      <c r="DG483" s="408">
        <v>1.4633716460821233E-10</v>
      </c>
      <c r="DH483" s="408">
        <v>0</v>
      </c>
      <c r="DI483" s="408">
        <v>5.3955292270958966E-2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7.2057979814223461E-3</v>
      </c>
      <c r="DP483" s="408">
        <v>2.2828266906014943E-3</v>
      </c>
      <c r="DQ483" s="408">
        <v>0</v>
      </c>
      <c r="DR483" s="408">
        <v>0</v>
      </c>
      <c r="DS483" s="408"/>
      <c r="DT483" s="408"/>
      <c r="DU483" s="408"/>
      <c r="DV483" s="408">
        <v>-15.209633101605869</v>
      </c>
      <c r="DW483" s="408">
        <v>0</v>
      </c>
      <c r="DX483" s="408">
        <v>0</v>
      </c>
      <c r="DY483" s="408">
        <v>9.3986999999999998</v>
      </c>
      <c r="DZ483" s="408">
        <v>0</v>
      </c>
      <c r="EA483" s="408">
        <v>0</v>
      </c>
      <c r="EB483" s="408">
        <v>0</v>
      </c>
      <c r="EC483" s="408">
        <v>9.3257123408427276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265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490</v>
      </c>
      <c r="B484" s="408" t="s">
        <v>2230</v>
      </c>
      <c r="C484" s="408" t="s">
        <v>2227</v>
      </c>
      <c r="D484" s="408" t="s">
        <v>1952</v>
      </c>
      <c r="E484" s="408" t="s">
        <v>2238</v>
      </c>
      <c r="F484" s="408" t="s">
        <v>1317</v>
      </c>
      <c r="G484" s="408" t="s">
        <v>1317</v>
      </c>
      <c r="H484" s="408" t="s">
        <v>1317</v>
      </c>
      <c r="I484" s="408" t="s">
        <v>1317</v>
      </c>
      <c r="J484" s="408" t="s">
        <v>2228</v>
      </c>
      <c r="K484" s="828">
        <v>44652</v>
      </c>
      <c r="L484" s="408">
        <v>0</v>
      </c>
      <c r="M484" s="408">
        <v>0</v>
      </c>
      <c r="N484" s="408">
        <v>2.5739999999999998</v>
      </c>
      <c r="O484" s="408">
        <v>2.5739999999999998</v>
      </c>
      <c r="P484" s="408">
        <v>2.5739999999999998</v>
      </c>
      <c r="Q484" s="408">
        <v>2.5739999999999998</v>
      </c>
      <c r="R484" s="408"/>
      <c r="S484" s="408">
        <v>739.04</v>
      </c>
      <c r="T484" s="408">
        <v>252.22</v>
      </c>
      <c r="U484" s="408"/>
      <c r="V484" s="408">
        <v>2551.50324</v>
      </c>
      <c r="W484" s="408">
        <v>2551.50324</v>
      </c>
      <c r="X484" s="408">
        <v>1745.0947799999999</v>
      </c>
      <c r="Y484" s="408">
        <v>0</v>
      </c>
      <c r="Z484" s="408">
        <v>159.2100251486473</v>
      </c>
      <c r="AA484" s="408">
        <v>0</v>
      </c>
      <c r="AB484" s="408">
        <v>0</v>
      </c>
      <c r="AC484" s="408">
        <v>0</v>
      </c>
      <c r="AD484" s="408">
        <v>317.88277322690885</v>
      </c>
      <c r="AE484" s="408">
        <v>1304.9865201177836</v>
      </c>
      <c r="AF484" s="408">
        <v>649.22140348569246</v>
      </c>
      <c r="AG484" s="408">
        <v>0</v>
      </c>
      <c r="AH484" s="408">
        <v>0</v>
      </c>
      <c r="AI484" s="408">
        <v>0</v>
      </c>
      <c r="AJ484" s="408">
        <v>0</v>
      </c>
      <c r="AK484" s="408">
        <v>0</v>
      </c>
      <c r="AL484" s="408">
        <v>24.61008911961412</v>
      </c>
      <c r="AM484" s="408"/>
      <c r="AN484" s="408">
        <v>6.0316504398574011</v>
      </c>
      <c r="AO484" s="408">
        <v>0</v>
      </c>
      <c r="AP484" s="408">
        <v>0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0</v>
      </c>
      <c r="BF484" s="408">
        <v>0</v>
      </c>
      <c r="BG484" s="408">
        <v>89.560394253076552</v>
      </c>
      <c r="BH484" s="408">
        <v>0</v>
      </c>
      <c r="BI484" s="408">
        <v>0</v>
      </c>
      <c r="BJ484" s="408">
        <v>0</v>
      </c>
      <c r="BK484" s="408">
        <v>752.85</v>
      </c>
      <c r="BL484" s="408">
        <v>3</v>
      </c>
      <c r="BM484" s="408"/>
      <c r="BN484" s="408"/>
      <c r="BO484" s="408"/>
      <c r="BP484" s="408"/>
      <c r="BQ484" s="408"/>
      <c r="BR484" s="408"/>
      <c r="BS484" s="408"/>
      <c r="BT484" s="408"/>
      <c r="BU484" s="408"/>
      <c r="BV484" s="408">
        <v>738.781797738769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1742.3829000000001</v>
      </c>
      <c r="CJ484" s="408">
        <v>-809.15033999999969</v>
      </c>
      <c r="CK484" s="408"/>
      <c r="CL484" s="408"/>
      <c r="CM484" s="408"/>
      <c r="CN484" s="408"/>
      <c r="CO484" s="408">
        <v>-806.40845999999988</v>
      </c>
      <c r="CP484" s="408">
        <v>0</v>
      </c>
      <c r="CQ484" s="408">
        <v>30</v>
      </c>
      <c r="CR484" s="408">
        <v>-6.2604748978449152</v>
      </c>
      <c r="CS484" s="408">
        <v>0</v>
      </c>
      <c r="CT484" s="408">
        <v>0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-0.81698672056455734</v>
      </c>
      <c r="DA484" s="408">
        <v>0</v>
      </c>
      <c r="DB484" s="408">
        <v>0</v>
      </c>
      <c r="DC484" s="408">
        <v>-9.1016659098386299E-8</v>
      </c>
      <c r="DD484" s="408">
        <v>0</v>
      </c>
      <c r="DE484" s="408">
        <v>0</v>
      </c>
      <c r="DF484" s="408">
        <v>0</v>
      </c>
      <c r="DG484" s="408">
        <v>-1.2555730677377142E-8</v>
      </c>
      <c r="DH484" s="408">
        <v>0</v>
      </c>
      <c r="DI484" s="408">
        <v>-4.629364076848276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-0.61825746680603544</v>
      </c>
      <c r="DP484" s="408">
        <v>-0.19586653005360777</v>
      </c>
      <c r="DQ484" s="408">
        <v>0</v>
      </c>
      <c r="DR484" s="408">
        <v>0</v>
      </c>
      <c r="DS484" s="408"/>
      <c r="DT484" s="408"/>
      <c r="DU484" s="408"/>
      <c r="DV484" s="408">
        <v>1304.9865201177836</v>
      </c>
      <c r="DW484" s="408">
        <v>0</v>
      </c>
      <c r="DX484" s="408">
        <v>0</v>
      </c>
      <c r="DY484" s="408">
        <v>-806.40845999999988</v>
      </c>
      <c r="DZ484" s="408">
        <v>0</v>
      </c>
      <c r="EA484" s="408">
        <v>0</v>
      </c>
      <c r="EB484" s="408">
        <v>0</v>
      </c>
      <c r="EC484" s="408">
        <v>-800.1461188443061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265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491</v>
      </c>
      <c r="B485" s="408" t="s">
        <v>1031</v>
      </c>
      <c r="C485" s="408" t="s">
        <v>2227</v>
      </c>
      <c r="D485" s="408" t="s">
        <v>2240</v>
      </c>
      <c r="E485" s="408" t="s">
        <v>2241</v>
      </c>
      <c r="F485" s="408" t="s">
        <v>2242</v>
      </c>
      <c r="G485" s="408" t="s">
        <v>1317</v>
      </c>
      <c r="H485" s="408" t="s">
        <v>1317</v>
      </c>
      <c r="I485" s="408" t="s">
        <v>1317</v>
      </c>
      <c r="J485" s="408" t="s">
        <v>2228</v>
      </c>
      <c r="K485" s="828">
        <v>44652</v>
      </c>
      <c r="L485" s="408">
        <v>0</v>
      </c>
      <c r="M485" s="408">
        <v>0</v>
      </c>
      <c r="N485" s="408">
        <v>415.815</v>
      </c>
      <c r="O485" s="408">
        <v>415.815</v>
      </c>
      <c r="P485" s="408">
        <v>415.815</v>
      </c>
      <c r="Q485" s="408">
        <v>415.815</v>
      </c>
      <c r="R485" s="408"/>
      <c r="S485" s="408">
        <v>406.47</v>
      </c>
      <c r="T485" s="408">
        <v>138.72</v>
      </c>
      <c r="U485" s="408"/>
      <c r="V485" s="408">
        <v>226698.17985000001</v>
      </c>
      <c r="W485" s="408">
        <v>226698.17985000001</v>
      </c>
      <c r="X485" s="408">
        <v>155049.09719999999</v>
      </c>
      <c r="Y485" s="408">
        <v>0</v>
      </c>
      <c r="Z485" s="408">
        <v>14145.70867674886</v>
      </c>
      <c r="AA485" s="408">
        <v>0</v>
      </c>
      <c r="AB485" s="408">
        <v>0</v>
      </c>
      <c r="AC485" s="408">
        <v>0</v>
      </c>
      <c r="AD485" s="408">
        <v>28243.680630202482</v>
      </c>
      <c r="AE485" s="408">
        <v>115947.2157826445</v>
      </c>
      <c r="AF485" s="408">
        <v>57682.905532137251</v>
      </c>
      <c r="AG485" s="408">
        <v>0</v>
      </c>
      <c r="AH485" s="408">
        <v>0</v>
      </c>
      <c r="AI485" s="408">
        <v>0</v>
      </c>
      <c r="AJ485" s="408">
        <v>0</v>
      </c>
      <c r="AK485" s="408">
        <v>0</v>
      </c>
      <c r="AL485" s="408">
        <v>2186.5906425795615</v>
      </c>
      <c r="AM485" s="408"/>
      <c r="AN485" s="408">
        <v>535.90827513874183</v>
      </c>
      <c r="AO485" s="408">
        <v>0</v>
      </c>
      <c r="AP485" s="408">
        <v>0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>
        <v>0</v>
      </c>
      <c r="BG485" s="408">
        <v>7957.3836188767109</v>
      </c>
      <c r="BH485" s="408">
        <v>0</v>
      </c>
      <c r="BI485" s="408">
        <v>0</v>
      </c>
      <c r="BJ485" s="408">
        <v>0</v>
      </c>
      <c r="BK485" s="408">
        <v>49131.32</v>
      </c>
      <c r="BL485" s="408">
        <v>39</v>
      </c>
      <c r="BM485" s="408"/>
      <c r="BN485" s="408"/>
      <c r="BO485" s="408"/>
      <c r="BP485" s="408"/>
      <c r="BQ485" s="408"/>
      <c r="BR485" s="408"/>
      <c r="BS485" s="408"/>
      <c r="BT485" s="408"/>
      <c r="BU485" s="408"/>
      <c r="BV485" s="408">
        <v>65640.28915101396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155050.96160000001</v>
      </c>
      <c r="CJ485" s="408">
        <v>-71647.248250000033</v>
      </c>
      <c r="CK485" s="408"/>
      <c r="CL485" s="408"/>
      <c r="CM485" s="408"/>
      <c r="CN485" s="408"/>
      <c r="CO485" s="408">
        <v>-71649.082650000011</v>
      </c>
      <c r="CP485" s="408">
        <v>0</v>
      </c>
      <c r="CQ485" s="408">
        <v>30</v>
      </c>
      <c r="CR485" s="408">
        <v>-556.23918154819694</v>
      </c>
      <c r="CS485" s="408">
        <v>0</v>
      </c>
      <c r="CT485" s="408">
        <v>0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-72.588746412788169</v>
      </c>
      <c r="DA485" s="408">
        <v>0</v>
      </c>
      <c r="DB485" s="408">
        <v>0</v>
      </c>
      <c r="DC485" s="408">
        <v>-8.0863464972935617E-6</v>
      </c>
      <c r="DD485" s="408">
        <v>0</v>
      </c>
      <c r="DE485" s="408">
        <v>0</v>
      </c>
      <c r="DF485" s="408">
        <v>0</v>
      </c>
      <c r="DG485" s="408">
        <v>-1.1155480024171993E-6</v>
      </c>
      <c r="DH485" s="408">
        <v>0</v>
      </c>
      <c r="DI485" s="408">
        <v>-411.31603068688855</v>
      </c>
      <c r="DJ485" s="408"/>
      <c r="DK485" s="408">
        <v>0</v>
      </c>
      <c r="DL485" s="408">
        <v>0</v>
      </c>
      <c r="DM485" s="408">
        <v>0</v>
      </c>
      <c r="DN485" s="408">
        <v>0</v>
      </c>
      <c r="DO485" s="408">
        <v>-54.931779606828968</v>
      </c>
      <c r="DP485" s="408">
        <v>-17.402615639796181</v>
      </c>
      <c r="DQ485" s="408">
        <v>0</v>
      </c>
      <c r="DR485" s="408">
        <v>0</v>
      </c>
      <c r="DS485" s="408"/>
      <c r="DT485" s="408"/>
      <c r="DU485" s="408"/>
      <c r="DV485" s="408">
        <v>115947.2157826445</v>
      </c>
      <c r="DW485" s="408">
        <v>0</v>
      </c>
      <c r="DX485" s="408">
        <v>0</v>
      </c>
      <c r="DY485" s="408">
        <v>-71649.082650000011</v>
      </c>
      <c r="DZ485" s="408">
        <v>0</v>
      </c>
      <c r="EA485" s="408">
        <v>0</v>
      </c>
      <c r="EB485" s="408">
        <v>0</v>
      </c>
      <c r="EC485" s="408">
        <v>-71092.469745137845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265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492</v>
      </c>
      <c r="B486" s="408" t="s">
        <v>2229</v>
      </c>
      <c r="C486" s="408" t="s">
        <v>2227</v>
      </c>
      <c r="D486" s="408" t="s">
        <v>2240</v>
      </c>
      <c r="E486" s="408" t="s">
        <v>2241</v>
      </c>
      <c r="F486" s="408" t="s">
        <v>2242</v>
      </c>
      <c r="G486" s="408" t="s">
        <v>1317</v>
      </c>
      <c r="H486" s="408" t="s">
        <v>1317</v>
      </c>
      <c r="I486" s="408" t="s">
        <v>1317</v>
      </c>
      <c r="J486" s="408" t="s">
        <v>2228</v>
      </c>
      <c r="K486" s="828">
        <v>44652</v>
      </c>
      <c r="L486" s="408">
        <v>0</v>
      </c>
      <c r="M486" s="408">
        <v>0</v>
      </c>
      <c r="N486" s="408">
        <v>-519.51099999999997</v>
      </c>
      <c r="O486" s="408">
        <v>-519.51099999999997</v>
      </c>
      <c r="P486" s="408">
        <v>-519.51099999999997</v>
      </c>
      <c r="Q486" s="408">
        <v>-519.51099999999997</v>
      </c>
      <c r="R486" s="408"/>
      <c r="S486" s="408">
        <v>406.47</v>
      </c>
      <c r="T486" s="408">
        <v>138.72</v>
      </c>
      <c r="U486" s="408"/>
      <c r="V486" s="408">
        <v>-283232.20209000004</v>
      </c>
      <c r="W486" s="408">
        <v>-283232.20209000004</v>
      </c>
      <c r="X486" s="408">
        <v>-193715.26168</v>
      </c>
      <c r="Y486" s="408">
        <v>0</v>
      </c>
      <c r="Z486" s="408">
        <v>-17673.36738782025</v>
      </c>
      <c r="AA486" s="408">
        <v>0</v>
      </c>
      <c r="AB486" s="408">
        <v>0</v>
      </c>
      <c r="AC486" s="408">
        <v>0</v>
      </c>
      <c r="AD486" s="408">
        <v>-35287.093461941295</v>
      </c>
      <c r="AE486" s="408">
        <v>-144862.1478745534</v>
      </c>
      <c r="AF486" s="408">
        <v>-72067.876185097106</v>
      </c>
      <c r="AG486" s="408">
        <v>0</v>
      </c>
      <c r="AH486" s="408">
        <v>0</v>
      </c>
      <c r="AI486" s="408">
        <v>0</v>
      </c>
      <c r="AJ486" s="408">
        <v>0</v>
      </c>
      <c r="AK486" s="408">
        <v>0</v>
      </c>
      <c r="AL486" s="408">
        <v>-2731.8829078247554</v>
      </c>
      <c r="AM486" s="408"/>
      <c r="AN486" s="408">
        <v>-669.55315206426633</v>
      </c>
      <c r="AO486" s="408">
        <v>0</v>
      </c>
      <c r="AP486" s="408">
        <v>0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>
        <v>0</v>
      </c>
      <c r="BG486" s="408">
        <v>-9941.7970040192358</v>
      </c>
      <c r="BH486" s="408">
        <v>0</v>
      </c>
      <c r="BI486" s="408">
        <v>0</v>
      </c>
      <c r="BJ486" s="408">
        <v>0</v>
      </c>
      <c r="BK486" s="408">
        <v>-66871.45</v>
      </c>
      <c r="BL486" s="408">
        <v>0</v>
      </c>
      <c r="BM486" s="408"/>
      <c r="BN486" s="408"/>
      <c r="BO486" s="408"/>
      <c r="BP486" s="408"/>
      <c r="BQ486" s="408"/>
      <c r="BR486" s="408"/>
      <c r="BS486" s="408"/>
      <c r="BT486" s="408"/>
      <c r="BU486" s="408"/>
      <c r="BV486" s="408">
        <v>-82009.673189116336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-193714.88879999999</v>
      </c>
      <c r="CJ486" s="408">
        <v>89517.283290000021</v>
      </c>
      <c r="CK486" s="408"/>
      <c r="CL486" s="408"/>
      <c r="CM486" s="408"/>
      <c r="CN486" s="408"/>
      <c r="CO486" s="408">
        <v>89516.94041000001</v>
      </c>
      <c r="CP486" s="408">
        <v>0</v>
      </c>
      <c r="CQ486" s="408">
        <v>30</v>
      </c>
      <c r="CR486" s="408">
        <v>694.95418261797749</v>
      </c>
      <c r="CS486" s="408">
        <v>0</v>
      </c>
      <c r="CT486" s="408">
        <v>0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90.690937646919338</v>
      </c>
      <c r="DA486" s="408">
        <v>0</v>
      </c>
      <c r="DB486" s="408">
        <v>0</v>
      </c>
      <c r="DC486" s="408">
        <v>1.0102929081767797E-5</v>
      </c>
      <c r="DD486" s="408">
        <v>0</v>
      </c>
      <c r="DE486" s="408">
        <v>0</v>
      </c>
      <c r="DF486" s="408">
        <v>0</v>
      </c>
      <c r="DG486" s="408">
        <v>1.3937442417955026E-6</v>
      </c>
      <c r="DH486" s="408">
        <v>0</v>
      </c>
      <c r="DI486" s="408">
        <v>513.89007712126113</v>
      </c>
      <c r="DJ486" s="408"/>
      <c r="DK486" s="408">
        <v>0</v>
      </c>
      <c r="DL486" s="408">
        <v>0</v>
      </c>
      <c r="DM486" s="408">
        <v>0</v>
      </c>
      <c r="DN486" s="408">
        <v>0</v>
      </c>
      <c r="DO486" s="408">
        <v>68.630674110658674</v>
      </c>
      <c r="DP486" s="408">
        <v>21.742482242454457</v>
      </c>
      <c r="DQ486" s="408">
        <v>0</v>
      </c>
      <c r="DR486" s="408">
        <v>0</v>
      </c>
      <c r="DS486" s="408"/>
      <c r="DT486" s="408"/>
      <c r="DU486" s="408"/>
      <c r="DV486" s="408">
        <v>-144862.1478745534</v>
      </c>
      <c r="DW486" s="408">
        <v>0</v>
      </c>
      <c r="DX486" s="408">
        <v>0</v>
      </c>
      <c r="DY486" s="408">
        <v>89516.940410000025</v>
      </c>
      <c r="DZ486" s="408">
        <v>0</v>
      </c>
      <c r="EA486" s="408">
        <v>0</v>
      </c>
      <c r="EB486" s="408">
        <v>0</v>
      </c>
      <c r="EC486" s="408">
        <v>88821.519304898335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265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493</v>
      </c>
      <c r="B487" s="408" t="s">
        <v>1031</v>
      </c>
      <c r="C487" s="408" t="s">
        <v>2227</v>
      </c>
      <c r="D487" s="408" t="s">
        <v>1952</v>
      </c>
      <c r="E487" s="408" t="s">
        <v>996</v>
      </c>
      <c r="F487" s="408" t="s">
        <v>2243</v>
      </c>
      <c r="G487" s="408" t="s">
        <v>1317</v>
      </c>
      <c r="H487" s="408" t="s">
        <v>1317</v>
      </c>
      <c r="I487" s="408" t="s">
        <v>1317</v>
      </c>
      <c r="J487" s="408" t="s">
        <v>2228</v>
      </c>
      <c r="K487" s="828">
        <v>44652</v>
      </c>
      <c r="L487" s="408">
        <v>0</v>
      </c>
      <c r="M487" s="408">
        <v>0</v>
      </c>
      <c r="N487" s="408">
        <v>90.352999999999994</v>
      </c>
      <c r="O487" s="408">
        <v>84.931820000000002</v>
      </c>
      <c r="P487" s="408">
        <v>90.352999999999994</v>
      </c>
      <c r="Q487" s="408">
        <v>84.931820000000002</v>
      </c>
      <c r="R487" s="408"/>
      <c r="S487" s="408">
        <v>739.04</v>
      </c>
      <c r="T487" s="408">
        <v>252.22</v>
      </c>
      <c r="U487" s="408"/>
      <c r="V487" s="408">
        <v>89563.314780000001</v>
      </c>
      <c r="W487" s="408">
        <v>89563.314780000001</v>
      </c>
      <c r="X487" s="408">
        <v>61256.62341</v>
      </c>
      <c r="Y487" s="408">
        <v>0</v>
      </c>
      <c r="Z487" s="408">
        <v>5588.6182603946108</v>
      </c>
      <c r="AA487" s="408">
        <v>0</v>
      </c>
      <c r="AB487" s="408">
        <v>0</v>
      </c>
      <c r="AC487" s="408">
        <v>0</v>
      </c>
      <c r="AD487" s="408">
        <v>11158.376926717519</v>
      </c>
      <c r="AE487" s="408">
        <v>45807.865987646503</v>
      </c>
      <c r="AF487" s="408">
        <v>22789.083709845676</v>
      </c>
      <c r="AG487" s="408">
        <v>0</v>
      </c>
      <c r="AH487" s="408">
        <v>0</v>
      </c>
      <c r="AI487" s="408">
        <v>0</v>
      </c>
      <c r="AJ487" s="408">
        <v>0</v>
      </c>
      <c r="AK487" s="408">
        <v>0</v>
      </c>
      <c r="AL487" s="408">
        <v>863.86766986188604</v>
      </c>
      <c r="AM487" s="408"/>
      <c r="AN487" s="408">
        <v>211.72405291081421</v>
      </c>
      <c r="AO487" s="408">
        <v>0</v>
      </c>
      <c r="AP487" s="408">
        <v>0</v>
      </c>
      <c r="AQ487" s="408">
        <v>0</v>
      </c>
      <c r="AR487" s="408">
        <v>0</v>
      </c>
      <c r="AS487" s="408">
        <v>0</v>
      </c>
      <c r="AT487" s="408">
        <v>0</v>
      </c>
      <c r="AU487" s="408">
        <v>0</v>
      </c>
      <c r="AV487" s="408">
        <v>0</v>
      </c>
      <c r="AW487" s="408">
        <v>0</v>
      </c>
      <c r="AX487" s="408">
        <v>0</v>
      </c>
      <c r="AY487" s="408">
        <v>0</v>
      </c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>
        <v>0</v>
      </c>
      <c r="BG487" s="408">
        <v>3143.7646860715718</v>
      </c>
      <c r="BH487" s="408">
        <v>0</v>
      </c>
      <c r="BI487" s="408">
        <v>0</v>
      </c>
      <c r="BJ487" s="408">
        <v>0</v>
      </c>
      <c r="BK487" s="408">
        <v>24266.61</v>
      </c>
      <c r="BL487" s="408">
        <v>28</v>
      </c>
      <c r="BM487" s="408"/>
      <c r="BN487" s="408"/>
      <c r="BO487" s="408"/>
      <c r="BP487" s="408"/>
      <c r="BQ487" s="408">
        <v>3675.3974045999948</v>
      </c>
      <c r="BR487" s="408"/>
      <c r="BS487" s="408"/>
      <c r="BT487" s="408"/>
      <c r="BU487" s="408"/>
      <c r="BV487" s="408">
        <v>25932.848395917248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57579.992100000003</v>
      </c>
      <c r="CJ487" s="408">
        <v>-26609.553793200001</v>
      </c>
      <c r="CK487" s="408"/>
      <c r="CL487" s="408"/>
      <c r="CM487" s="408"/>
      <c r="CN487" s="408"/>
      <c r="CO487" s="408">
        <v>-28306.691369999993</v>
      </c>
      <c r="CP487" s="408">
        <v>0</v>
      </c>
      <c r="CQ487" s="408">
        <v>30</v>
      </c>
      <c r="CR487" s="408">
        <v>-219.7562892171627</v>
      </c>
      <c r="CS487" s="408">
        <v>0</v>
      </c>
      <c r="CT487" s="408">
        <v>0</v>
      </c>
      <c r="CU487" s="408">
        <v>0</v>
      </c>
      <c r="CV487" s="408">
        <v>0</v>
      </c>
      <c r="CW487" s="408">
        <v>0</v>
      </c>
      <c r="CX487" s="408">
        <v>0</v>
      </c>
      <c r="CY487" s="408">
        <v>0</v>
      </c>
      <c r="CZ487" s="408">
        <v>-28.678011329902802</v>
      </c>
      <c r="DA487" s="408">
        <v>0</v>
      </c>
      <c r="DB487" s="408">
        <v>0</v>
      </c>
      <c r="DC487" s="408">
        <v>-3.1948839023243636E-6</v>
      </c>
      <c r="DD487" s="408">
        <v>0</v>
      </c>
      <c r="DE487" s="408">
        <v>0</v>
      </c>
      <c r="DF487" s="408">
        <v>0</v>
      </c>
      <c r="DG487" s="408">
        <v>-4.4073340177419595E-7</v>
      </c>
      <c r="DH487" s="408">
        <v>0</v>
      </c>
      <c r="DI487" s="408">
        <v>-162.50075075193126</v>
      </c>
      <c r="DJ487" s="408"/>
      <c r="DK487" s="408">
        <v>0</v>
      </c>
      <c r="DL487" s="408">
        <v>0</v>
      </c>
      <c r="DM487" s="408">
        <v>0</v>
      </c>
      <c r="DN487" s="408">
        <v>0</v>
      </c>
      <c r="DO487" s="408">
        <v>-21.702182167181718</v>
      </c>
      <c r="DP487" s="408">
        <v>-6.875341332530553</v>
      </c>
      <c r="DQ487" s="408">
        <v>0</v>
      </c>
      <c r="DR487" s="408">
        <v>0</v>
      </c>
      <c r="DS487" s="408"/>
      <c r="DT487" s="408"/>
      <c r="DU487" s="408"/>
      <c r="DV487" s="408">
        <v>45807.865987646503</v>
      </c>
      <c r="DW487" s="408">
        <v>0</v>
      </c>
      <c r="DX487" s="408">
        <v>0</v>
      </c>
      <c r="DY487" s="408">
        <v>-28306.69137</v>
      </c>
      <c r="DZ487" s="408">
        <v>0</v>
      </c>
      <c r="EA487" s="408">
        <v>0</v>
      </c>
      <c r="EB487" s="408">
        <v>0</v>
      </c>
      <c r="EC487" s="408">
        <v>-28086.869571072104</v>
      </c>
      <c r="ED487" s="408">
        <v>0</v>
      </c>
      <c r="EE487" s="408">
        <v>0</v>
      </c>
      <c r="EF487" s="408">
        <v>0</v>
      </c>
      <c r="EG487" s="408">
        <v>0</v>
      </c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>
        <v>0</v>
      </c>
      <c r="EN487" s="408">
        <v>0</v>
      </c>
      <c r="EO487" s="408">
        <v>0</v>
      </c>
      <c r="EP487" s="408">
        <v>0</v>
      </c>
      <c r="EQ487" s="408">
        <v>0</v>
      </c>
      <c r="ER487" s="408">
        <v>0</v>
      </c>
      <c r="ES487" s="408">
        <v>0</v>
      </c>
      <c r="ET487" s="408">
        <v>0</v>
      </c>
      <c r="EU487" s="408">
        <v>0</v>
      </c>
      <c r="EV487" s="408">
        <v>265</v>
      </c>
      <c r="EW487" s="408">
        <v>0</v>
      </c>
      <c r="EX487" s="408">
        <v>0</v>
      </c>
      <c r="EY487" s="408">
        <v>0</v>
      </c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494</v>
      </c>
      <c r="B488" s="408" t="s">
        <v>1031</v>
      </c>
      <c r="C488" s="408" t="s">
        <v>2227</v>
      </c>
      <c r="D488" s="408" t="s">
        <v>1952</v>
      </c>
      <c r="E488" s="408" t="s">
        <v>2244</v>
      </c>
      <c r="F488" s="408" t="s">
        <v>1317</v>
      </c>
      <c r="G488" s="408" t="s">
        <v>1317</v>
      </c>
      <c r="H488" s="408" t="s">
        <v>1317</v>
      </c>
      <c r="I488" s="408" t="s">
        <v>1317</v>
      </c>
      <c r="J488" s="408" t="s">
        <v>2228</v>
      </c>
      <c r="K488" s="828">
        <v>44652</v>
      </c>
      <c r="L488" s="408">
        <v>0</v>
      </c>
      <c r="M488" s="408">
        <v>0</v>
      </c>
      <c r="N488" s="408">
        <v>6.6120000000000001</v>
      </c>
      <c r="O488" s="408">
        <v>6.6120000000000001</v>
      </c>
      <c r="P488" s="408">
        <v>6.6120000000000001</v>
      </c>
      <c r="Q488" s="408">
        <v>6.6120000000000001</v>
      </c>
      <c r="R488" s="408"/>
      <c r="S488" s="408">
        <v>739.04</v>
      </c>
      <c r="T488" s="408">
        <v>252.22</v>
      </c>
      <c r="U488" s="408"/>
      <c r="V488" s="408">
        <v>6554.2111199999999</v>
      </c>
      <c r="W488" s="408">
        <v>6554.2111199999999</v>
      </c>
      <c r="X488" s="408">
        <v>4482.7376400000003</v>
      </c>
      <c r="Y488" s="408">
        <v>0</v>
      </c>
      <c r="Z488" s="408">
        <v>408.97307159396115</v>
      </c>
      <c r="AA488" s="408">
        <v>0</v>
      </c>
      <c r="AB488" s="408">
        <v>0</v>
      </c>
      <c r="AC488" s="408">
        <v>0</v>
      </c>
      <c r="AD488" s="408">
        <v>816.56600488590584</v>
      </c>
      <c r="AE488" s="408">
        <v>3352.2031355939339</v>
      </c>
      <c r="AF488" s="408">
        <v>1667.6969385576531</v>
      </c>
      <c r="AG488" s="408">
        <v>0</v>
      </c>
      <c r="AH488" s="408">
        <v>0</v>
      </c>
      <c r="AI488" s="408">
        <v>0</v>
      </c>
      <c r="AJ488" s="408">
        <v>0</v>
      </c>
      <c r="AK488" s="408">
        <v>0</v>
      </c>
      <c r="AL488" s="408">
        <v>63.217524964603179</v>
      </c>
      <c r="AM488" s="408"/>
      <c r="AN488" s="408">
        <v>15.493889941078921</v>
      </c>
      <c r="AO488" s="408">
        <v>0</v>
      </c>
      <c r="AP488" s="408">
        <v>0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>
        <v>0</v>
      </c>
      <c r="BG488" s="408">
        <v>230.05956752188897</v>
      </c>
      <c r="BH488" s="408">
        <v>0</v>
      </c>
      <c r="BI488" s="408">
        <v>0</v>
      </c>
      <c r="BJ488" s="408">
        <v>0</v>
      </c>
      <c r="BK488" s="408">
        <v>1776.14</v>
      </c>
      <c r="BL488" s="408">
        <v>11</v>
      </c>
      <c r="BM488" s="408"/>
      <c r="BN488" s="408"/>
      <c r="BO488" s="408"/>
      <c r="BP488" s="408"/>
      <c r="BQ488" s="408"/>
      <c r="BR488" s="408"/>
      <c r="BS488" s="408"/>
      <c r="BT488" s="408"/>
      <c r="BU488" s="408"/>
      <c r="BV488" s="408">
        <v>1897.7565060795421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4481.3816999999999</v>
      </c>
      <c r="CJ488" s="408">
        <v>-2072.8594200000007</v>
      </c>
      <c r="CK488" s="408"/>
      <c r="CL488" s="408"/>
      <c r="CM488" s="408"/>
      <c r="CN488" s="408"/>
      <c r="CO488" s="408">
        <v>-2071.4734799999997</v>
      </c>
      <c r="CP488" s="408">
        <v>0</v>
      </c>
      <c r="CQ488" s="408">
        <v>30</v>
      </c>
      <c r="CR488" s="408">
        <v>-16.081686101224932</v>
      </c>
      <c r="CS488" s="408">
        <v>0</v>
      </c>
      <c r="CT488" s="408">
        <v>0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-2.0986465409374659</v>
      </c>
      <c r="DA488" s="408">
        <v>0</v>
      </c>
      <c r="DB488" s="408">
        <v>0</v>
      </c>
      <c r="DC488" s="408">
        <v>-2.3380061975331046E-7</v>
      </c>
      <c r="DD488" s="408">
        <v>0</v>
      </c>
      <c r="DE488" s="408">
        <v>0</v>
      </c>
      <c r="DF488" s="408">
        <v>0</v>
      </c>
      <c r="DG488" s="408">
        <v>-3.2252700066237594E-8</v>
      </c>
      <c r="DH488" s="408">
        <v>0</v>
      </c>
      <c r="DI488" s="408">
        <v>-11.891746416519368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-1.5881578751054874</v>
      </c>
      <c r="DP488" s="408">
        <v>-0.50313500260856969</v>
      </c>
      <c r="DQ488" s="408">
        <v>0</v>
      </c>
      <c r="DR488" s="408">
        <v>0</v>
      </c>
      <c r="DS488" s="408"/>
      <c r="DT488" s="408"/>
      <c r="DU488" s="408"/>
      <c r="DV488" s="408">
        <v>3352.2031355939339</v>
      </c>
      <c r="DW488" s="408">
        <v>0</v>
      </c>
      <c r="DX488" s="408">
        <v>0</v>
      </c>
      <c r="DY488" s="408">
        <v>-2071.4734799999997</v>
      </c>
      <c r="DZ488" s="408">
        <v>0</v>
      </c>
      <c r="EA488" s="408">
        <v>0</v>
      </c>
      <c r="EB488" s="408">
        <v>0</v>
      </c>
      <c r="EC488" s="408">
        <v>-2055.3869999217377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265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495</v>
      </c>
      <c r="B489" s="408" t="s">
        <v>1031</v>
      </c>
      <c r="C489" s="408" t="s">
        <v>2227</v>
      </c>
      <c r="D489" s="408" t="s">
        <v>2237</v>
      </c>
      <c r="E489" s="408" t="s">
        <v>969</v>
      </c>
      <c r="F489" s="408" t="s">
        <v>2245</v>
      </c>
      <c r="G489" s="408" t="s">
        <v>2246</v>
      </c>
      <c r="H489" s="408" t="s">
        <v>1317</v>
      </c>
      <c r="I489" s="408" t="s">
        <v>1317</v>
      </c>
      <c r="J489" s="408" t="s">
        <v>2228</v>
      </c>
      <c r="K489" s="828">
        <v>44652</v>
      </c>
      <c r="L489" s="408">
        <v>0</v>
      </c>
      <c r="M489" s="408">
        <v>0</v>
      </c>
      <c r="N489" s="408">
        <v>0</v>
      </c>
      <c r="O489" s="408">
        <v>0</v>
      </c>
      <c r="P489" s="408">
        <v>0</v>
      </c>
      <c r="Q489" s="408">
        <v>0</v>
      </c>
      <c r="R489" s="408"/>
      <c r="S489" s="408"/>
      <c r="T489" s="408"/>
      <c r="U489" s="408"/>
      <c r="V489" s="408"/>
      <c r="W489" s="408"/>
      <c r="X489" s="408"/>
      <c r="Y489" s="408"/>
      <c r="Z489" s="408"/>
      <c r="AA489" s="408">
        <v>0</v>
      </c>
      <c r="AB489" s="408"/>
      <c r="AC489" s="408"/>
      <c r="AD489" s="408"/>
      <c r="AE489" s="408"/>
      <c r="AF489" s="408"/>
      <c r="AG489" s="408"/>
      <c r="AH489" s="408"/>
      <c r="AI489" s="408"/>
      <c r="AJ489" s="408"/>
      <c r="AK489" s="408"/>
      <c r="AL489" s="408"/>
      <c r="AM489" s="408"/>
      <c r="AN489" s="408"/>
      <c r="AO489" s="408"/>
      <c r="AP489" s="408"/>
      <c r="AQ489" s="408"/>
      <c r="AR489" s="408"/>
      <c r="AS489" s="408"/>
      <c r="AT489" s="408"/>
      <c r="AU489" s="408"/>
      <c r="AV489" s="408"/>
      <c r="AW489" s="408"/>
      <c r="AX489" s="408"/>
      <c r="AY489" s="408"/>
      <c r="AZ489" s="408">
        <v>0</v>
      </c>
      <c r="BA489" s="408"/>
      <c r="BB489" s="408"/>
      <c r="BC489" s="408"/>
      <c r="BD489" s="408"/>
      <c r="BE489" s="408"/>
      <c r="BF489" s="408"/>
      <c r="BG489" s="408"/>
      <c r="BH489" s="408"/>
      <c r="BI489" s="408">
        <v>0</v>
      </c>
      <c r="BJ489" s="408">
        <v>0</v>
      </c>
      <c r="BK489" s="408">
        <v>355.78</v>
      </c>
      <c r="BL489" s="408">
        <v>32</v>
      </c>
      <c r="BM489" s="408"/>
      <c r="BN489" s="408"/>
      <c r="BO489" s="408"/>
      <c r="BP489" s="408"/>
      <c r="BQ489" s="408"/>
      <c r="BR489" s="408"/>
      <c r="BS489" s="408"/>
      <c r="BT489" s="408"/>
      <c r="BU489" s="408"/>
      <c r="BV489" s="408"/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/>
      <c r="CJ489" s="408">
        <v>-0.03</v>
      </c>
      <c r="CK489" s="408"/>
      <c r="CL489" s="408"/>
      <c r="CM489" s="408"/>
      <c r="CN489" s="408"/>
      <c r="CO489" s="408">
        <v>0</v>
      </c>
      <c r="CP489" s="408">
        <v>0</v>
      </c>
      <c r="CQ489" s="408">
        <v>30</v>
      </c>
      <c r="CR489" s="408"/>
      <c r="CS489" s="408"/>
      <c r="CT489" s="408"/>
      <c r="CU489" s="408"/>
      <c r="CV489" s="408"/>
      <c r="CW489" s="408"/>
      <c r="CX489" s="408"/>
      <c r="CY489" s="408"/>
      <c r="CZ489" s="408"/>
      <c r="DA489" s="408"/>
      <c r="DB489" s="408"/>
      <c r="DC489" s="408"/>
      <c r="DD489" s="408"/>
      <c r="DE489" s="408"/>
      <c r="DF489" s="408"/>
      <c r="DG489" s="408"/>
      <c r="DH489" s="408"/>
      <c r="DI489" s="408"/>
      <c r="DJ489" s="408"/>
      <c r="DK489" s="408">
        <v>0</v>
      </c>
      <c r="DL489" s="408"/>
      <c r="DM489" s="408"/>
      <c r="DN489" s="408"/>
      <c r="DO489" s="408"/>
      <c r="DP489" s="408"/>
      <c r="DQ489" s="408"/>
      <c r="DR489" s="408"/>
      <c r="DS489" s="408"/>
      <c r="DT489" s="408"/>
      <c r="DU489" s="408"/>
      <c r="DV489" s="408"/>
      <c r="DW489" s="408"/>
      <c r="DX489" s="408"/>
      <c r="DY489" s="408"/>
      <c r="DZ489" s="408"/>
      <c r="EA489" s="408"/>
      <c r="EB489" s="408"/>
      <c r="EC489" s="408"/>
      <c r="ED489" s="408"/>
      <c r="EE489" s="408"/>
      <c r="EF489" s="408"/>
      <c r="EG489" s="408"/>
      <c r="EH489" s="408"/>
      <c r="EI489" s="408"/>
      <c r="EJ489" s="408"/>
      <c r="EK489" s="408"/>
      <c r="EL489" s="408"/>
      <c r="EM489" s="408"/>
      <c r="EN489" s="408"/>
      <c r="EO489" s="408"/>
      <c r="EP489" s="408"/>
      <c r="EQ489" s="408"/>
      <c r="ER489" s="408"/>
      <c r="ES489" s="408"/>
      <c r="ET489" s="408"/>
      <c r="EU489" s="408"/>
      <c r="EV489" s="408">
        <v>265</v>
      </c>
      <c r="EW489" s="408"/>
      <c r="EX489" s="408"/>
      <c r="EY489" s="408"/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496</v>
      </c>
      <c r="B490" s="408" t="s">
        <v>2230</v>
      </c>
      <c r="C490" s="408" t="s">
        <v>2227</v>
      </c>
      <c r="D490" s="408" t="s">
        <v>2237</v>
      </c>
      <c r="E490" s="408" t="s">
        <v>969</v>
      </c>
      <c r="F490" s="408" t="s">
        <v>2245</v>
      </c>
      <c r="G490" s="408" t="s">
        <v>2246</v>
      </c>
      <c r="H490" s="408" t="s">
        <v>1317</v>
      </c>
      <c r="I490" s="408" t="s">
        <v>1317</v>
      </c>
      <c r="J490" s="408" t="s">
        <v>2228</v>
      </c>
      <c r="K490" s="828">
        <v>44652</v>
      </c>
      <c r="L490" s="408">
        <v>0</v>
      </c>
      <c r="M490" s="408">
        <v>0</v>
      </c>
      <c r="N490" s="408">
        <v>0</v>
      </c>
      <c r="O490" s="408">
        <v>0</v>
      </c>
      <c r="P490" s="408">
        <v>0</v>
      </c>
      <c r="Q490" s="408">
        <v>0</v>
      </c>
      <c r="R490" s="408"/>
      <c r="S490" s="408"/>
      <c r="T490" s="408"/>
      <c r="U490" s="408"/>
      <c r="V490" s="408"/>
      <c r="W490" s="408"/>
      <c r="X490" s="408"/>
      <c r="Y490" s="408"/>
      <c r="Z490" s="408"/>
      <c r="AA490" s="408">
        <v>0</v>
      </c>
      <c r="AB490" s="408"/>
      <c r="AC490" s="408"/>
      <c r="AD490" s="408"/>
      <c r="AE490" s="408"/>
      <c r="AF490" s="408"/>
      <c r="AG490" s="408"/>
      <c r="AH490" s="408"/>
      <c r="AI490" s="408"/>
      <c r="AJ490" s="408"/>
      <c r="AK490" s="408"/>
      <c r="AL490" s="408"/>
      <c r="AM490" s="408"/>
      <c r="AN490" s="408"/>
      <c r="AO490" s="408"/>
      <c r="AP490" s="408"/>
      <c r="AQ490" s="408"/>
      <c r="AR490" s="408"/>
      <c r="AS490" s="408"/>
      <c r="AT490" s="408"/>
      <c r="AU490" s="408"/>
      <c r="AV490" s="408"/>
      <c r="AW490" s="408"/>
      <c r="AX490" s="408"/>
      <c r="AY490" s="408"/>
      <c r="AZ490" s="408">
        <v>0</v>
      </c>
      <c r="BA490" s="408"/>
      <c r="BB490" s="408"/>
      <c r="BC490" s="408"/>
      <c r="BD490" s="408"/>
      <c r="BE490" s="408"/>
      <c r="BF490" s="408"/>
      <c r="BG490" s="408"/>
      <c r="BH490" s="408"/>
      <c r="BI490" s="408">
        <v>0</v>
      </c>
      <c r="BJ490" s="408">
        <v>0</v>
      </c>
      <c r="BK490" s="408">
        <v>43.52</v>
      </c>
      <c r="BL490" s="408">
        <v>4</v>
      </c>
      <c r="BM490" s="408"/>
      <c r="BN490" s="408"/>
      <c r="BO490" s="408"/>
      <c r="BP490" s="408"/>
      <c r="BQ490" s="408"/>
      <c r="BR490" s="408"/>
      <c r="BS490" s="408"/>
      <c r="BT490" s="408"/>
      <c r="BU490" s="408"/>
      <c r="BV490" s="408"/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/>
      <c r="CJ490" s="408">
        <v>-0.03</v>
      </c>
      <c r="CK490" s="408"/>
      <c r="CL490" s="408"/>
      <c r="CM490" s="408"/>
      <c r="CN490" s="408"/>
      <c r="CO490" s="408">
        <v>0</v>
      </c>
      <c r="CP490" s="408">
        <v>0</v>
      </c>
      <c r="CQ490" s="408">
        <v>30</v>
      </c>
      <c r="CR490" s="408"/>
      <c r="CS490" s="408"/>
      <c r="CT490" s="408"/>
      <c r="CU490" s="408"/>
      <c r="CV490" s="408"/>
      <c r="CW490" s="408"/>
      <c r="CX490" s="408"/>
      <c r="CY490" s="408"/>
      <c r="CZ490" s="408"/>
      <c r="DA490" s="408"/>
      <c r="DB490" s="408"/>
      <c r="DC490" s="408"/>
      <c r="DD490" s="408"/>
      <c r="DE490" s="408"/>
      <c r="DF490" s="408"/>
      <c r="DG490" s="408"/>
      <c r="DH490" s="408"/>
      <c r="DI490" s="408"/>
      <c r="DJ490" s="408"/>
      <c r="DK490" s="408">
        <v>0</v>
      </c>
      <c r="DL490" s="408"/>
      <c r="DM490" s="408"/>
      <c r="DN490" s="408"/>
      <c r="DO490" s="408"/>
      <c r="DP490" s="408"/>
      <c r="DQ490" s="408"/>
      <c r="DR490" s="408"/>
      <c r="DS490" s="408"/>
      <c r="DT490" s="408"/>
      <c r="DU490" s="408"/>
      <c r="DV490" s="408"/>
      <c r="DW490" s="408"/>
      <c r="DX490" s="408"/>
      <c r="DY490" s="408"/>
      <c r="DZ490" s="408"/>
      <c r="EA490" s="408"/>
      <c r="EB490" s="408"/>
      <c r="EC490" s="408"/>
      <c r="ED490" s="408"/>
      <c r="EE490" s="408"/>
      <c r="EF490" s="408"/>
      <c r="EG490" s="408"/>
      <c r="EH490" s="408"/>
      <c r="EI490" s="408"/>
      <c r="EJ490" s="408"/>
      <c r="EK490" s="408"/>
      <c r="EL490" s="408"/>
      <c r="EM490" s="408"/>
      <c r="EN490" s="408"/>
      <c r="EO490" s="408"/>
      <c r="EP490" s="408"/>
      <c r="EQ490" s="408"/>
      <c r="ER490" s="408"/>
      <c r="ES490" s="408"/>
      <c r="ET490" s="408"/>
      <c r="EU490" s="408"/>
      <c r="EV490" s="408">
        <v>265</v>
      </c>
      <c r="EW490" s="408"/>
      <c r="EX490" s="408"/>
      <c r="EY490" s="408"/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497</v>
      </c>
      <c r="B491" s="408" t="s">
        <v>1031</v>
      </c>
      <c r="C491" s="408" t="s">
        <v>2227</v>
      </c>
      <c r="D491" s="408" t="s">
        <v>2237</v>
      </c>
      <c r="E491" s="408" t="s">
        <v>969</v>
      </c>
      <c r="F491" s="408" t="s">
        <v>2245</v>
      </c>
      <c r="G491" s="408" t="s">
        <v>2246</v>
      </c>
      <c r="H491" s="408" t="s">
        <v>1317</v>
      </c>
      <c r="I491" s="408" t="s">
        <v>1317</v>
      </c>
      <c r="J491" s="408" t="s">
        <v>2228</v>
      </c>
      <c r="K491" s="828">
        <v>44652</v>
      </c>
      <c r="L491" s="408">
        <v>0</v>
      </c>
      <c r="M491" s="408">
        <v>0</v>
      </c>
      <c r="N491" s="408">
        <v>27.771999999999998</v>
      </c>
      <c r="O491" s="408">
        <v>27.771999999999998</v>
      </c>
      <c r="P491" s="408">
        <v>27.771999999999998</v>
      </c>
      <c r="Q491" s="408">
        <v>27.771999999999998</v>
      </c>
      <c r="R491" s="408"/>
      <c r="S491" s="408">
        <v>739.04</v>
      </c>
      <c r="T491" s="408">
        <v>252.22</v>
      </c>
      <c r="U491" s="408"/>
      <c r="V491" s="408">
        <v>27529.272719999997</v>
      </c>
      <c r="W491" s="408">
        <v>27529.272719999997</v>
      </c>
      <c r="X491" s="408">
        <v>18828.582839999999</v>
      </c>
      <c r="Y491" s="408">
        <v>0</v>
      </c>
      <c r="Z491" s="408">
        <v>1717.7858657452341</v>
      </c>
      <c r="AA491" s="408">
        <v>0</v>
      </c>
      <c r="AB491" s="408">
        <v>0</v>
      </c>
      <c r="AC491" s="408">
        <v>0</v>
      </c>
      <c r="AD491" s="408">
        <v>3429.7748166502379</v>
      </c>
      <c r="AE491" s="408">
        <v>14080.064349926606</v>
      </c>
      <c r="AF491" s="408">
        <v>7004.7306983701055</v>
      </c>
      <c r="AG491" s="408">
        <v>0</v>
      </c>
      <c r="AH491" s="408">
        <v>0</v>
      </c>
      <c r="AI491" s="408">
        <v>0</v>
      </c>
      <c r="AJ491" s="408">
        <v>0</v>
      </c>
      <c r="AK491" s="408">
        <v>0</v>
      </c>
      <c r="AL491" s="408">
        <v>265.52890249802772</v>
      </c>
      <c r="AM491" s="408"/>
      <c r="AN491" s="408">
        <v>65.078087030194155</v>
      </c>
      <c r="AO491" s="408">
        <v>0</v>
      </c>
      <c r="AP491" s="408">
        <v>0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0</v>
      </c>
      <c r="BF491" s="408">
        <v>0</v>
      </c>
      <c r="BG491" s="408">
        <v>966.30585438867206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/>
      <c r="BR491" s="408">
        <v>2259.252199999999</v>
      </c>
      <c r="BS491" s="408"/>
      <c r="BT491" s="408"/>
      <c r="BU491" s="408"/>
      <c r="BV491" s="408">
        <v>7971.0365527587774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16568.1374</v>
      </c>
      <c r="CJ491" s="408">
        <v>-7657.6859199999926</v>
      </c>
      <c r="CK491" s="408"/>
      <c r="CL491" s="408"/>
      <c r="CM491" s="408"/>
      <c r="CN491" s="408"/>
      <c r="CO491" s="408">
        <v>-8700.6898799999981</v>
      </c>
      <c r="CP491" s="408">
        <v>0</v>
      </c>
      <c r="CQ491" s="408">
        <v>30</v>
      </c>
      <c r="CR491" s="408">
        <v>-67.546973140229966</v>
      </c>
      <c r="CS491" s="408">
        <v>0</v>
      </c>
      <c r="CT491" s="408">
        <v>0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-8.8148233113906826</v>
      </c>
      <c r="DA491" s="408">
        <v>0</v>
      </c>
      <c r="DB491" s="408">
        <v>0</v>
      </c>
      <c r="DC491" s="408">
        <v>-9.8201871878700331E-7</v>
      </c>
      <c r="DD491" s="408">
        <v>0</v>
      </c>
      <c r="DE491" s="408">
        <v>0</v>
      </c>
      <c r="DF491" s="408">
        <v>0</v>
      </c>
      <c r="DG491" s="408">
        <v>-1.3546912214223994E-7</v>
      </c>
      <c r="DH491" s="408">
        <v>0</v>
      </c>
      <c r="DI491" s="408">
        <v>-49.948212564969026</v>
      </c>
      <c r="DJ491" s="408"/>
      <c r="DK491" s="408">
        <v>0</v>
      </c>
      <c r="DL491" s="408">
        <v>0</v>
      </c>
      <c r="DM491" s="408">
        <v>0</v>
      </c>
      <c r="DN491" s="408">
        <v>0</v>
      </c>
      <c r="DO491" s="408">
        <v>-6.6706473846687118</v>
      </c>
      <c r="DP491" s="408">
        <v>-2.1132887617128233</v>
      </c>
      <c r="DQ491" s="408">
        <v>0</v>
      </c>
      <c r="DR491" s="408">
        <v>0</v>
      </c>
      <c r="DS491" s="408"/>
      <c r="DT491" s="408"/>
      <c r="DU491" s="408"/>
      <c r="DV491" s="408">
        <v>14080.064349926606</v>
      </c>
      <c r="DW491" s="408">
        <v>0</v>
      </c>
      <c r="DX491" s="408">
        <v>0</v>
      </c>
      <c r="DY491" s="408">
        <v>-8700.6898799999981</v>
      </c>
      <c r="DZ491" s="408">
        <v>0</v>
      </c>
      <c r="EA491" s="408">
        <v>0</v>
      </c>
      <c r="EB491" s="408">
        <v>0</v>
      </c>
      <c r="EC491" s="408">
        <v>-8633.1227709961422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265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498</v>
      </c>
      <c r="B492" s="408" t="s">
        <v>2230</v>
      </c>
      <c r="C492" s="408" t="s">
        <v>2227</v>
      </c>
      <c r="D492" s="408" t="s">
        <v>2237</v>
      </c>
      <c r="E492" s="408" t="s">
        <v>969</v>
      </c>
      <c r="F492" s="408" t="s">
        <v>2245</v>
      </c>
      <c r="G492" s="408" t="s">
        <v>2246</v>
      </c>
      <c r="H492" s="408" t="s">
        <v>1317</v>
      </c>
      <c r="I492" s="408" t="s">
        <v>1317</v>
      </c>
      <c r="J492" s="408" t="s">
        <v>2228</v>
      </c>
      <c r="K492" s="828">
        <v>44652</v>
      </c>
      <c r="L492" s="408">
        <v>0</v>
      </c>
      <c r="M492" s="408">
        <v>0</v>
      </c>
      <c r="N492" s="408">
        <v>0.2</v>
      </c>
      <c r="O492" s="408">
        <v>0.2</v>
      </c>
      <c r="P492" s="408">
        <v>0.2</v>
      </c>
      <c r="Q492" s="408">
        <v>0.2</v>
      </c>
      <c r="R492" s="408"/>
      <c r="S492" s="408">
        <v>739.04</v>
      </c>
      <c r="T492" s="408">
        <v>252.22</v>
      </c>
      <c r="U492" s="408"/>
      <c r="V492" s="408">
        <v>198.25200000000001</v>
      </c>
      <c r="W492" s="408">
        <v>198.25200000000001</v>
      </c>
      <c r="X492" s="408">
        <v>135.59399999999999</v>
      </c>
      <c r="Y492" s="408">
        <v>0</v>
      </c>
      <c r="Z492" s="408">
        <v>12.37063132468122</v>
      </c>
      <c r="AA492" s="408">
        <v>0</v>
      </c>
      <c r="AB492" s="408">
        <v>0</v>
      </c>
      <c r="AC492" s="408">
        <v>0</v>
      </c>
      <c r="AD492" s="408">
        <v>24.699516179246999</v>
      </c>
      <c r="AE492" s="408">
        <v>101.3975540107058</v>
      </c>
      <c r="AF492" s="408">
        <v>50.444553495391801</v>
      </c>
      <c r="AG492" s="408">
        <v>0</v>
      </c>
      <c r="AH492" s="408">
        <v>0</v>
      </c>
      <c r="AI492" s="408">
        <v>0</v>
      </c>
      <c r="AJ492" s="408">
        <v>0</v>
      </c>
      <c r="AK492" s="408">
        <v>0</v>
      </c>
      <c r="AL492" s="408">
        <v>1.9122058367998542</v>
      </c>
      <c r="AM492" s="408"/>
      <c r="AN492" s="408">
        <v>0.46865970783662797</v>
      </c>
      <c r="AO492" s="408">
        <v>0</v>
      </c>
      <c r="AP492" s="408">
        <v>0</v>
      </c>
      <c r="AQ492" s="408">
        <v>0</v>
      </c>
      <c r="AR492" s="408">
        <v>0</v>
      </c>
      <c r="AS492" s="408">
        <v>0</v>
      </c>
      <c r="AT492" s="408">
        <v>0</v>
      </c>
      <c r="AU492" s="408">
        <v>0</v>
      </c>
      <c r="AV492" s="408">
        <v>0</v>
      </c>
      <c r="AW492" s="408">
        <v>0</v>
      </c>
      <c r="AX492" s="408">
        <v>0</v>
      </c>
      <c r="AY492" s="408">
        <v>0</v>
      </c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>
        <v>0</v>
      </c>
      <c r="BG492" s="408">
        <v>6.9588495923136406</v>
      </c>
      <c r="BH492" s="408">
        <v>0</v>
      </c>
      <c r="BI492" s="408">
        <v>0</v>
      </c>
      <c r="BJ492" s="408">
        <v>0</v>
      </c>
      <c r="BK492" s="408">
        <v>0</v>
      </c>
      <c r="BL492" s="408">
        <v>0</v>
      </c>
      <c r="BM492" s="408"/>
      <c r="BN492" s="408"/>
      <c r="BO492" s="408"/>
      <c r="BP492" s="408"/>
      <c r="BQ492" s="408"/>
      <c r="BR492" s="408">
        <v>16.269999999999996</v>
      </c>
      <c r="BS492" s="408"/>
      <c r="BT492" s="408"/>
      <c r="BU492" s="408"/>
      <c r="BV492" s="408">
        <v>57.403403087705442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119.32400000000001</v>
      </c>
      <c r="CJ492" s="408">
        <v>-55.167999999999978</v>
      </c>
      <c r="CK492" s="408"/>
      <c r="CL492" s="408"/>
      <c r="CM492" s="408"/>
      <c r="CN492" s="408"/>
      <c r="CO492" s="408">
        <v>-62.657999999999994</v>
      </c>
      <c r="CP492" s="408">
        <v>0</v>
      </c>
      <c r="CQ492" s="408">
        <v>30</v>
      </c>
      <c r="CR492" s="408">
        <v>-0.48643938600194758</v>
      </c>
      <c r="CS492" s="408">
        <v>0</v>
      </c>
      <c r="CT492" s="408">
        <v>0</v>
      </c>
      <c r="CU492" s="408">
        <v>0</v>
      </c>
      <c r="CV492" s="408">
        <v>0</v>
      </c>
      <c r="CW492" s="408">
        <v>0</v>
      </c>
      <c r="CX492" s="408">
        <v>0</v>
      </c>
      <c r="CY492" s="408">
        <v>0</v>
      </c>
      <c r="CZ492" s="408">
        <v>-6.347993166779986E-2</v>
      </c>
      <c r="DA492" s="408">
        <v>0</v>
      </c>
      <c r="DB492" s="408">
        <v>0</v>
      </c>
      <c r="DC492" s="408">
        <v>-7.0720034273108467E-9</v>
      </c>
      <c r="DD492" s="408">
        <v>0</v>
      </c>
      <c r="DE492" s="408">
        <v>0</v>
      </c>
      <c r="DF492" s="408">
        <v>0</v>
      </c>
      <c r="DG492" s="408">
        <v>-9.7558050526913576E-10</v>
      </c>
      <c r="DH492" s="408">
        <v>0</v>
      </c>
      <c r="DI492" s="408">
        <v>-0.35970194847305947</v>
      </c>
      <c r="DJ492" s="408"/>
      <c r="DK492" s="408">
        <v>0</v>
      </c>
      <c r="DL492" s="408">
        <v>0</v>
      </c>
      <c r="DM492" s="408">
        <v>0</v>
      </c>
      <c r="DN492" s="408">
        <v>0</v>
      </c>
      <c r="DO492" s="408">
        <v>-4.8038653209482307E-2</v>
      </c>
      <c r="DP492" s="408">
        <v>-1.5218844604009962E-2</v>
      </c>
      <c r="DQ492" s="408">
        <v>0</v>
      </c>
      <c r="DR492" s="408">
        <v>0</v>
      </c>
      <c r="DS492" s="408"/>
      <c r="DT492" s="408"/>
      <c r="DU492" s="408"/>
      <c r="DV492" s="408">
        <v>101.3975540107058</v>
      </c>
      <c r="DW492" s="408">
        <v>0</v>
      </c>
      <c r="DX492" s="408">
        <v>0</v>
      </c>
      <c r="DY492" s="408">
        <v>-62.657999999999987</v>
      </c>
      <c r="DZ492" s="408">
        <v>0</v>
      </c>
      <c r="EA492" s="408">
        <v>0</v>
      </c>
      <c r="EB492" s="408">
        <v>0</v>
      </c>
      <c r="EC492" s="408">
        <v>-62.171415605618201</v>
      </c>
      <c r="ED492" s="408">
        <v>0</v>
      </c>
      <c r="EE492" s="408">
        <v>0</v>
      </c>
      <c r="EF492" s="408">
        <v>0</v>
      </c>
      <c r="EG492" s="408">
        <v>0</v>
      </c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>
        <v>0</v>
      </c>
      <c r="EN492" s="408">
        <v>0</v>
      </c>
      <c r="EO492" s="408">
        <v>0</v>
      </c>
      <c r="EP492" s="408">
        <v>0</v>
      </c>
      <c r="EQ492" s="408">
        <v>0</v>
      </c>
      <c r="ER492" s="408">
        <v>0</v>
      </c>
      <c r="ES492" s="408">
        <v>0</v>
      </c>
      <c r="ET492" s="408">
        <v>0</v>
      </c>
      <c r="EU492" s="408">
        <v>0</v>
      </c>
      <c r="EV492" s="408">
        <v>265</v>
      </c>
      <c r="EW492" s="408">
        <v>0</v>
      </c>
      <c r="EX492" s="408">
        <v>0</v>
      </c>
      <c r="EY492" s="408">
        <v>0</v>
      </c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499</v>
      </c>
      <c r="B493" s="408" t="s">
        <v>1031</v>
      </c>
      <c r="C493" s="408" t="s">
        <v>2227</v>
      </c>
      <c r="D493" s="408" t="s">
        <v>2237</v>
      </c>
      <c r="E493" s="408" t="s">
        <v>969</v>
      </c>
      <c r="F493" s="408" t="s">
        <v>2245</v>
      </c>
      <c r="G493" s="408" t="s">
        <v>2247</v>
      </c>
      <c r="H493" s="408" t="s">
        <v>1317</v>
      </c>
      <c r="I493" s="408" t="s">
        <v>1317</v>
      </c>
      <c r="J493" s="408" t="s">
        <v>2228</v>
      </c>
      <c r="K493" s="828">
        <v>44652</v>
      </c>
      <c r="L493" s="408">
        <v>0</v>
      </c>
      <c r="M493" s="408">
        <v>0</v>
      </c>
      <c r="N493" s="408">
        <v>26.43</v>
      </c>
      <c r="O493" s="408">
        <v>10.571999999999999</v>
      </c>
      <c r="P493" s="408">
        <v>26.43</v>
      </c>
      <c r="Q493" s="408">
        <v>10.571999999999999</v>
      </c>
      <c r="R493" s="408"/>
      <c r="S493" s="408">
        <v>739.04</v>
      </c>
      <c r="T493" s="408">
        <v>252.22</v>
      </c>
      <c r="U493" s="408"/>
      <c r="V493" s="408">
        <v>26199.001799999998</v>
      </c>
      <c r="W493" s="408">
        <v>26199.001799999998</v>
      </c>
      <c r="X493" s="408">
        <v>17918.747100000001</v>
      </c>
      <c r="Y493" s="408">
        <v>0</v>
      </c>
      <c r="Z493" s="408">
        <v>1634.7789295566233</v>
      </c>
      <c r="AA493" s="408">
        <v>0</v>
      </c>
      <c r="AB493" s="408">
        <v>0</v>
      </c>
      <c r="AC493" s="408">
        <v>0</v>
      </c>
      <c r="AD493" s="408">
        <v>3264.0410630874908</v>
      </c>
      <c r="AE493" s="408">
        <v>13399.686762514772</v>
      </c>
      <c r="AF493" s="408">
        <v>6666.2477444160268</v>
      </c>
      <c r="AG493" s="408">
        <v>0</v>
      </c>
      <c r="AH493" s="408">
        <v>0</v>
      </c>
      <c r="AI493" s="408">
        <v>0</v>
      </c>
      <c r="AJ493" s="408">
        <v>0</v>
      </c>
      <c r="AK493" s="408">
        <v>0</v>
      </c>
      <c r="AL493" s="408">
        <v>252.69800133310071</v>
      </c>
      <c r="AM493" s="408"/>
      <c r="AN493" s="408">
        <v>61.933380390610381</v>
      </c>
      <c r="AO493" s="408">
        <v>0</v>
      </c>
      <c r="AP493" s="408">
        <v>0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0</v>
      </c>
      <c r="BF493" s="408">
        <v>0</v>
      </c>
      <c r="BG493" s="408">
        <v>919.61197362424764</v>
      </c>
      <c r="BH493" s="408">
        <v>0</v>
      </c>
      <c r="BI493" s="408">
        <v>0</v>
      </c>
      <c r="BJ493" s="408">
        <v>0</v>
      </c>
      <c r="BK493" s="408">
        <v>0</v>
      </c>
      <c r="BL493" s="408">
        <v>0</v>
      </c>
      <c r="BM493" s="408"/>
      <c r="BN493" s="408"/>
      <c r="BO493" s="408"/>
      <c r="BP493" s="408"/>
      <c r="BQ493" s="408"/>
      <c r="BR493" s="408"/>
      <c r="BS493" s="408">
        <v>11611.280460000002</v>
      </c>
      <c r="BT493" s="408"/>
      <c r="BU493" s="408"/>
      <c r="BV493" s="408">
        <v>7585.8597180402739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6306.2734</v>
      </c>
      <c r="CJ493" s="408">
        <v>-2915.8179199999995</v>
      </c>
      <c r="CK493" s="408"/>
      <c r="CL493" s="408"/>
      <c r="CM493" s="408"/>
      <c r="CN493" s="408"/>
      <c r="CO493" s="408">
        <v>-8280.2546999999995</v>
      </c>
      <c r="CP493" s="408">
        <v>0</v>
      </c>
      <c r="CQ493" s="408">
        <v>30</v>
      </c>
      <c r="CR493" s="408">
        <v>-64.282964860156426</v>
      </c>
      <c r="CS493" s="408">
        <v>0</v>
      </c>
      <c r="CT493" s="408">
        <v>0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-8.388872969899694</v>
      </c>
      <c r="DA493" s="408">
        <v>0</v>
      </c>
      <c r="DB493" s="408">
        <v>0</v>
      </c>
      <c r="DC493" s="408">
        <v>-9.3456583272200078E-7</v>
      </c>
      <c r="DD493" s="408">
        <v>0</v>
      </c>
      <c r="DE493" s="408">
        <v>0</v>
      </c>
      <c r="DF493" s="408">
        <v>0</v>
      </c>
      <c r="DG493" s="408">
        <v>-1.2892303402622929E-7</v>
      </c>
      <c r="DH493" s="408">
        <v>0</v>
      </c>
      <c r="DI493" s="408">
        <v>-47.534612490714835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-6.3483080216330734</v>
      </c>
      <c r="DP493" s="408">
        <v>-2.011170314419914</v>
      </c>
      <c r="DQ493" s="408">
        <v>0</v>
      </c>
      <c r="DR493" s="408">
        <v>0</v>
      </c>
      <c r="DS493" s="408"/>
      <c r="DT493" s="408"/>
      <c r="DU493" s="408"/>
      <c r="DV493" s="408">
        <v>13399.686762514772</v>
      </c>
      <c r="DW493" s="408">
        <v>0</v>
      </c>
      <c r="DX493" s="408">
        <v>0</v>
      </c>
      <c r="DY493" s="408">
        <v>-8280.2546999999995</v>
      </c>
      <c r="DZ493" s="408">
        <v>0</v>
      </c>
      <c r="EA493" s="408">
        <v>0</v>
      </c>
      <c r="EB493" s="408">
        <v>0</v>
      </c>
      <c r="EC493" s="408">
        <v>-8215.9525722824437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265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500</v>
      </c>
      <c r="B494" s="408" t="s">
        <v>2230</v>
      </c>
      <c r="C494" s="408" t="s">
        <v>2227</v>
      </c>
      <c r="D494" s="408" t="s">
        <v>2237</v>
      </c>
      <c r="E494" s="408" t="s">
        <v>969</v>
      </c>
      <c r="F494" s="408" t="s">
        <v>2245</v>
      </c>
      <c r="G494" s="408" t="s">
        <v>2247</v>
      </c>
      <c r="H494" s="408" t="s">
        <v>1317</v>
      </c>
      <c r="I494" s="408" t="s">
        <v>1317</v>
      </c>
      <c r="J494" s="408" t="s">
        <v>2228</v>
      </c>
      <c r="K494" s="828">
        <v>44652</v>
      </c>
      <c r="L494" s="408">
        <v>0</v>
      </c>
      <c r="M494" s="408">
        <v>0</v>
      </c>
      <c r="N494" s="408">
        <v>0.2</v>
      </c>
      <c r="O494" s="408">
        <v>0.2</v>
      </c>
      <c r="P494" s="408">
        <v>0.2</v>
      </c>
      <c r="Q494" s="408">
        <v>0.2</v>
      </c>
      <c r="R494" s="408"/>
      <c r="S494" s="408">
        <v>739.04</v>
      </c>
      <c r="T494" s="408">
        <v>252.22</v>
      </c>
      <c r="U494" s="408"/>
      <c r="V494" s="408">
        <v>198.25200000000001</v>
      </c>
      <c r="W494" s="408">
        <v>198.25200000000001</v>
      </c>
      <c r="X494" s="408">
        <v>135.59399999999999</v>
      </c>
      <c r="Y494" s="408">
        <v>0</v>
      </c>
      <c r="Z494" s="408">
        <v>12.37063132468122</v>
      </c>
      <c r="AA494" s="408">
        <v>0</v>
      </c>
      <c r="AB494" s="408">
        <v>0</v>
      </c>
      <c r="AC494" s="408">
        <v>0</v>
      </c>
      <c r="AD494" s="408">
        <v>24.699516179246999</v>
      </c>
      <c r="AE494" s="408">
        <v>101.3975540107058</v>
      </c>
      <c r="AF494" s="408">
        <v>50.444553495391801</v>
      </c>
      <c r="AG494" s="408">
        <v>0</v>
      </c>
      <c r="AH494" s="408">
        <v>0</v>
      </c>
      <c r="AI494" s="408">
        <v>0</v>
      </c>
      <c r="AJ494" s="408">
        <v>0</v>
      </c>
      <c r="AK494" s="408">
        <v>0</v>
      </c>
      <c r="AL494" s="408">
        <v>1.9122058367998542</v>
      </c>
      <c r="AM494" s="408"/>
      <c r="AN494" s="408">
        <v>0.46865970783662797</v>
      </c>
      <c r="AO494" s="408">
        <v>0</v>
      </c>
      <c r="AP494" s="408">
        <v>0</v>
      </c>
      <c r="AQ494" s="408">
        <v>0</v>
      </c>
      <c r="AR494" s="408">
        <v>0</v>
      </c>
      <c r="AS494" s="408">
        <v>0</v>
      </c>
      <c r="AT494" s="408">
        <v>0</v>
      </c>
      <c r="AU494" s="408">
        <v>0</v>
      </c>
      <c r="AV494" s="408">
        <v>0</v>
      </c>
      <c r="AW494" s="408">
        <v>0</v>
      </c>
      <c r="AX494" s="408">
        <v>0</v>
      </c>
      <c r="AY494" s="408">
        <v>0</v>
      </c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0</v>
      </c>
      <c r="BF494" s="408">
        <v>0</v>
      </c>
      <c r="BG494" s="408">
        <v>6.9588495923136406</v>
      </c>
      <c r="BH494" s="408">
        <v>0</v>
      </c>
      <c r="BI494" s="408">
        <v>0</v>
      </c>
      <c r="BJ494" s="408">
        <v>0</v>
      </c>
      <c r="BK494" s="408">
        <v>0</v>
      </c>
      <c r="BL494" s="408">
        <v>0</v>
      </c>
      <c r="BM494" s="408"/>
      <c r="BN494" s="408"/>
      <c r="BO494" s="408"/>
      <c r="BP494" s="408"/>
      <c r="BQ494" s="408"/>
      <c r="BR494" s="408">
        <v>16.269999999999996</v>
      </c>
      <c r="BS494" s="408"/>
      <c r="BT494" s="408"/>
      <c r="BU494" s="408"/>
      <c r="BV494" s="408">
        <v>57.403403087705442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119.32400000000001</v>
      </c>
      <c r="CJ494" s="408">
        <v>-55.167999999999978</v>
      </c>
      <c r="CK494" s="408"/>
      <c r="CL494" s="408"/>
      <c r="CM494" s="408"/>
      <c r="CN494" s="408"/>
      <c r="CO494" s="408">
        <v>-62.657999999999994</v>
      </c>
      <c r="CP494" s="408">
        <v>0</v>
      </c>
      <c r="CQ494" s="408">
        <v>30</v>
      </c>
      <c r="CR494" s="408">
        <v>-0.48643938600194758</v>
      </c>
      <c r="CS494" s="408">
        <v>0</v>
      </c>
      <c r="CT494" s="408">
        <v>0</v>
      </c>
      <c r="CU494" s="408">
        <v>0</v>
      </c>
      <c r="CV494" s="408">
        <v>0</v>
      </c>
      <c r="CW494" s="408">
        <v>0</v>
      </c>
      <c r="CX494" s="408">
        <v>0</v>
      </c>
      <c r="CY494" s="408">
        <v>0</v>
      </c>
      <c r="CZ494" s="408">
        <v>-6.347993166779986E-2</v>
      </c>
      <c r="DA494" s="408">
        <v>0</v>
      </c>
      <c r="DB494" s="408">
        <v>0</v>
      </c>
      <c r="DC494" s="408">
        <v>-7.0720034273108467E-9</v>
      </c>
      <c r="DD494" s="408">
        <v>0</v>
      </c>
      <c r="DE494" s="408">
        <v>0</v>
      </c>
      <c r="DF494" s="408">
        <v>0</v>
      </c>
      <c r="DG494" s="408">
        <v>-9.7558050526913576E-10</v>
      </c>
      <c r="DH494" s="408">
        <v>0</v>
      </c>
      <c r="DI494" s="408">
        <v>-0.35970194847305947</v>
      </c>
      <c r="DJ494" s="408"/>
      <c r="DK494" s="408">
        <v>0</v>
      </c>
      <c r="DL494" s="408">
        <v>0</v>
      </c>
      <c r="DM494" s="408">
        <v>0</v>
      </c>
      <c r="DN494" s="408">
        <v>0</v>
      </c>
      <c r="DO494" s="408">
        <v>-4.8038653209482307E-2</v>
      </c>
      <c r="DP494" s="408">
        <v>-1.5218844604009962E-2</v>
      </c>
      <c r="DQ494" s="408">
        <v>0</v>
      </c>
      <c r="DR494" s="408">
        <v>0</v>
      </c>
      <c r="DS494" s="408"/>
      <c r="DT494" s="408"/>
      <c r="DU494" s="408"/>
      <c r="DV494" s="408">
        <v>101.3975540107058</v>
      </c>
      <c r="DW494" s="408">
        <v>0</v>
      </c>
      <c r="DX494" s="408">
        <v>0</v>
      </c>
      <c r="DY494" s="408">
        <v>-62.657999999999987</v>
      </c>
      <c r="DZ494" s="408">
        <v>0</v>
      </c>
      <c r="EA494" s="408">
        <v>0</v>
      </c>
      <c r="EB494" s="408">
        <v>0</v>
      </c>
      <c r="EC494" s="408">
        <v>-62.171415605618201</v>
      </c>
      <c r="ED494" s="408">
        <v>0</v>
      </c>
      <c r="EE494" s="408">
        <v>0</v>
      </c>
      <c r="EF494" s="408">
        <v>0</v>
      </c>
      <c r="EG494" s="408">
        <v>0</v>
      </c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>
        <v>0</v>
      </c>
      <c r="EN494" s="408">
        <v>0</v>
      </c>
      <c r="EO494" s="408">
        <v>0</v>
      </c>
      <c r="EP494" s="408">
        <v>0</v>
      </c>
      <c r="EQ494" s="408">
        <v>0</v>
      </c>
      <c r="ER494" s="408">
        <v>0</v>
      </c>
      <c r="ES494" s="408">
        <v>0</v>
      </c>
      <c r="ET494" s="408">
        <v>0</v>
      </c>
      <c r="EU494" s="408">
        <v>0</v>
      </c>
      <c r="EV494" s="408">
        <v>265</v>
      </c>
      <c r="EW494" s="408">
        <v>0</v>
      </c>
      <c r="EX494" s="408">
        <v>0</v>
      </c>
      <c r="EY494" s="408">
        <v>0</v>
      </c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501</v>
      </c>
      <c r="B495" s="408" t="s">
        <v>1031</v>
      </c>
      <c r="C495" s="408" t="s">
        <v>2235</v>
      </c>
      <c r="D495" s="408" t="s">
        <v>596</v>
      </c>
      <c r="E495" s="408" t="s">
        <v>969</v>
      </c>
      <c r="F495" s="408" t="s">
        <v>2245</v>
      </c>
      <c r="G495" s="408" t="s">
        <v>1317</v>
      </c>
      <c r="H495" s="408" t="s">
        <v>1317</v>
      </c>
      <c r="I495" s="408" t="s">
        <v>968</v>
      </c>
      <c r="J495" s="408" t="s">
        <v>2228</v>
      </c>
      <c r="K495" s="828">
        <v>44652</v>
      </c>
      <c r="L495" s="408">
        <v>0</v>
      </c>
      <c r="M495" s="408">
        <v>0</v>
      </c>
      <c r="N495" s="408">
        <v>5.7729999999999997</v>
      </c>
      <c r="O495" s="408">
        <v>5.5420800000000003</v>
      </c>
      <c r="P495" s="408">
        <v>5.7729999999999997</v>
      </c>
      <c r="Q495" s="408">
        <v>5.5420800000000003</v>
      </c>
      <c r="R495" s="408"/>
      <c r="S495" s="408">
        <v>2641.06</v>
      </c>
      <c r="T495" s="408">
        <v>252.22</v>
      </c>
      <c r="U495" s="408"/>
      <c r="V495" s="408">
        <v>16702.905439999999</v>
      </c>
      <c r="W495" s="408">
        <v>16702.905439999999</v>
      </c>
      <c r="X495" s="408">
        <v>9914.2038199999988</v>
      </c>
      <c r="Y495" s="408">
        <v>0</v>
      </c>
      <c r="Z495" s="408">
        <v>310.65809767262334</v>
      </c>
      <c r="AA495" s="408">
        <v>0</v>
      </c>
      <c r="AB495" s="408">
        <v>0</v>
      </c>
      <c r="AC495" s="408">
        <v>0</v>
      </c>
      <c r="AD495" s="408">
        <v>3739.5588363830148</v>
      </c>
      <c r="AE495" s="408">
        <v>11038.497536862486</v>
      </c>
      <c r="AF495" s="408">
        <v>1456.0820366444843</v>
      </c>
      <c r="AG495" s="408">
        <v>0</v>
      </c>
      <c r="AH495" s="408">
        <v>0</v>
      </c>
      <c r="AI495" s="408">
        <v>0</v>
      </c>
      <c r="AJ495" s="408">
        <v>0</v>
      </c>
      <c r="AK495" s="408">
        <v>0</v>
      </c>
      <c r="AL495" s="408">
        <v>55.195821479227789</v>
      </c>
      <c r="AM495" s="408"/>
      <c r="AN495" s="408">
        <v>13.889296132589656</v>
      </c>
      <c r="AO495" s="408">
        <v>0</v>
      </c>
      <c r="AP495" s="408">
        <v>0</v>
      </c>
      <c r="AQ495" s="408">
        <v>0</v>
      </c>
      <c r="AR495" s="408">
        <v>0</v>
      </c>
      <c r="AS495" s="408">
        <v>0</v>
      </c>
      <c r="AT495" s="408">
        <v>0</v>
      </c>
      <c r="AU495" s="408">
        <v>0</v>
      </c>
      <c r="AV495" s="408">
        <v>0</v>
      </c>
      <c r="AW495" s="408">
        <v>0</v>
      </c>
      <c r="AX495" s="408">
        <v>0</v>
      </c>
      <c r="AY495" s="408">
        <v>0</v>
      </c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>
        <v>0</v>
      </c>
      <c r="BG495" s="408">
        <v>89.036062665779951</v>
      </c>
      <c r="BH495" s="408">
        <v>0</v>
      </c>
      <c r="BI495" s="408">
        <v>0</v>
      </c>
      <c r="BJ495" s="408">
        <v>0</v>
      </c>
      <c r="BK495" s="408">
        <v>0</v>
      </c>
      <c r="BL495" s="408">
        <v>0</v>
      </c>
      <c r="BM495" s="408"/>
      <c r="BN495" s="408"/>
      <c r="BO495" s="408"/>
      <c r="BP495" s="408"/>
      <c r="BQ495" s="408"/>
      <c r="BR495" s="408">
        <v>396.56815279999887</v>
      </c>
      <c r="BS495" s="408"/>
      <c r="BT495" s="408"/>
      <c r="BU495" s="408"/>
      <c r="BV495" s="408">
        <v>1545.1180993102644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9514.0635999999995</v>
      </c>
      <c r="CJ495" s="408">
        <v>-6520.7556224000018</v>
      </c>
      <c r="CK495" s="408"/>
      <c r="CL495" s="408"/>
      <c r="CM495" s="408"/>
      <c r="CN495" s="408"/>
      <c r="CO495" s="408">
        <v>-6788.7016199999998</v>
      </c>
      <c r="CP495" s="408">
        <v>0</v>
      </c>
      <c r="CQ495" s="408">
        <v>30</v>
      </c>
      <c r="CR495" s="408">
        <v>-20.481693459518283</v>
      </c>
      <c r="CS495" s="408">
        <v>0</v>
      </c>
      <c r="CT495" s="408">
        <v>0</v>
      </c>
      <c r="CU495" s="408">
        <v>0</v>
      </c>
      <c r="CV495" s="408">
        <v>0</v>
      </c>
      <c r="CW495" s="408">
        <v>0</v>
      </c>
      <c r="CX495" s="408">
        <v>0</v>
      </c>
      <c r="CY495" s="408">
        <v>0</v>
      </c>
      <c r="CZ495" s="408">
        <v>-9.6109955222941608</v>
      </c>
      <c r="DA495" s="408">
        <v>0</v>
      </c>
      <c r="DB495" s="408">
        <v>0</v>
      </c>
      <c r="DC495" s="408">
        <v>-2.0413335732882842E-7</v>
      </c>
      <c r="DD495" s="408">
        <v>0</v>
      </c>
      <c r="DE495" s="408">
        <v>0</v>
      </c>
      <c r="DF495" s="408">
        <v>0</v>
      </c>
      <c r="DG495" s="408">
        <v>-1.2482374245337269E-8</v>
      </c>
      <c r="DH495" s="408">
        <v>0</v>
      </c>
      <c r="DI495" s="408">
        <v>-9.0330331661270975</v>
      </c>
      <c r="DJ495" s="408"/>
      <c r="DK495" s="408">
        <v>0</v>
      </c>
      <c r="DL495" s="408">
        <v>0</v>
      </c>
      <c r="DM495" s="408">
        <v>0</v>
      </c>
      <c r="DN495" s="408">
        <v>0</v>
      </c>
      <c r="DO495" s="408">
        <v>-1.3866357248917112</v>
      </c>
      <c r="DP495" s="408">
        <v>-0.4510288295887861</v>
      </c>
      <c r="DQ495" s="408">
        <v>0</v>
      </c>
      <c r="DR495" s="408">
        <v>0</v>
      </c>
      <c r="DS495" s="408"/>
      <c r="DT495" s="408"/>
      <c r="DU495" s="408"/>
      <c r="DV495" s="408">
        <v>11038.497536862486</v>
      </c>
      <c r="DW495" s="408">
        <v>0</v>
      </c>
      <c r="DX495" s="408">
        <v>0</v>
      </c>
      <c r="DY495" s="408">
        <v>-6788.7016199999998</v>
      </c>
      <c r="DZ495" s="408">
        <v>0</v>
      </c>
      <c r="EA495" s="408">
        <v>0</v>
      </c>
      <c r="EB495" s="408">
        <v>0</v>
      </c>
      <c r="EC495" s="408">
        <v>-6768.2009168920504</v>
      </c>
      <c r="ED495" s="408">
        <v>0</v>
      </c>
      <c r="EE495" s="408">
        <v>0</v>
      </c>
      <c r="EF495" s="408">
        <v>0</v>
      </c>
      <c r="EG495" s="408">
        <v>0</v>
      </c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>
        <v>0</v>
      </c>
      <c r="EN495" s="408">
        <v>0</v>
      </c>
      <c r="EO495" s="408">
        <v>0</v>
      </c>
      <c r="EP495" s="408">
        <v>0</v>
      </c>
      <c r="EQ495" s="408">
        <v>0</v>
      </c>
      <c r="ER495" s="408">
        <v>0</v>
      </c>
      <c r="ES495" s="408">
        <v>0</v>
      </c>
      <c r="ET495" s="408">
        <v>0</v>
      </c>
      <c r="EU495" s="408">
        <v>0</v>
      </c>
      <c r="EV495" s="408">
        <v>265</v>
      </c>
      <c r="EW495" s="408">
        <v>0</v>
      </c>
      <c r="EX495" s="408">
        <v>0</v>
      </c>
      <c r="EY495" s="408">
        <v>0</v>
      </c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502</v>
      </c>
      <c r="B496" s="408" t="s">
        <v>1031</v>
      </c>
      <c r="C496" s="408" t="s">
        <v>2235</v>
      </c>
      <c r="D496" s="408" t="s">
        <v>596</v>
      </c>
      <c r="E496" s="408" t="s">
        <v>969</v>
      </c>
      <c r="F496" s="408" t="s">
        <v>2245</v>
      </c>
      <c r="G496" s="408" t="s">
        <v>1317</v>
      </c>
      <c r="H496" s="408" t="s">
        <v>1317</v>
      </c>
      <c r="I496" s="408" t="s">
        <v>2236</v>
      </c>
      <c r="J496" s="408" t="s">
        <v>2228</v>
      </c>
      <c r="K496" s="828">
        <v>44652</v>
      </c>
      <c r="L496" s="408">
        <v>0</v>
      </c>
      <c r="M496" s="408">
        <v>0</v>
      </c>
      <c r="N496" s="408">
        <v>53.862000000000002</v>
      </c>
      <c r="O496" s="408">
        <v>51.707520000000002</v>
      </c>
      <c r="P496" s="408">
        <v>53.862000000000002</v>
      </c>
      <c r="Q496" s="408">
        <v>51.707520000000002</v>
      </c>
      <c r="R496" s="408"/>
      <c r="S496" s="408">
        <v>81.2</v>
      </c>
      <c r="T496" s="408">
        <v>252.22</v>
      </c>
      <c r="U496" s="408"/>
      <c r="V496" s="408">
        <v>17958.66804</v>
      </c>
      <c r="W496" s="408">
        <v>17958.66804</v>
      </c>
      <c r="X496" s="408">
        <v>17857.407480000002</v>
      </c>
      <c r="Y496" s="408">
        <v>0</v>
      </c>
      <c r="Z496" s="408">
        <v>2898.4352081834122</v>
      </c>
      <c r="AA496" s="408">
        <v>0</v>
      </c>
      <c r="AB496" s="408">
        <v>0</v>
      </c>
      <c r="AC496" s="408">
        <v>0</v>
      </c>
      <c r="AD496" s="408">
        <v>0</v>
      </c>
      <c r="AE496" s="408">
        <v>0</v>
      </c>
      <c r="AF496" s="408">
        <v>13585.222701843966</v>
      </c>
      <c r="AG496" s="408">
        <v>0</v>
      </c>
      <c r="AH496" s="408">
        <v>0</v>
      </c>
      <c r="AI496" s="408">
        <v>0</v>
      </c>
      <c r="AJ496" s="408">
        <v>0</v>
      </c>
      <c r="AK496" s="408">
        <v>0</v>
      </c>
      <c r="AL496" s="408">
        <v>514.97615390856868</v>
      </c>
      <c r="AM496" s="408"/>
      <c r="AN496" s="408">
        <v>129.58691638550911</v>
      </c>
      <c r="AO496" s="408">
        <v>0</v>
      </c>
      <c r="AP496" s="408">
        <v>0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>
        <v>0</v>
      </c>
      <c r="BG496" s="408">
        <v>830.70507661601255</v>
      </c>
      <c r="BH496" s="408">
        <v>0</v>
      </c>
      <c r="BI496" s="408">
        <v>0</v>
      </c>
      <c r="BJ496" s="408">
        <v>0</v>
      </c>
      <c r="BK496" s="408">
        <v>0</v>
      </c>
      <c r="BL496" s="408">
        <v>0</v>
      </c>
      <c r="BM496" s="408"/>
      <c r="BN496" s="408"/>
      <c r="BO496" s="408"/>
      <c r="BP496" s="408"/>
      <c r="BQ496" s="408"/>
      <c r="BR496" s="408">
        <v>714.29629919999979</v>
      </c>
      <c r="BS496" s="408"/>
      <c r="BT496" s="408"/>
      <c r="BU496" s="408"/>
      <c r="BV496" s="408">
        <v>14415.927778459978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17143.933400000002</v>
      </c>
      <c r="CJ496" s="408">
        <v>-96.417918399998598</v>
      </c>
      <c r="CK496" s="408"/>
      <c r="CL496" s="408"/>
      <c r="CM496" s="408"/>
      <c r="CN496" s="408"/>
      <c r="CO496" s="408">
        <v>-101.26056000000052</v>
      </c>
      <c r="CP496" s="408">
        <v>0</v>
      </c>
      <c r="CQ496" s="408">
        <v>30</v>
      </c>
      <c r="CR496" s="408">
        <v>-101.42344228213187</v>
      </c>
      <c r="CS496" s="408">
        <v>0</v>
      </c>
      <c r="CT496" s="408">
        <v>0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0</v>
      </c>
      <c r="DA496" s="408">
        <v>0</v>
      </c>
      <c r="DB496" s="408">
        <v>0</v>
      </c>
      <c r="DC496" s="408">
        <v>-1.9045601220568642E-6</v>
      </c>
      <c r="DD496" s="408">
        <v>0</v>
      </c>
      <c r="DE496" s="408">
        <v>0</v>
      </c>
      <c r="DF496" s="408">
        <v>0</v>
      </c>
      <c r="DG496" s="408">
        <v>-1.164604555015103E-7</v>
      </c>
      <c r="DH496" s="408">
        <v>0</v>
      </c>
      <c r="DI496" s="408">
        <v>-84.278058616653198</v>
      </c>
      <c r="DJ496" s="408"/>
      <c r="DK496" s="408">
        <v>0</v>
      </c>
      <c r="DL496" s="408">
        <v>0</v>
      </c>
      <c r="DM496" s="408">
        <v>0</v>
      </c>
      <c r="DN496" s="408">
        <v>0</v>
      </c>
      <c r="DO496" s="408">
        <v>-12.937289695845607</v>
      </c>
      <c r="DP496" s="408">
        <v>-4.2080919486075175</v>
      </c>
      <c r="DQ496" s="408">
        <v>0</v>
      </c>
      <c r="DR496" s="408">
        <v>0</v>
      </c>
      <c r="DS496" s="408"/>
      <c r="DT496" s="408"/>
      <c r="DU496" s="408"/>
      <c r="DV496" s="408">
        <v>0</v>
      </c>
      <c r="DW496" s="408">
        <v>0</v>
      </c>
      <c r="DX496" s="408">
        <v>0</v>
      </c>
      <c r="DY496" s="408">
        <v>-101.26056000000062</v>
      </c>
      <c r="DZ496" s="408">
        <v>0</v>
      </c>
      <c r="EA496" s="408">
        <v>0</v>
      </c>
      <c r="EB496" s="408">
        <v>0</v>
      </c>
      <c r="EC496" s="408">
        <v>0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0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265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503</v>
      </c>
      <c r="B497" s="408" t="s">
        <v>1031</v>
      </c>
      <c r="C497" s="408" t="s">
        <v>2235</v>
      </c>
      <c r="D497" s="408" t="s">
        <v>596</v>
      </c>
      <c r="E497" s="408" t="s">
        <v>969</v>
      </c>
      <c r="F497" s="408" t="s">
        <v>2245</v>
      </c>
      <c r="G497" s="408" t="s">
        <v>1317</v>
      </c>
      <c r="H497" s="408" t="s">
        <v>1317</v>
      </c>
      <c r="I497" s="408" t="s">
        <v>1317</v>
      </c>
      <c r="J497" s="408" t="s">
        <v>2228</v>
      </c>
      <c r="K497" s="828">
        <v>44652</v>
      </c>
      <c r="L497" s="408">
        <v>5013</v>
      </c>
      <c r="M497" s="408">
        <v>4812.4799999999996</v>
      </c>
      <c r="N497" s="408">
        <v>0</v>
      </c>
      <c r="O497" s="408">
        <v>0</v>
      </c>
      <c r="P497" s="408">
        <v>0</v>
      </c>
      <c r="Q497" s="408">
        <v>0</v>
      </c>
      <c r="R497" s="408">
        <v>74.44</v>
      </c>
      <c r="S497" s="408"/>
      <c r="T497" s="408"/>
      <c r="U497" s="408">
        <v>373167.72</v>
      </c>
      <c r="V497" s="408"/>
      <c r="W497" s="408">
        <v>373167.72</v>
      </c>
      <c r="X497" s="408">
        <v>227690.46000000002</v>
      </c>
      <c r="Y497" s="408">
        <v>0</v>
      </c>
      <c r="Z497" s="408">
        <v>0</v>
      </c>
      <c r="AA497" s="408">
        <v>0</v>
      </c>
      <c r="AB497" s="408">
        <v>0</v>
      </c>
      <c r="AC497" s="408">
        <v>0</v>
      </c>
      <c r="AD497" s="408">
        <v>136439.28485515487</v>
      </c>
      <c r="AE497" s="408">
        <v>236721.56966403531</v>
      </c>
      <c r="AF497" s="408"/>
      <c r="AG497" s="408"/>
      <c r="AH497" s="408"/>
      <c r="AI497" s="408">
        <v>0</v>
      </c>
      <c r="AJ497" s="408">
        <v>0</v>
      </c>
      <c r="AK497" s="408">
        <v>0</v>
      </c>
      <c r="AL497" s="408">
        <v>0</v>
      </c>
      <c r="AM497" s="408"/>
      <c r="AN497" s="408">
        <v>0</v>
      </c>
      <c r="AO497" s="408">
        <v>0</v>
      </c>
      <c r="AP497" s="408">
        <v>0</v>
      </c>
      <c r="AQ497" s="408">
        <v>0</v>
      </c>
      <c r="AR497" s="408">
        <v>0</v>
      </c>
      <c r="AS497" s="408"/>
      <c r="AT497" s="408"/>
      <c r="AU497" s="408">
        <v>0</v>
      </c>
      <c r="AV497" s="408">
        <v>0</v>
      </c>
      <c r="AW497" s="408">
        <v>0</v>
      </c>
      <c r="AX497" s="408"/>
      <c r="AY497" s="408"/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0</v>
      </c>
      <c r="BF497" s="408"/>
      <c r="BG497" s="408">
        <v>0</v>
      </c>
      <c r="BH497" s="408">
        <v>0</v>
      </c>
      <c r="BI497" s="408">
        <v>0</v>
      </c>
      <c r="BJ497" s="408">
        <v>0</v>
      </c>
      <c r="BK497" s="408">
        <v>360.15</v>
      </c>
      <c r="BL497" s="408">
        <v>25</v>
      </c>
      <c r="BM497" s="408"/>
      <c r="BN497" s="408"/>
      <c r="BO497" s="408"/>
      <c r="BP497" s="408"/>
      <c r="BQ497" s="408"/>
      <c r="BR497" s="408">
        <v>9107.6184000000194</v>
      </c>
      <c r="BS497" s="408"/>
      <c r="BT497" s="408"/>
      <c r="BU497" s="408"/>
      <c r="BV497" s="408">
        <v>0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218582.84159999999</v>
      </c>
      <c r="CJ497" s="408">
        <v>-139658.19959999999</v>
      </c>
      <c r="CK497" s="408"/>
      <c r="CL497" s="408"/>
      <c r="CM497" s="408"/>
      <c r="CN497" s="408"/>
      <c r="CO497" s="408">
        <v>-145477.25999999998</v>
      </c>
      <c r="CP497" s="408">
        <v>0</v>
      </c>
      <c r="CQ497" s="408">
        <v>30</v>
      </c>
      <c r="CR497" s="408">
        <v>-350.66097718520905</v>
      </c>
      <c r="CS497" s="408">
        <v>0</v>
      </c>
      <c r="CT497" s="408">
        <v>0</v>
      </c>
      <c r="CU497" s="408">
        <v>0</v>
      </c>
      <c r="CV497" s="408">
        <v>0</v>
      </c>
      <c r="CW497" s="408"/>
      <c r="CX497" s="408"/>
      <c r="CY497" s="408"/>
      <c r="CZ497" s="408">
        <v>-350.66097718520905</v>
      </c>
      <c r="DA497" s="408">
        <v>0</v>
      </c>
      <c r="DB497" s="408">
        <v>0</v>
      </c>
      <c r="DC497" s="408"/>
      <c r="DD497" s="408"/>
      <c r="DE497" s="408">
        <v>0</v>
      </c>
      <c r="DF497" s="408">
        <v>0</v>
      </c>
      <c r="DG497" s="408">
        <v>0</v>
      </c>
      <c r="DH497" s="408">
        <v>0</v>
      </c>
      <c r="DI497" s="408">
        <v>0</v>
      </c>
      <c r="DJ497" s="408"/>
      <c r="DK497" s="408">
        <v>0</v>
      </c>
      <c r="DL497" s="408">
        <v>0</v>
      </c>
      <c r="DM497" s="408"/>
      <c r="DN497" s="408">
        <v>0</v>
      </c>
      <c r="DO497" s="408">
        <v>0</v>
      </c>
      <c r="DP497" s="408">
        <v>0</v>
      </c>
      <c r="DQ497" s="408">
        <v>0</v>
      </c>
      <c r="DR497" s="408">
        <v>0</v>
      </c>
      <c r="DS497" s="408"/>
      <c r="DT497" s="408"/>
      <c r="DU497" s="408">
        <v>236721.56966403531</v>
      </c>
      <c r="DV497" s="408"/>
      <c r="DW497" s="408">
        <v>0</v>
      </c>
      <c r="DX497" s="408">
        <v>0</v>
      </c>
      <c r="DY497" s="408">
        <v>-145477.25999999995</v>
      </c>
      <c r="DZ497" s="408"/>
      <c r="EA497" s="408">
        <v>0</v>
      </c>
      <c r="EB497" s="408"/>
      <c r="EC497" s="408">
        <v>-145144.67566784867</v>
      </c>
      <c r="ED497" s="408"/>
      <c r="EE497" s="408">
        <v>0</v>
      </c>
      <c r="EF497" s="408">
        <v>0</v>
      </c>
      <c r="EG497" s="408"/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/>
      <c r="EN497" s="408"/>
      <c r="EO497" s="408">
        <v>0</v>
      </c>
      <c r="EP497" s="408">
        <v>0</v>
      </c>
      <c r="EQ497" s="408"/>
      <c r="ER497" s="408">
        <v>0</v>
      </c>
      <c r="ES497" s="408"/>
      <c r="ET497" s="408">
        <v>0</v>
      </c>
      <c r="EU497" s="408"/>
      <c r="EV497" s="408">
        <v>265</v>
      </c>
      <c r="EW497" s="408"/>
      <c r="EX497" s="408"/>
      <c r="EY497" s="408"/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504</v>
      </c>
      <c r="B498" s="408" t="s">
        <v>2230</v>
      </c>
      <c r="C498" s="408" t="s">
        <v>2235</v>
      </c>
      <c r="D498" s="408" t="s">
        <v>596</v>
      </c>
      <c r="E498" s="408" t="s">
        <v>969</v>
      </c>
      <c r="F498" s="408" t="s">
        <v>2245</v>
      </c>
      <c r="G498" s="408" t="s">
        <v>1317</v>
      </c>
      <c r="H498" s="408" t="s">
        <v>1317</v>
      </c>
      <c r="I498" s="408" t="s">
        <v>1317</v>
      </c>
      <c r="J498" s="408" t="s">
        <v>2228</v>
      </c>
      <c r="K498" s="828">
        <v>44652</v>
      </c>
      <c r="L498" s="408">
        <v>18</v>
      </c>
      <c r="M498" s="408">
        <v>17.28</v>
      </c>
      <c r="N498" s="408">
        <v>0</v>
      </c>
      <c r="O498" s="408">
        <v>0</v>
      </c>
      <c r="P498" s="408">
        <v>0</v>
      </c>
      <c r="Q498" s="408">
        <v>0</v>
      </c>
      <c r="R498" s="408">
        <v>74.44</v>
      </c>
      <c r="S498" s="408"/>
      <c r="T498" s="408"/>
      <c r="U498" s="408">
        <v>1339.92</v>
      </c>
      <c r="V498" s="408"/>
      <c r="W498" s="408">
        <v>1339.92</v>
      </c>
      <c r="X498" s="408">
        <v>817.56000000000006</v>
      </c>
      <c r="Y498" s="408">
        <v>0</v>
      </c>
      <c r="Z498" s="408">
        <v>0</v>
      </c>
      <c r="AA498" s="408">
        <v>0</v>
      </c>
      <c r="AB498" s="408">
        <v>0</v>
      </c>
      <c r="AC498" s="408">
        <v>0</v>
      </c>
      <c r="AD498" s="408">
        <v>489.9076655481324</v>
      </c>
      <c r="AE498" s="408">
        <v>849.98768281520756</v>
      </c>
      <c r="AF498" s="408"/>
      <c r="AG498" s="408"/>
      <c r="AH498" s="408"/>
      <c r="AI498" s="408">
        <v>0</v>
      </c>
      <c r="AJ498" s="408">
        <v>0</v>
      </c>
      <c r="AK498" s="408">
        <v>0</v>
      </c>
      <c r="AL498" s="408">
        <v>0</v>
      </c>
      <c r="AM498" s="408"/>
      <c r="AN498" s="408">
        <v>0</v>
      </c>
      <c r="AO498" s="408">
        <v>0</v>
      </c>
      <c r="AP498" s="408">
        <v>0</v>
      </c>
      <c r="AQ498" s="408">
        <v>0</v>
      </c>
      <c r="AR498" s="408">
        <v>0</v>
      </c>
      <c r="AS498" s="408"/>
      <c r="AT498" s="408"/>
      <c r="AU498" s="408">
        <v>0</v>
      </c>
      <c r="AV498" s="408">
        <v>0</v>
      </c>
      <c r="AW498" s="408">
        <v>0</v>
      </c>
      <c r="AX498" s="408"/>
      <c r="AY498" s="408"/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0</v>
      </c>
      <c r="BF498" s="408"/>
      <c r="BG498" s="408">
        <v>0</v>
      </c>
      <c r="BH498" s="408">
        <v>0</v>
      </c>
      <c r="BI498" s="408">
        <v>0</v>
      </c>
      <c r="BJ498" s="408">
        <v>0</v>
      </c>
      <c r="BK498" s="408">
        <v>4.6500000000000004</v>
      </c>
      <c r="BL498" s="408">
        <v>2</v>
      </c>
      <c r="BM498" s="408"/>
      <c r="BN498" s="408"/>
      <c r="BO498" s="408"/>
      <c r="BP498" s="408"/>
      <c r="BQ498" s="408"/>
      <c r="BR498" s="408">
        <v>32.702399999999948</v>
      </c>
      <c r="BS498" s="408"/>
      <c r="BT498" s="408"/>
      <c r="BU498" s="408"/>
      <c r="BV498" s="408">
        <v>0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784.85760000000005</v>
      </c>
      <c r="CJ498" s="408">
        <v>-501.49559999999997</v>
      </c>
      <c r="CK498" s="408"/>
      <c r="CL498" s="408"/>
      <c r="CM498" s="408"/>
      <c r="CN498" s="408"/>
      <c r="CO498" s="408">
        <v>-522.3599999999999</v>
      </c>
      <c r="CP498" s="408">
        <v>0</v>
      </c>
      <c r="CQ498" s="408">
        <v>30</v>
      </c>
      <c r="CR498" s="408">
        <v>-1.2591058426758082</v>
      </c>
      <c r="CS498" s="408">
        <v>0</v>
      </c>
      <c r="CT498" s="408">
        <v>0</v>
      </c>
      <c r="CU498" s="408">
        <v>0</v>
      </c>
      <c r="CV498" s="408">
        <v>0</v>
      </c>
      <c r="CW498" s="408"/>
      <c r="CX498" s="408"/>
      <c r="CY498" s="408"/>
      <c r="CZ498" s="408">
        <v>-1.2591058426758082</v>
      </c>
      <c r="DA498" s="408">
        <v>0</v>
      </c>
      <c r="DB498" s="408">
        <v>0</v>
      </c>
      <c r="DC498" s="408"/>
      <c r="DD498" s="408"/>
      <c r="DE498" s="408">
        <v>0</v>
      </c>
      <c r="DF498" s="408">
        <v>0</v>
      </c>
      <c r="DG498" s="408">
        <v>0</v>
      </c>
      <c r="DH498" s="408">
        <v>0</v>
      </c>
      <c r="DI498" s="408">
        <v>0</v>
      </c>
      <c r="DJ498" s="408"/>
      <c r="DK498" s="408">
        <v>0</v>
      </c>
      <c r="DL498" s="408">
        <v>0</v>
      </c>
      <c r="DM498" s="408"/>
      <c r="DN498" s="408">
        <v>0</v>
      </c>
      <c r="DO498" s="408">
        <v>0</v>
      </c>
      <c r="DP498" s="408">
        <v>0</v>
      </c>
      <c r="DQ498" s="408">
        <v>0</v>
      </c>
      <c r="DR498" s="408">
        <v>0</v>
      </c>
      <c r="DS498" s="408"/>
      <c r="DT498" s="408"/>
      <c r="DU498" s="408">
        <v>849.98768281520756</v>
      </c>
      <c r="DV498" s="408"/>
      <c r="DW498" s="408">
        <v>0</v>
      </c>
      <c r="DX498" s="408">
        <v>0</v>
      </c>
      <c r="DY498" s="408">
        <v>-522.36</v>
      </c>
      <c r="DZ498" s="408"/>
      <c r="EA498" s="408">
        <v>0</v>
      </c>
      <c r="EB498" s="408"/>
      <c r="EC498" s="408">
        <v>-521.16580132082095</v>
      </c>
      <c r="ED498" s="408"/>
      <c r="EE498" s="408">
        <v>0</v>
      </c>
      <c r="EF498" s="408">
        <v>0</v>
      </c>
      <c r="EG498" s="408"/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/>
      <c r="EN498" s="408"/>
      <c r="EO498" s="408">
        <v>0</v>
      </c>
      <c r="EP498" s="408">
        <v>0</v>
      </c>
      <c r="EQ498" s="408"/>
      <c r="ER498" s="408">
        <v>0</v>
      </c>
      <c r="ES498" s="408"/>
      <c r="ET498" s="408">
        <v>0</v>
      </c>
      <c r="EU498" s="408"/>
      <c r="EV498" s="408">
        <v>265</v>
      </c>
      <c r="EW498" s="408"/>
      <c r="EX498" s="408"/>
      <c r="EY498" s="408"/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505</v>
      </c>
      <c r="B499" s="408" t="s">
        <v>1031</v>
      </c>
      <c r="C499" s="408" t="s">
        <v>2235</v>
      </c>
      <c r="D499" s="408" t="s">
        <v>596</v>
      </c>
      <c r="E499" s="408" t="s">
        <v>969</v>
      </c>
      <c r="F499" s="408" t="s">
        <v>2245</v>
      </c>
      <c r="G499" s="408" t="s">
        <v>2247</v>
      </c>
      <c r="H499" s="408" t="s">
        <v>1317</v>
      </c>
      <c r="I499" s="408" t="s">
        <v>2236</v>
      </c>
      <c r="J499" s="408" t="s">
        <v>2228</v>
      </c>
      <c r="K499" s="828">
        <v>44652</v>
      </c>
      <c r="L499" s="408">
        <v>0</v>
      </c>
      <c r="M499" s="408">
        <v>0</v>
      </c>
      <c r="N499" s="408">
        <v>40.447000000000003</v>
      </c>
      <c r="O499" s="408">
        <v>12.1341</v>
      </c>
      <c r="P499" s="408">
        <v>40.447000000000003</v>
      </c>
      <c r="Q499" s="408">
        <v>12.1341</v>
      </c>
      <c r="R499" s="408"/>
      <c r="S499" s="408">
        <v>81.2</v>
      </c>
      <c r="T499" s="408">
        <v>252.22</v>
      </c>
      <c r="U499" s="408"/>
      <c r="V499" s="408">
        <v>13485.838739999999</v>
      </c>
      <c r="W499" s="408">
        <v>13485.838739999999</v>
      </c>
      <c r="X499" s="408">
        <v>13409.79838</v>
      </c>
      <c r="Y499" s="408">
        <v>0</v>
      </c>
      <c r="Z499" s="408">
        <v>2176.5439245738085</v>
      </c>
      <c r="AA499" s="408">
        <v>0</v>
      </c>
      <c r="AB499" s="408">
        <v>0</v>
      </c>
      <c r="AC499" s="408">
        <v>0</v>
      </c>
      <c r="AD499" s="408">
        <v>0</v>
      </c>
      <c r="AE499" s="408">
        <v>0</v>
      </c>
      <c r="AF499" s="408">
        <v>10201.654276140562</v>
      </c>
      <c r="AG499" s="408">
        <v>0</v>
      </c>
      <c r="AH499" s="408">
        <v>0</v>
      </c>
      <c r="AI499" s="408">
        <v>0</v>
      </c>
      <c r="AJ499" s="408">
        <v>0</v>
      </c>
      <c r="AK499" s="408">
        <v>0</v>
      </c>
      <c r="AL499" s="408">
        <v>386.71494740521854</v>
      </c>
      <c r="AM499" s="408"/>
      <c r="AN499" s="408">
        <v>97.311685549082611</v>
      </c>
      <c r="AO499" s="408">
        <v>0</v>
      </c>
      <c r="AP499" s="408">
        <v>0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0</v>
      </c>
      <c r="BF499" s="408">
        <v>0</v>
      </c>
      <c r="BG499" s="408">
        <v>623.80766094626745</v>
      </c>
      <c r="BH499" s="408">
        <v>0</v>
      </c>
      <c r="BI499" s="408">
        <v>0</v>
      </c>
      <c r="BJ499" s="408">
        <v>0</v>
      </c>
      <c r="BK499" s="408">
        <v>0</v>
      </c>
      <c r="BL499" s="408">
        <v>0</v>
      </c>
      <c r="BM499" s="408"/>
      <c r="BN499" s="408"/>
      <c r="BO499" s="408"/>
      <c r="BP499" s="408"/>
      <c r="BQ499" s="408"/>
      <c r="BR499" s="408"/>
      <c r="BS499" s="408">
        <v>9386.8588660000005</v>
      </c>
      <c r="BT499" s="408"/>
      <c r="BU499" s="408"/>
      <c r="BV499" s="408">
        <v>10825.461937086829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4021.5802000000003</v>
      </c>
      <c r="CJ499" s="408">
        <v>-24.201421999999639</v>
      </c>
      <c r="CK499" s="408"/>
      <c r="CL499" s="408"/>
      <c r="CM499" s="408"/>
      <c r="CN499" s="408"/>
      <c r="CO499" s="408">
        <v>-76.040360000000391</v>
      </c>
      <c r="CP499" s="408">
        <v>0</v>
      </c>
      <c r="CQ499" s="408">
        <v>30</v>
      </c>
      <c r="CR499" s="408">
        <v>-76.162674426966987</v>
      </c>
      <c r="CS499" s="408">
        <v>0</v>
      </c>
      <c r="CT499" s="408">
        <v>0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0</v>
      </c>
      <c r="DA499" s="408">
        <v>0</v>
      </c>
      <c r="DB499" s="408">
        <v>0</v>
      </c>
      <c r="DC499" s="408">
        <v>-1.4302058843895793E-6</v>
      </c>
      <c r="DD499" s="408">
        <v>0</v>
      </c>
      <c r="DE499" s="408">
        <v>0</v>
      </c>
      <c r="DF499" s="408">
        <v>0</v>
      </c>
      <c r="DG499" s="408">
        <v>-8.7454509412054904E-8</v>
      </c>
      <c r="DH499" s="408">
        <v>0</v>
      </c>
      <c r="DI499" s="408">
        <v>-63.287561488020401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-9.7150970318196528</v>
      </c>
      <c r="DP499" s="408">
        <v>-3.1600143894643367</v>
      </c>
      <c r="DQ499" s="408">
        <v>0</v>
      </c>
      <c r="DR499" s="408">
        <v>0</v>
      </c>
      <c r="DS499" s="408"/>
      <c r="DT499" s="408"/>
      <c r="DU499" s="408"/>
      <c r="DV499" s="408">
        <v>0</v>
      </c>
      <c r="DW499" s="408">
        <v>0</v>
      </c>
      <c r="DX499" s="408">
        <v>0</v>
      </c>
      <c r="DY499" s="408">
        <v>-76.040360000000419</v>
      </c>
      <c r="DZ499" s="408">
        <v>0</v>
      </c>
      <c r="EA499" s="408">
        <v>0</v>
      </c>
      <c r="EB499" s="408">
        <v>0</v>
      </c>
      <c r="EC499" s="408">
        <v>0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265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506</v>
      </c>
      <c r="B500" s="408" t="s">
        <v>1031</v>
      </c>
      <c r="C500" s="408" t="s">
        <v>2227</v>
      </c>
      <c r="D500" s="408" t="s">
        <v>1949</v>
      </c>
      <c r="E500" s="408" t="s">
        <v>964</v>
      </c>
      <c r="F500" s="408" t="s">
        <v>964</v>
      </c>
      <c r="G500" s="408" t="s">
        <v>1317</v>
      </c>
      <c r="H500" s="408" t="s">
        <v>1317</v>
      </c>
      <c r="I500" s="408" t="s">
        <v>1317</v>
      </c>
      <c r="J500" s="408" t="s">
        <v>2228</v>
      </c>
      <c r="K500" s="828">
        <v>44682</v>
      </c>
      <c r="L500" s="408">
        <v>0</v>
      </c>
      <c r="M500" s="408">
        <v>0</v>
      </c>
      <c r="N500" s="408">
        <v>979.10699999999997</v>
      </c>
      <c r="O500" s="408">
        <v>979.10699999999997</v>
      </c>
      <c r="P500" s="408">
        <v>979.10699999999997</v>
      </c>
      <c r="Q500" s="408">
        <v>979.10699999999997</v>
      </c>
      <c r="R500" s="408"/>
      <c r="S500" s="408">
        <v>739.04</v>
      </c>
      <c r="T500" s="408">
        <v>252.22</v>
      </c>
      <c r="U500" s="408"/>
      <c r="V500" s="408">
        <v>970549.60481999989</v>
      </c>
      <c r="W500" s="408">
        <v>970549.60481999989</v>
      </c>
      <c r="X500" s="408">
        <v>663805.17278999998</v>
      </c>
      <c r="Y500" s="408">
        <v>0</v>
      </c>
      <c r="Z500" s="408">
        <v>60560.858622073276</v>
      </c>
      <c r="AA500" s="408">
        <v>0</v>
      </c>
      <c r="AB500" s="408">
        <v>0</v>
      </c>
      <c r="AC500" s="408">
        <v>0</v>
      </c>
      <c r="AD500" s="408">
        <v>120917.34593856995</v>
      </c>
      <c r="AE500" s="408">
        <v>496395.27457380062</v>
      </c>
      <c r="AF500" s="408">
        <v>246953.07719606289</v>
      </c>
      <c r="AG500" s="408">
        <v>0</v>
      </c>
      <c r="AH500" s="408">
        <v>0</v>
      </c>
      <c r="AI500" s="408">
        <v>0</v>
      </c>
      <c r="AJ500" s="408">
        <v>0</v>
      </c>
      <c r="AK500" s="408">
        <v>0</v>
      </c>
      <c r="AL500" s="408">
        <v>9361.2706012579729</v>
      </c>
      <c r="AM500" s="408"/>
      <c r="AN500" s="408">
        <v>2294.3400028039864</v>
      </c>
      <c r="AO500" s="408">
        <v>0</v>
      </c>
      <c r="AP500" s="408">
        <v>0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0</v>
      </c>
      <c r="BF500" s="408">
        <v>0</v>
      </c>
      <c r="BG500" s="408">
        <v>34067.291738907159</v>
      </c>
      <c r="BH500" s="408">
        <v>0</v>
      </c>
      <c r="BI500" s="408">
        <v>0</v>
      </c>
      <c r="BJ500" s="408">
        <v>0</v>
      </c>
      <c r="BK500" s="408">
        <v>216225.65</v>
      </c>
      <c r="BL500" s="408">
        <v>7771</v>
      </c>
      <c r="BM500" s="408"/>
      <c r="BN500" s="408"/>
      <c r="BO500" s="408"/>
      <c r="BP500" s="408"/>
      <c r="BQ500" s="408"/>
      <c r="BR500" s="408"/>
      <c r="BS500" s="408"/>
      <c r="BT500" s="408"/>
      <c r="BU500" s="408"/>
      <c r="BV500" s="408">
        <v>281020.36893497006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663807.20669999998</v>
      </c>
      <c r="CJ500" s="408">
        <v>-306742.42811999994</v>
      </c>
      <c r="CK500" s="408"/>
      <c r="CL500" s="408"/>
      <c r="CM500" s="408"/>
      <c r="CN500" s="408"/>
      <c r="CO500" s="408">
        <v>-306744.43202999997</v>
      </c>
      <c r="CP500" s="408">
        <v>0</v>
      </c>
      <c r="CQ500" s="408">
        <v>31</v>
      </c>
      <c r="CR500" s="408">
        <v>-2381.3810395509936</v>
      </c>
      <c r="CS500" s="408">
        <v>0</v>
      </c>
      <c r="CT500" s="408">
        <v>0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-310.7682272773236</v>
      </c>
      <c r="DA500" s="408">
        <v>0</v>
      </c>
      <c r="DB500" s="408">
        <v>0</v>
      </c>
      <c r="DC500" s="408">
        <v>-3.4621247323229909E-5</v>
      </c>
      <c r="DD500" s="408">
        <v>0</v>
      </c>
      <c r="DE500" s="408">
        <v>0</v>
      </c>
      <c r="DF500" s="408">
        <v>0</v>
      </c>
      <c r="DG500" s="408">
        <v>-4.7759895096533E-6</v>
      </c>
      <c r="DH500" s="408">
        <v>0</v>
      </c>
      <c r="DI500" s="408">
        <v>-1760.9334783180602</v>
      </c>
      <c r="DJ500" s="408"/>
      <c r="DK500" s="408">
        <v>0</v>
      </c>
      <c r="DL500" s="408">
        <v>0</v>
      </c>
      <c r="DM500" s="408">
        <v>0</v>
      </c>
      <c r="DN500" s="408">
        <v>0</v>
      </c>
      <c r="DO500" s="408">
        <v>-235.17490813988297</v>
      </c>
      <c r="DP500" s="408">
        <v>-74.504386418491777</v>
      </c>
      <c r="DQ500" s="408">
        <v>0</v>
      </c>
      <c r="DR500" s="408">
        <v>0</v>
      </c>
      <c r="DS500" s="408"/>
      <c r="DT500" s="408"/>
      <c r="DU500" s="408"/>
      <c r="DV500" s="408">
        <v>496395.27457380062</v>
      </c>
      <c r="DW500" s="408">
        <v>0</v>
      </c>
      <c r="DX500" s="408">
        <v>0</v>
      </c>
      <c r="DY500" s="408">
        <v>-306744.43202999991</v>
      </c>
      <c r="DZ500" s="408">
        <v>0</v>
      </c>
      <c r="EA500" s="408">
        <v>0</v>
      </c>
      <c r="EB500" s="408">
        <v>0</v>
      </c>
      <c r="EC500" s="408">
        <v>-304362.34109685011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0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265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507</v>
      </c>
      <c r="B501" s="408" t="s">
        <v>2229</v>
      </c>
      <c r="C501" s="408" t="s">
        <v>2227</v>
      </c>
      <c r="D501" s="408" t="s">
        <v>1949</v>
      </c>
      <c r="E501" s="408" t="s">
        <v>964</v>
      </c>
      <c r="F501" s="408" t="s">
        <v>964</v>
      </c>
      <c r="G501" s="408" t="s">
        <v>1317</v>
      </c>
      <c r="H501" s="408" t="s">
        <v>1317</v>
      </c>
      <c r="I501" s="408" t="s">
        <v>1317</v>
      </c>
      <c r="J501" s="408" t="s">
        <v>2228</v>
      </c>
      <c r="K501" s="828">
        <v>44682</v>
      </c>
      <c r="L501" s="408">
        <v>0</v>
      </c>
      <c r="M501" s="408">
        <v>0</v>
      </c>
      <c r="N501" s="408">
        <v>-0.2</v>
      </c>
      <c r="O501" s="408">
        <v>-0.2</v>
      </c>
      <c r="P501" s="408">
        <v>-0.2</v>
      </c>
      <c r="Q501" s="408">
        <v>-0.2</v>
      </c>
      <c r="R501" s="408"/>
      <c r="S501" s="408">
        <v>739.04</v>
      </c>
      <c r="T501" s="408">
        <v>252.22</v>
      </c>
      <c r="U501" s="408"/>
      <c r="V501" s="408">
        <v>-198.25200000000001</v>
      </c>
      <c r="W501" s="408">
        <v>-198.25200000000001</v>
      </c>
      <c r="X501" s="408">
        <v>-135.59399999999999</v>
      </c>
      <c r="Y501" s="408">
        <v>0</v>
      </c>
      <c r="Z501" s="408">
        <v>-12.37063132468122</v>
      </c>
      <c r="AA501" s="408">
        <v>0</v>
      </c>
      <c r="AB501" s="408">
        <v>0</v>
      </c>
      <c r="AC501" s="408">
        <v>0</v>
      </c>
      <c r="AD501" s="408">
        <v>-24.699516179246999</v>
      </c>
      <c r="AE501" s="408">
        <v>-101.3975540107058</v>
      </c>
      <c r="AF501" s="408">
        <v>-50.444553495391801</v>
      </c>
      <c r="AG501" s="408">
        <v>0</v>
      </c>
      <c r="AH501" s="408">
        <v>0</v>
      </c>
      <c r="AI501" s="408">
        <v>0</v>
      </c>
      <c r="AJ501" s="408">
        <v>0</v>
      </c>
      <c r="AK501" s="408">
        <v>0</v>
      </c>
      <c r="AL501" s="408">
        <v>-1.9122058367998542</v>
      </c>
      <c r="AM501" s="408"/>
      <c r="AN501" s="408">
        <v>-0.46865970783662797</v>
      </c>
      <c r="AO501" s="408">
        <v>0</v>
      </c>
      <c r="AP501" s="408">
        <v>0</v>
      </c>
      <c r="AQ501" s="408">
        <v>0</v>
      </c>
      <c r="AR501" s="408">
        <v>0</v>
      </c>
      <c r="AS501" s="408">
        <v>0</v>
      </c>
      <c r="AT501" s="408">
        <v>0</v>
      </c>
      <c r="AU501" s="408">
        <v>0</v>
      </c>
      <c r="AV501" s="408">
        <v>0</v>
      </c>
      <c r="AW501" s="408">
        <v>0</v>
      </c>
      <c r="AX501" s="408">
        <v>0</v>
      </c>
      <c r="AY501" s="408">
        <v>0</v>
      </c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>
        <v>0</v>
      </c>
      <c r="BG501" s="408">
        <v>-6.9588495923136406</v>
      </c>
      <c r="BH501" s="408">
        <v>0</v>
      </c>
      <c r="BI501" s="408">
        <v>0</v>
      </c>
      <c r="BJ501" s="408">
        <v>0</v>
      </c>
      <c r="BK501" s="408">
        <v>-59.51</v>
      </c>
      <c r="BL501" s="408">
        <v>0</v>
      </c>
      <c r="BM501" s="408"/>
      <c r="BN501" s="408"/>
      <c r="BO501" s="408"/>
      <c r="BP501" s="408"/>
      <c r="BQ501" s="408"/>
      <c r="BR501" s="408"/>
      <c r="BS501" s="408"/>
      <c r="BT501" s="408"/>
      <c r="BU501" s="408"/>
      <c r="BV501" s="408">
        <v>-57.403403087705442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-135.59399999999999</v>
      </c>
      <c r="CJ501" s="408">
        <v>62.628000000000043</v>
      </c>
      <c r="CK501" s="408"/>
      <c r="CL501" s="408"/>
      <c r="CM501" s="408"/>
      <c r="CN501" s="408"/>
      <c r="CO501" s="408">
        <v>62.657999999999994</v>
      </c>
      <c r="CP501" s="408">
        <v>0</v>
      </c>
      <c r="CQ501" s="408">
        <v>31</v>
      </c>
      <c r="CR501" s="408">
        <v>0.48643938600194758</v>
      </c>
      <c r="CS501" s="408">
        <v>0</v>
      </c>
      <c r="CT501" s="408">
        <v>0</v>
      </c>
      <c r="CU501" s="408">
        <v>0</v>
      </c>
      <c r="CV501" s="408">
        <v>0</v>
      </c>
      <c r="CW501" s="408">
        <v>0</v>
      </c>
      <c r="CX501" s="408">
        <v>0</v>
      </c>
      <c r="CY501" s="408">
        <v>0</v>
      </c>
      <c r="CZ501" s="408">
        <v>6.347993166779986E-2</v>
      </c>
      <c r="DA501" s="408">
        <v>0</v>
      </c>
      <c r="DB501" s="408">
        <v>0</v>
      </c>
      <c r="DC501" s="408">
        <v>7.0720034273108467E-9</v>
      </c>
      <c r="DD501" s="408">
        <v>0</v>
      </c>
      <c r="DE501" s="408">
        <v>0</v>
      </c>
      <c r="DF501" s="408">
        <v>0</v>
      </c>
      <c r="DG501" s="408">
        <v>9.7558050526913576E-10</v>
      </c>
      <c r="DH501" s="408">
        <v>0</v>
      </c>
      <c r="DI501" s="408">
        <v>0.35970194847305947</v>
      </c>
      <c r="DJ501" s="408"/>
      <c r="DK501" s="408">
        <v>0</v>
      </c>
      <c r="DL501" s="408">
        <v>0</v>
      </c>
      <c r="DM501" s="408">
        <v>0</v>
      </c>
      <c r="DN501" s="408">
        <v>0</v>
      </c>
      <c r="DO501" s="408">
        <v>4.8038653209482307E-2</v>
      </c>
      <c r="DP501" s="408">
        <v>1.5218844604009962E-2</v>
      </c>
      <c r="DQ501" s="408">
        <v>0</v>
      </c>
      <c r="DR501" s="408">
        <v>0</v>
      </c>
      <c r="DS501" s="408"/>
      <c r="DT501" s="408"/>
      <c r="DU501" s="408"/>
      <c r="DV501" s="408">
        <v>-101.3975540107058</v>
      </c>
      <c r="DW501" s="408">
        <v>0</v>
      </c>
      <c r="DX501" s="408">
        <v>0</v>
      </c>
      <c r="DY501" s="408">
        <v>62.657999999999987</v>
      </c>
      <c r="DZ501" s="408">
        <v>0</v>
      </c>
      <c r="EA501" s="408">
        <v>0</v>
      </c>
      <c r="EB501" s="408">
        <v>0</v>
      </c>
      <c r="EC501" s="408">
        <v>62.171415605618201</v>
      </c>
      <c r="ED501" s="408">
        <v>0</v>
      </c>
      <c r="EE501" s="408">
        <v>0</v>
      </c>
      <c r="EF501" s="408">
        <v>0</v>
      </c>
      <c r="EG501" s="408">
        <v>0</v>
      </c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>
        <v>0</v>
      </c>
      <c r="EN501" s="408">
        <v>0</v>
      </c>
      <c r="EO501" s="408">
        <v>0</v>
      </c>
      <c r="EP501" s="408">
        <v>0</v>
      </c>
      <c r="EQ501" s="408">
        <v>0</v>
      </c>
      <c r="ER501" s="408">
        <v>0</v>
      </c>
      <c r="ES501" s="408">
        <v>0</v>
      </c>
      <c r="ET501" s="408">
        <v>0</v>
      </c>
      <c r="EU501" s="408">
        <v>0</v>
      </c>
      <c r="EV501" s="408">
        <v>265</v>
      </c>
      <c r="EW501" s="408">
        <v>0</v>
      </c>
      <c r="EX501" s="408">
        <v>0</v>
      </c>
      <c r="EY501" s="408">
        <v>0</v>
      </c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508</v>
      </c>
      <c r="B502" s="408" t="s">
        <v>2230</v>
      </c>
      <c r="C502" s="408" t="s">
        <v>2227</v>
      </c>
      <c r="D502" s="408" t="s">
        <v>1949</v>
      </c>
      <c r="E502" s="408" t="s">
        <v>964</v>
      </c>
      <c r="F502" s="408" t="s">
        <v>964</v>
      </c>
      <c r="G502" s="408" t="s">
        <v>1317</v>
      </c>
      <c r="H502" s="408" t="s">
        <v>1317</v>
      </c>
      <c r="I502" s="408" t="s">
        <v>1317</v>
      </c>
      <c r="J502" s="408" t="s">
        <v>2228</v>
      </c>
      <c r="K502" s="828">
        <v>44682</v>
      </c>
      <c r="L502" s="408">
        <v>0</v>
      </c>
      <c r="M502" s="408">
        <v>0</v>
      </c>
      <c r="N502" s="408">
        <v>38.625999999999998</v>
      </c>
      <c r="O502" s="408">
        <v>38.625999999999998</v>
      </c>
      <c r="P502" s="408">
        <v>38.625999999999998</v>
      </c>
      <c r="Q502" s="408">
        <v>38.625999999999998</v>
      </c>
      <c r="R502" s="408"/>
      <c r="S502" s="408">
        <v>739.04</v>
      </c>
      <c r="T502" s="408">
        <v>252.22</v>
      </c>
      <c r="U502" s="408"/>
      <c r="V502" s="408">
        <v>38288.408759999998</v>
      </c>
      <c r="W502" s="408">
        <v>38288.408759999998</v>
      </c>
      <c r="X502" s="408">
        <v>26187.269219999998</v>
      </c>
      <c r="Y502" s="408">
        <v>0</v>
      </c>
      <c r="Z502" s="408">
        <v>2389.1400277356838</v>
      </c>
      <c r="AA502" s="408">
        <v>0</v>
      </c>
      <c r="AB502" s="408">
        <v>0</v>
      </c>
      <c r="AC502" s="408">
        <v>0</v>
      </c>
      <c r="AD502" s="408">
        <v>4770.2175596979723</v>
      </c>
      <c r="AE502" s="408">
        <v>19582.909606087611</v>
      </c>
      <c r="AF502" s="408">
        <v>9742.3566165650172</v>
      </c>
      <c r="AG502" s="408">
        <v>0</v>
      </c>
      <c r="AH502" s="408">
        <v>0</v>
      </c>
      <c r="AI502" s="408">
        <v>0</v>
      </c>
      <c r="AJ502" s="408">
        <v>0</v>
      </c>
      <c r="AK502" s="408">
        <v>0</v>
      </c>
      <c r="AL502" s="408">
        <v>369.30431326115581</v>
      </c>
      <c r="AM502" s="408"/>
      <c r="AN502" s="408">
        <v>90.512249374487951</v>
      </c>
      <c r="AO502" s="408">
        <v>0</v>
      </c>
      <c r="AP502" s="408">
        <v>0</v>
      </c>
      <c r="AQ502" s="408">
        <v>0</v>
      </c>
      <c r="AR502" s="408">
        <v>0</v>
      </c>
      <c r="AS502" s="408">
        <v>0</v>
      </c>
      <c r="AT502" s="408">
        <v>0</v>
      </c>
      <c r="AU502" s="408">
        <v>0</v>
      </c>
      <c r="AV502" s="408">
        <v>0</v>
      </c>
      <c r="AW502" s="408">
        <v>0</v>
      </c>
      <c r="AX502" s="408">
        <v>0</v>
      </c>
      <c r="AY502" s="408">
        <v>0</v>
      </c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>
        <v>0</v>
      </c>
      <c r="BG502" s="408">
        <v>1343.9626217635334</v>
      </c>
      <c r="BH502" s="408">
        <v>0</v>
      </c>
      <c r="BI502" s="408">
        <v>0</v>
      </c>
      <c r="BJ502" s="408">
        <v>0</v>
      </c>
      <c r="BK502" s="408">
        <v>23734.54</v>
      </c>
      <c r="BL502" s="408">
        <v>517</v>
      </c>
      <c r="BM502" s="408"/>
      <c r="BN502" s="408"/>
      <c r="BO502" s="408"/>
      <c r="BP502" s="408"/>
      <c r="BQ502" s="408"/>
      <c r="BR502" s="408"/>
      <c r="BS502" s="408"/>
      <c r="BT502" s="408"/>
      <c r="BU502" s="408"/>
      <c r="BV502" s="408">
        <v>11086.319238328551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26189.981100000001</v>
      </c>
      <c r="CJ502" s="408">
        <v>-12098.457659999996</v>
      </c>
      <c r="CK502" s="408"/>
      <c r="CL502" s="408"/>
      <c r="CM502" s="408"/>
      <c r="CN502" s="408"/>
      <c r="CO502" s="408">
        <v>-12101.139539999998</v>
      </c>
      <c r="CP502" s="408">
        <v>0</v>
      </c>
      <c r="CQ502" s="408">
        <v>31</v>
      </c>
      <c r="CR502" s="408">
        <v>-93.946038618556486</v>
      </c>
      <c r="CS502" s="408">
        <v>0</v>
      </c>
      <c r="CT502" s="408">
        <v>0</v>
      </c>
      <c r="CU502" s="408">
        <v>0</v>
      </c>
      <c r="CV502" s="408">
        <v>0</v>
      </c>
      <c r="CW502" s="408">
        <v>0</v>
      </c>
      <c r="CX502" s="408">
        <v>0</v>
      </c>
      <c r="CY502" s="408">
        <v>0</v>
      </c>
      <c r="CZ502" s="408">
        <v>-12.259879203002129</v>
      </c>
      <c r="DA502" s="408">
        <v>0</v>
      </c>
      <c r="DB502" s="408">
        <v>0</v>
      </c>
      <c r="DC502" s="408">
        <v>-1.3658154784934595E-6</v>
      </c>
      <c r="DD502" s="408">
        <v>0</v>
      </c>
      <c r="DE502" s="408">
        <v>0</v>
      </c>
      <c r="DF502" s="408">
        <v>0</v>
      </c>
      <c r="DG502" s="408">
        <v>-1.8841410565073602E-7</v>
      </c>
      <c r="DH502" s="408">
        <v>0</v>
      </c>
      <c r="DI502" s="408">
        <v>-69.469237308601805</v>
      </c>
      <c r="DJ502" s="408"/>
      <c r="DK502" s="408">
        <v>0</v>
      </c>
      <c r="DL502" s="408">
        <v>0</v>
      </c>
      <c r="DM502" s="408">
        <v>0</v>
      </c>
      <c r="DN502" s="408">
        <v>0</v>
      </c>
      <c r="DO502" s="408">
        <v>-9.2777050943473114</v>
      </c>
      <c r="DP502" s="408">
        <v>-2.9392154583724448</v>
      </c>
      <c r="DQ502" s="408">
        <v>0</v>
      </c>
      <c r="DR502" s="408">
        <v>0</v>
      </c>
      <c r="DS502" s="408"/>
      <c r="DT502" s="408"/>
      <c r="DU502" s="408"/>
      <c r="DV502" s="408">
        <v>19582.909606087611</v>
      </c>
      <c r="DW502" s="408">
        <v>0</v>
      </c>
      <c r="DX502" s="408">
        <v>0</v>
      </c>
      <c r="DY502" s="408">
        <v>-12101.13954</v>
      </c>
      <c r="DZ502" s="408">
        <v>0</v>
      </c>
      <c r="EA502" s="408">
        <v>0</v>
      </c>
      <c r="EB502" s="408">
        <v>0</v>
      </c>
      <c r="EC502" s="408">
        <v>-12007.165495913043</v>
      </c>
      <c r="ED502" s="408">
        <v>0</v>
      </c>
      <c r="EE502" s="408">
        <v>0</v>
      </c>
      <c r="EF502" s="408">
        <v>0</v>
      </c>
      <c r="EG502" s="408">
        <v>0</v>
      </c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>
        <v>0</v>
      </c>
      <c r="EN502" s="408">
        <v>0</v>
      </c>
      <c r="EO502" s="408">
        <v>0</v>
      </c>
      <c r="EP502" s="408">
        <v>0</v>
      </c>
      <c r="EQ502" s="408">
        <v>0</v>
      </c>
      <c r="ER502" s="408">
        <v>0</v>
      </c>
      <c r="ES502" s="408">
        <v>0</v>
      </c>
      <c r="ET502" s="408">
        <v>0</v>
      </c>
      <c r="EU502" s="408">
        <v>0</v>
      </c>
      <c r="EV502" s="408">
        <v>265</v>
      </c>
      <c r="EW502" s="408">
        <v>0</v>
      </c>
      <c r="EX502" s="408">
        <v>0</v>
      </c>
      <c r="EY502" s="408">
        <v>0</v>
      </c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509</v>
      </c>
      <c r="B503" s="408" t="s">
        <v>2230</v>
      </c>
      <c r="C503" s="408" t="s">
        <v>2227</v>
      </c>
      <c r="D503" s="408" t="s">
        <v>1949</v>
      </c>
      <c r="E503" s="408" t="s">
        <v>964</v>
      </c>
      <c r="F503" s="408" t="s">
        <v>964</v>
      </c>
      <c r="G503" s="408" t="s">
        <v>1317</v>
      </c>
      <c r="H503" s="408" t="s">
        <v>1317</v>
      </c>
      <c r="I503" s="408" t="s">
        <v>1317</v>
      </c>
      <c r="J503" s="408" t="s">
        <v>2228</v>
      </c>
      <c r="K503" s="828">
        <v>44682</v>
      </c>
      <c r="L503" s="408">
        <v>0</v>
      </c>
      <c r="M503" s="408">
        <v>0</v>
      </c>
      <c r="N503" s="408">
        <v>0</v>
      </c>
      <c r="O503" s="408">
        <v>0</v>
      </c>
      <c r="P503" s="408">
        <v>0</v>
      </c>
      <c r="Q503" s="408">
        <v>0</v>
      </c>
      <c r="R503" s="408"/>
      <c r="S503" s="408"/>
      <c r="T503" s="408"/>
      <c r="U503" s="408"/>
      <c r="V503" s="408"/>
      <c r="W503" s="408"/>
      <c r="X503" s="408"/>
      <c r="Y503" s="408"/>
      <c r="Z503" s="408"/>
      <c r="AA503" s="408">
        <v>0</v>
      </c>
      <c r="AB503" s="408"/>
      <c r="AC503" s="408"/>
      <c r="AD503" s="408"/>
      <c r="AE503" s="408"/>
      <c r="AF503" s="408"/>
      <c r="AG503" s="408"/>
      <c r="AH503" s="408"/>
      <c r="AI503" s="408"/>
      <c r="AJ503" s="408"/>
      <c r="AK503" s="408"/>
      <c r="AL503" s="408"/>
      <c r="AM503" s="408"/>
      <c r="AN503" s="408"/>
      <c r="AO503" s="408"/>
      <c r="AP503" s="408"/>
      <c r="AQ503" s="408"/>
      <c r="AR503" s="408"/>
      <c r="AS503" s="408"/>
      <c r="AT503" s="408"/>
      <c r="AU503" s="408"/>
      <c r="AV503" s="408"/>
      <c r="AW503" s="408"/>
      <c r="AX503" s="408"/>
      <c r="AY503" s="408"/>
      <c r="AZ503" s="408">
        <v>0</v>
      </c>
      <c r="BA503" s="408"/>
      <c r="BB503" s="408"/>
      <c r="BC503" s="408"/>
      <c r="BD503" s="408"/>
      <c r="BE503" s="408"/>
      <c r="BF503" s="408"/>
      <c r="BG503" s="408"/>
      <c r="BH503" s="408"/>
      <c r="BI503" s="408">
        <v>0</v>
      </c>
      <c r="BJ503" s="408">
        <v>0</v>
      </c>
      <c r="BK503" s="408">
        <v>-265.79000000000002</v>
      </c>
      <c r="BL503" s="408">
        <v>2</v>
      </c>
      <c r="BM503" s="408"/>
      <c r="BN503" s="408"/>
      <c r="BO503" s="408"/>
      <c r="BP503" s="408"/>
      <c r="BQ503" s="408"/>
      <c r="BR503" s="408"/>
      <c r="BS503" s="408"/>
      <c r="BT503" s="408"/>
      <c r="BU503" s="408"/>
      <c r="BV503" s="408"/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/>
      <c r="CJ503" s="408">
        <v>-0.03</v>
      </c>
      <c r="CK503" s="408"/>
      <c r="CL503" s="408"/>
      <c r="CM503" s="408"/>
      <c r="CN503" s="408"/>
      <c r="CO503" s="408">
        <v>0</v>
      </c>
      <c r="CP503" s="408">
        <v>0</v>
      </c>
      <c r="CQ503" s="408">
        <v>31</v>
      </c>
      <c r="CR503" s="408"/>
      <c r="CS503" s="408"/>
      <c r="CT503" s="408"/>
      <c r="CU503" s="408"/>
      <c r="CV503" s="408"/>
      <c r="CW503" s="408"/>
      <c r="CX503" s="408"/>
      <c r="CY503" s="408"/>
      <c r="CZ503" s="408"/>
      <c r="DA503" s="408"/>
      <c r="DB503" s="408"/>
      <c r="DC503" s="408"/>
      <c r="DD503" s="408"/>
      <c r="DE503" s="408"/>
      <c r="DF503" s="408"/>
      <c r="DG503" s="408"/>
      <c r="DH503" s="408"/>
      <c r="DI503" s="408"/>
      <c r="DJ503" s="408"/>
      <c r="DK503" s="408">
        <v>0</v>
      </c>
      <c r="DL503" s="408"/>
      <c r="DM503" s="408"/>
      <c r="DN503" s="408"/>
      <c r="DO503" s="408"/>
      <c r="DP503" s="408"/>
      <c r="DQ503" s="408"/>
      <c r="DR503" s="408"/>
      <c r="DS503" s="408"/>
      <c r="DT503" s="408"/>
      <c r="DU503" s="408"/>
      <c r="DV503" s="408"/>
      <c r="DW503" s="408"/>
      <c r="DX503" s="408"/>
      <c r="DY503" s="408"/>
      <c r="DZ503" s="408"/>
      <c r="EA503" s="408"/>
      <c r="EB503" s="408"/>
      <c r="EC503" s="408"/>
      <c r="ED503" s="408"/>
      <c r="EE503" s="408"/>
      <c r="EF503" s="408"/>
      <c r="EG503" s="408"/>
      <c r="EH503" s="408"/>
      <c r="EI503" s="408"/>
      <c r="EJ503" s="408"/>
      <c r="EK503" s="408"/>
      <c r="EL503" s="408"/>
      <c r="EM503" s="408"/>
      <c r="EN503" s="408"/>
      <c r="EO503" s="408"/>
      <c r="EP503" s="408"/>
      <c r="EQ503" s="408"/>
      <c r="ER503" s="408"/>
      <c r="ES503" s="408"/>
      <c r="ET503" s="408"/>
      <c r="EU503" s="408"/>
      <c r="EV503" s="408">
        <v>265</v>
      </c>
      <c r="EW503" s="408"/>
      <c r="EX503" s="408"/>
      <c r="EY503" s="408"/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510</v>
      </c>
      <c r="B504" s="408" t="s">
        <v>1031</v>
      </c>
      <c r="C504" s="408" t="s">
        <v>2227</v>
      </c>
      <c r="D504" s="408" t="s">
        <v>1949</v>
      </c>
      <c r="E504" s="408" t="s">
        <v>964</v>
      </c>
      <c r="F504" s="408" t="s">
        <v>2231</v>
      </c>
      <c r="G504" s="408" t="s">
        <v>1317</v>
      </c>
      <c r="H504" s="408" t="s">
        <v>1317</v>
      </c>
      <c r="I504" s="408" t="s">
        <v>1317</v>
      </c>
      <c r="J504" s="408" t="s">
        <v>2228</v>
      </c>
      <c r="K504" s="828">
        <v>44682</v>
      </c>
      <c r="L504" s="408">
        <v>0</v>
      </c>
      <c r="M504" s="408">
        <v>0</v>
      </c>
      <c r="N504" s="408">
        <v>23.457000000000001</v>
      </c>
      <c r="O504" s="408">
        <v>23.457000000000001</v>
      </c>
      <c r="P504" s="408">
        <v>23.457000000000001</v>
      </c>
      <c r="Q504" s="408">
        <v>23.457000000000001</v>
      </c>
      <c r="R504" s="408"/>
      <c r="S504" s="408">
        <v>667.62</v>
      </c>
      <c r="T504" s="408">
        <v>252.22</v>
      </c>
      <c r="U504" s="408"/>
      <c r="V504" s="408">
        <v>21576.686880000001</v>
      </c>
      <c r="W504" s="408">
        <v>21576.686880000001</v>
      </c>
      <c r="X504" s="408">
        <v>14275.695630000002</v>
      </c>
      <c r="Y504" s="408">
        <v>0</v>
      </c>
      <c r="Z504" s="408">
        <v>0</v>
      </c>
      <c r="AA504" s="408">
        <v>0</v>
      </c>
      <c r="AB504" s="408">
        <v>0</v>
      </c>
      <c r="AC504" s="408">
        <v>0</v>
      </c>
      <c r="AD504" s="408">
        <v>2896.8827550829842</v>
      </c>
      <c r="AE504" s="408">
        <v>11892.41212214563</v>
      </c>
      <c r="AF504" s="408">
        <v>5916.3894567070274</v>
      </c>
      <c r="AG504" s="408">
        <v>0</v>
      </c>
      <c r="AH504" s="408">
        <v>0</v>
      </c>
      <c r="AI504" s="408">
        <v>0</v>
      </c>
      <c r="AJ504" s="408">
        <v>0</v>
      </c>
      <c r="AK504" s="408">
        <v>0</v>
      </c>
      <c r="AL504" s="408">
        <v>0</v>
      </c>
      <c r="AM504" s="408"/>
      <c r="AN504" s="408">
        <v>54.96675383361891</v>
      </c>
      <c r="AO504" s="408">
        <v>0</v>
      </c>
      <c r="AP504" s="408">
        <v>0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0</v>
      </c>
      <c r="BF504" s="408">
        <v>0</v>
      </c>
      <c r="BG504" s="408">
        <v>816.16867443450542</v>
      </c>
      <c r="BH504" s="408">
        <v>0</v>
      </c>
      <c r="BI504" s="408">
        <v>0</v>
      </c>
      <c r="BJ504" s="408">
        <v>0</v>
      </c>
      <c r="BK504" s="408">
        <v>1471.28</v>
      </c>
      <c r="BL504" s="408">
        <v>74</v>
      </c>
      <c r="BM504" s="408"/>
      <c r="BN504" s="408"/>
      <c r="BO504" s="408"/>
      <c r="BP504" s="408"/>
      <c r="BQ504" s="408"/>
      <c r="BR504" s="408"/>
      <c r="BS504" s="408"/>
      <c r="BT504" s="408">
        <v>9279.1200599999993</v>
      </c>
      <c r="BU504" s="408"/>
      <c r="BV504" s="408">
        <v>6732.5581311415326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4997.2146000000002</v>
      </c>
      <c r="CJ504" s="408">
        <v>-2554.79655</v>
      </c>
      <c r="CK504" s="408"/>
      <c r="CL504" s="408"/>
      <c r="CM504" s="408"/>
      <c r="CN504" s="408"/>
      <c r="CO504" s="408">
        <v>-7300.99125</v>
      </c>
      <c r="CP504" s="408">
        <v>0</v>
      </c>
      <c r="CQ504" s="408">
        <v>31</v>
      </c>
      <c r="CR504" s="408">
        <v>-9.2301869188995624</v>
      </c>
      <c r="CS504" s="408">
        <v>0</v>
      </c>
      <c r="CT504" s="408">
        <v>0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-7.4452437856575671</v>
      </c>
      <c r="DA504" s="408">
        <v>0</v>
      </c>
      <c r="DB504" s="408">
        <v>0</v>
      </c>
      <c r="DC504" s="408">
        <v>-8.2944006862817332E-7</v>
      </c>
      <c r="DD504" s="408">
        <v>0</v>
      </c>
      <c r="DE504" s="408">
        <v>0</v>
      </c>
      <c r="DF504" s="408">
        <v>0</v>
      </c>
      <c r="DG504" s="408">
        <v>-1.1442102731962223E-7</v>
      </c>
      <c r="DH504" s="408">
        <v>0</v>
      </c>
      <c r="DI504" s="408">
        <v>0</v>
      </c>
      <c r="DJ504" s="408"/>
      <c r="DK504" s="408">
        <v>0</v>
      </c>
      <c r="DL504" s="408">
        <v>0</v>
      </c>
      <c r="DM504" s="408">
        <v>0</v>
      </c>
      <c r="DN504" s="408">
        <v>0</v>
      </c>
      <c r="DO504" s="408">
        <v>0</v>
      </c>
      <c r="DP504" s="408">
        <v>-1.7849421893813044</v>
      </c>
      <c r="DQ504" s="408">
        <v>0</v>
      </c>
      <c r="DR504" s="408">
        <v>0</v>
      </c>
      <c r="DS504" s="408"/>
      <c r="DT504" s="408"/>
      <c r="DU504" s="408"/>
      <c r="DV504" s="408">
        <v>11892.41212214563</v>
      </c>
      <c r="DW504" s="408">
        <v>0</v>
      </c>
      <c r="DX504" s="408">
        <v>0</v>
      </c>
      <c r="DY504" s="408">
        <v>-7300.9912500000009</v>
      </c>
      <c r="DZ504" s="408">
        <v>0</v>
      </c>
      <c r="EA504" s="408">
        <v>0</v>
      </c>
      <c r="EB504" s="408">
        <v>0</v>
      </c>
      <c r="EC504" s="408">
        <v>-7291.7744793049305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0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265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511</v>
      </c>
      <c r="B505" s="408" t="s">
        <v>2230</v>
      </c>
      <c r="C505" s="408" t="s">
        <v>2227</v>
      </c>
      <c r="D505" s="408" t="s">
        <v>1949</v>
      </c>
      <c r="E505" s="408" t="s">
        <v>964</v>
      </c>
      <c r="F505" s="408" t="s">
        <v>2231</v>
      </c>
      <c r="G505" s="408" t="s">
        <v>1317</v>
      </c>
      <c r="H505" s="408" t="s">
        <v>1317</v>
      </c>
      <c r="I505" s="408" t="s">
        <v>1317</v>
      </c>
      <c r="J505" s="408" t="s">
        <v>2228</v>
      </c>
      <c r="K505" s="828">
        <v>44682</v>
      </c>
      <c r="L505" s="408">
        <v>0</v>
      </c>
      <c r="M505" s="408">
        <v>0</v>
      </c>
      <c r="N505" s="408">
        <v>0.19900000000000001</v>
      </c>
      <c r="O505" s="408">
        <v>-1.2238500000000001</v>
      </c>
      <c r="P505" s="408">
        <v>0.19900000000000001</v>
      </c>
      <c r="Q505" s="408">
        <v>-1.2238500000000001</v>
      </c>
      <c r="R505" s="408"/>
      <c r="S505" s="408">
        <v>667.62</v>
      </c>
      <c r="T505" s="408">
        <v>252.22</v>
      </c>
      <c r="U505" s="408"/>
      <c r="V505" s="408">
        <v>183.04816</v>
      </c>
      <c r="W505" s="408">
        <v>183.04816</v>
      </c>
      <c r="X505" s="408">
        <v>121.10941</v>
      </c>
      <c r="Y505" s="408">
        <v>0</v>
      </c>
      <c r="Z505" s="408">
        <v>0</v>
      </c>
      <c r="AA505" s="408">
        <v>0</v>
      </c>
      <c r="AB505" s="408">
        <v>0</v>
      </c>
      <c r="AC505" s="408">
        <v>0</v>
      </c>
      <c r="AD505" s="408">
        <v>24.576018598350764</v>
      </c>
      <c r="AE505" s="408">
        <v>100.89056624065228</v>
      </c>
      <c r="AF505" s="408">
        <v>50.192330727914843</v>
      </c>
      <c r="AG505" s="408">
        <v>0</v>
      </c>
      <c r="AH505" s="408">
        <v>0</v>
      </c>
      <c r="AI505" s="408">
        <v>0</v>
      </c>
      <c r="AJ505" s="408">
        <v>0</v>
      </c>
      <c r="AK505" s="408">
        <v>0</v>
      </c>
      <c r="AL505" s="408">
        <v>0</v>
      </c>
      <c r="AM505" s="408"/>
      <c r="AN505" s="408">
        <v>0.46631640929744483</v>
      </c>
      <c r="AO505" s="408">
        <v>0</v>
      </c>
      <c r="AP505" s="408">
        <v>0</v>
      </c>
      <c r="AQ505" s="408">
        <v>0</v>
      </c>
      <c r="AR505" s="408">
        <v>0</v>
      </c>
      <c r="AS505" s="408">
        <v>0</v>
      </c>
      <c r="AT505" s="408">
        <v>0</v>
      </c>
      <c r="AU505" s="408">
        <v>0</v>
      </c>
      <c r="AV505" s="408">
        <v>0</v>
      </c>
      <c r="AW505" s="408">
        <v>0</v>
      </c>
      <c r="AX505" s="408">
        <v>0</v>
      </c>
      <c r="AY505" s="408">
        <v>0</v>
      </c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0</v>
      </c>
      <c r="BF505" s="408">
        <v>0</v>
      </c>
      <c r="BG505" s="408">
        <v>6.9240553443520731</v>
      </c>
      <c r="BH505" s="408">
        <v>0</v>
      </c>
      <c r="BI505" s="408">
        <v>0</v>
      </c>
      <c r="BJ505" s="408">
        <v>0</v>
      </c>
      <c r="BK505" s="408">
        <v>18.75</v>
      </c>
      <c r="BL505" s="408">
        <v>0</v>
      </c>
      <c r="BM505" s="408"/>
      <c r="BN505" s="408"/>
      <c r="BO505" s="408"/>
      <c r="BP505" s="408"/>
      <c r="BQ505" s="408"/>
      <c r="BR505" s="408"/>
      <c r="BS505" s="408"/>
      <c r="BT505" s="408">
        <v>381.80169850000004</v>
      </c>
      <c r="BU505" s="408"/>
      <c r="BV505" s="408">
        <v>57.11638607226692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-259.87220000000002</v>
      </c>
      <c r="CJ505" s="408">
        <v>134.11630750000006</v>
      </c>
      <c r="CK505" s="408"/>
      <c r="CL505" s="408"/>
      <c r="CM505" s="408"/>
      <c r="CN505" s="408"/>
      <c r="CO505" s="408">
        <v>-61.938750000000006</v>
      </c>
      <c r="CP505" s="408">
        <v>0</v>
      </c>
      <c r="CQ505" s="408">
        <v>31</v>
      </c>
      <c r="CR505" s="408">
        <v>-7.8305290397807426E-2</v>
      </c>
      <c r="CS505" s="408">
        <v>0</v>
      </c>
      <c r="CT505" s="408">
        <v>0</v>
      </c>
      <c r="CU505" s="408">
        <v>0</v>
      </c>
      <c r="CV505" s="408">
        <v>0</v>
      </c>
      <c r="CW505" s="408">
        <v>0</v>
      </c>
      <c r="CX505" s="408">
        <v>0</v>
      </c>
      <c r="CY505" s="408">
        <v>0</v>
      </c>
      <c r="CZ505" s="408">
        <v>-6.3162532009460648E-2</v>
      </c>
      <c r="DA505" s="408">
        <v>0</v>
      </c>
      <c r="DB505" s="408">
        <v>0</v>
      </c>
      <c r="DC505" s="408">
        <v>-7.0366397153520666E-9</v>
      </c>
      <c r="DD505" s="408">
        <v>0</v>
      </c>
      <c r="DE505" s="408">
        <v>0</v>
      </c>
      <c r="DF505" s="408">
        <v>0</v>
      </c>
      <c r="DG505" s="408">
        <v>-9.7070351756656237E-10</v>
      </c>
      <c r="DH505" s="408">
        <v>0</v>
      </c>
      <c r="DI505" s="408">
        <v>0</v>
      </c>
      <c r="DJ505" s="408"/>
      <c r="DK505" s="408">
        <v>0</v>
      </c>
      <c r="DL505" s="408">
        <v>0</v>
      </c>
      <c r="DM505" s="408">
        <v>0</v>
      </c>
      <c r="DN505" s="408">
        <v>0</v>
      </c>
      <c r="DO505" s="408">
        <v>0</v>
      </c>
      <c r="DP505" s="408">
        <v>-1.5142750380989889E-2</v>
      </c>
      <c r="DQ505" s="408">
        <v>0</v>
      </c>
      <c r="DR505" s="408">
        <v>0</v>
      </c>
      <c r="DS505" s="408"/>
      <c r="DT505" s="408"/>
      <c r="DU505" s="408"/>
      <c r="DV505" s="408">
        <v>100.89056624065228</v>
      </c>
      <c r="DW505" s="408">
        <v>0</v>
      </c>
      <c r="DX505" s="408">
        <v>0</v>
      </c>
      <c r="DY505" s="408">
        <v>-61.938749999999999</v>
      </c>
      <c r="DZ505" s="408">
        <v>0</v>
      </c>
      <c r="EA505" s="408">
        <v>0</v>
      </c>
      <c r="EB505" s="408">
        <v>0</v>
      </c>
      <c r="EC505" s="408">
        <v>-61.860558527590108</v>
      </c>
      <c r="ED505" s="408">
        <v>0</v>
      </c>
      <c r="EE505" s="408">
        <v>0</v>
      </c>
      <c r="EF505" s="408">
        <v>0</v>
      </c>
      <c r="EG505" s="408">
        <v>0</v>
      </c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>
        <v>0</v>
      </c>
      <c r="EN505" s="408">
        <v>0</v>
      </c>
      <c r="EO505" s="408">
        <v>0</v>
      </c>
      <c r="EP505" s="408">
        <v>0</v>
      </c>
      <c r="EQ505" s="408">
        <v>0</v>
      </c>
      <c r="ER505" s="408">
        <v>0</v>
      </c>
      <c r="ES505" s="408">
        <v>0</v>
      </c>
      <c r="ET505" s="408">
        <v>0</v>
      </c>
      <c r="EU505" s="408">
        <v>0</v>
      </c>
      <c r="EV505" s="408">
        <v>265</v>
      </c>
      <c r="EW505" s="408">
        <v>0</v>
      </c>
      <c r="EX505" s="408">
        <v>0</v>
      </c>
      <c r="EY505" s="408">
        <v>0</v>
      </c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512</v>
      </c>
      <c r="B506" s="408" t="s">
        <v>1031</v>
      </c>
      <c r="C506" s="408" t="s">
        <v>2227</v>
      </c>
      <c r="D506" s="408" t="s">
        <v>1949</v>
      </c>
      <c r="E506" s="408" t="s">
        <v>964</v>
      </c>
      <c r="F506" s="408" t="s">
        <v>2232</v>
      </c>
      <c r="G506" s="408" t="s">
        <v>1317</v>
      </c>
      <c r="H506" s="408" t="s">
        <v>1317</v>
      </c>
      <c r="I506" s="408" t="s">
        <v>1317</v>
      </c>
      <c r="J506" s="408" t="s">
        <v>2228</v>
      </c>
      <c r="K506" s="828">
        <v>44682</v>
      </c>
      <c r="L506" s="408">
        <v>0</v>
      </c>
      <c r="M506" s="408">
        <v>0</v>
      </c>
      <c r="N506" s="408">
        <v>40.398000000000003</v>
      </c>
      <c r="O506" s="408">
        <v>40.398000000000003</v>
      </c>
      <c r="P506" s="408">
        <v>40.398000000000003</v>
      </c>
      <c r="Q506" s="408">
        <v>40.398000000000003</v>
      </c>
      <c r="R506" s="408"/>
      <c r="S506" s="408">
        <v>667.62</v>
      </c>
      <c r="T506" s="408">
        <v>252.22</v>
      </c>
      <c r="U506" s="408"/>
      <c r="V506" s="408">
        <v>37159.696320000003</v>
      </c>
      <c r="W506" s="408">
        <v>37159.696320000003</v>
      </c>
      <c r="X506" s="408">
        <v>24585.81882</v>
      </c>
      <c r="Y506" s="408">
        <v>0</v>
      </c>
      <c r="Z506" s="408">
        <v>0</v>
      </c>
      <c r="AA506" s="408">
        <v>0</v>
      </c>
      <c r="AB506" s="408">
        <v>0</v>
      </c>
      <c r="AC506" s="408">
        <v>0</v>
      </c>
      <c r="AD506" s="408">
        <v>4989.0552730461013</v>
      </c>
      <c r="AE506" s="408">
        <v>20481.291934622466</v>
      </c>
      <c r="AF506" s="408">
        <v>10189.29536053419</v>
      </c>
      <c r="AG506" s="408">
        <v>0</v>
      </c>
      <c r="AH506" s="408">
        <v>0</v>
      </c>
      <c r="AI506" s="408">
        <v>0</v>
      </c>
      <c r="AJ506" s="408">
        <v>0</v>
      </c>
      <c r="AK506" s="408">
        <v>0</v>
      </c>
      <c r="AL506" s="408">
        <v>0</v>
      </c>
      <c r="AM506" s="408"/>
      <c r="AN506" s="408">
        <v>94.664574385920488</v>
      </c>
      <c r="AO506" s="408">
        <v>0</v>
      </c>
      <c r="AP506" s="408">
        <v>0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>
        <v>0</v>
      </c>
      <c r="BG506" s="408">
        <v>1405.6180291514324</v>
      </c>
      <c r="BH506" s="408">
        <v>0</v>
      </c>
      <c r="BI506" s="408">
        <v>0</v>
      </c>
      <c r="BJ506" s="408">
        <v>0</v>
      </c>
      <c r="BK506" s="408">
        <v>4847.5</v>
      </c>
      <c r="BL506" s="408">
        <v>278</v>
      </c>
      <c r="BM506" s="408"/>
      <c r="BN506" s="408"/>
      <c r="BO506" s="408"/>
      <c r="BP506" s="408"/>
      <c r="BQ506" s="408"/>
      <c r="BR506" s="408"/>
      <c r="BS506" s="408"/>
      <c r="BT506" s="408">
        <v>9834.489120000002</v>
      </c>
      <c r="BU506" s="408"/>
      <c r="BV506" s="408">
        <v>11594.913389685622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14752.06</v>
      </c>
      <c r="CJ506" s="408">
        <v>-7543.6262000000006</v>
      </c>
      <c r="CK506" s="408"/>
      <c r="CL506" s="408"/>
      <c r="CM506" s="408"/>
      <c r="CN506" s="408"/>
      <c r="CO506" s="408">
        <v>-12573.877500000001</v>
      </c>
      <c r="CP506" s="408">
        <v>0</v>
      </c>
      <c r="CQ506" s="408">
        <v>31</v>
      </c>
      <c r="CR506" s="408">
        <v>-15.896367444671341</v>
      </c>
      <c r="CS506" s="408">
        <v>0</v>
      </c>
      <c r="CT506" s="408">
        <v>0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-12.822311397578233</v>
      </c>
      <c r="DA506" s="408">
        <v>0</v>
      </c>
      <c r="DB506" s="408">
        <v>0</v>
      </c>
      <c r="DC506" s="408">
        <v>-1.4284723874880001E-6</v>
      </c>
      <c r="DD506" s="408">
        <v>0</v>
      </c>
      <c r="DE506" s="408">
        <v>0</v>
      </c>
      <c r="DF506" s="408">
        <v>0</v>
      </c>
      <c r="DG506" s="408">
        <v>-1.9705771592271049E-7</v>
      </c>
      <c r="DH506" s="408">
        <v>0</v>
      </c>
      <c r="DI506" s="408">
        <v>0</v>
      </c>
      <c r="DJ506" s="408"/>
      <c r="DK506" s="408">
        <v>0</v>
      </c>
      <c r="DL506" s="408">
        <v>0</v>
      </c>
      <c r="DM506" s="408">
        <v>0</v>
      </c>
      <c r="DN506" s="408">
        <v>0</v>
      </c>
      <c r="DO506" s="408">
        <v>0</v>
      </c>
      <c r="DP506" s="408">
        <v>-3.0740544215639716</v>
      </c>
      <c r="DQ506" s="408">
        <v>0</v>
      </c>
      <c r="DR506" s="408">
        <v>0</v>
      </c>
      <c r="DS506" s="408"/>
      <c r="DT506" s="408"/>
      <c r="DU506" s="408"/>
      <c r="DV506" s="408">
        <v>20481.291934622466</v>
      </c>
      <c r="DW506" s="408">
        <v>0</v>
      </c>
      <c r="DX506" s="408">
        <v>0</v>
      </c>
      <c r="DY506" s="408">
        <v>-12573.877500000001</v>
      </c>
      <c r="DZ506" s="408">
        <v>0</v>
      </c>
      <c r="EA506" s="408">
        <v>0</v>
      </c>
      <c r="EB506" s="408">
        <v>0</v>
      </c>
      <c r="EC506" s="408">
        <v>-12558.004238178821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0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265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513</v>
      </c>
      <c r="B507" s="408" t="s">
        <v>2229</v>
      </c>
      <c r="C507" s="408" t="s">
        <v>2227</v>
      </c>
      <c r="D507" s="408" t="s">
        <v>1949</v>
      </c>
      <c r="E507" s="408" t="s">
        <v>964</v>
      </c>
      <c r="F507" s="408" t="s">
        <v>2232</v>
      </c>
      <c r="G507" s="408" t="s">
        <v>1317</v>
      </c>
      <c r="H507" s="408" t="s">
        <v>1317</v>
      </c>
      <c r="I507" s="408" t="s">
        <v>1317</v>
      </c>
      <c r="J507" s="408" t="s">
        <v>2228</v>
      </c>
      <c r="K507" s="828">
        <v>44682</v>
      </c>
      <c r="L507" s="408">
        <v>0</v>
      </c>
      <c r="M507" s="408">
        <v>0</v>
      </c>
      <c r="N507" s="408">
        <v>-1.4E-2</v>
      </c>
      <c r="O507" s="408">
        <v>-1.4E-2</v>
      </c>
      <c r="P507" s="408">
        <v>-1.4E-2</v>
      </c>
      <c r="Q507" s="408">
        <v>-1.4E-2</v>
      </c>
      <c r="R507" s="408"/>
      <c r="S507" s="408">
        <v>667.62</v>
      </c>
      <c r="T507" s="408">
        <v>252.22</v>
      </c>
      <c r="U507" s="408"/>
      <c r="V507" s="408">
        <v>-12.877760000000002</v>
      </c>
      <c r="W507" s="408">
        <v>-12.877760000000002</v>
      </c>
      <c r="X507" s="408">
        <v>-8.5202600000000004</v>
      </c>
      <c r="Y507" s="408">
        <v>0</v>
      </c>
      <c r="Z507" s="408">
        <v>0</v>
      </c>
      <c r="AA507" s="408">
        <v>0</v>
      </c>
      <c r="AB507" s="408">
        <v>0</v>
      </c>
      <c r="AC507" s="408">
        <v>0</v>
      </c>
      <c r="AD507" s="408">
        <v>-1.72896613254729</v>
      </c>
      <c r="AE507" s="408">
        <v>-7.0978287807494063</v>
      </c>
      <c r="AF507" s="408">
        <v>-3.5311187446774261</v>
      </c>
      <c r="AG507" s="408">
        <v>0</v>
      </c>
      <c r="AH507" s="408">
        <v>0</v>
      </c>
      <c r="AI507" s="408">
        <v>0</v>
      </c>
      <c r="AJ507" s="408">
        <v>0</v>
      </c>
      <c r="AK507" s="408">
        <v>0</v>
      </c>
      <c r="AL507" s="408">
        <v>0</v>
      </c>
      <c r="AM507" s="408"/>
      <c r="AN507" s="408">
        <v>-3.2806179548563956E-2</v>
      </c>
      <c r="AO507" s="408">
        <v>0</v>
      </c>
      <c r="AP507" s="408">
        <v>0</v>
      </c>
      <c r="AQ507" s="408">
        <v>0</v>
      </c>
      <c r="AR507" s="408">
        <v>0</v>
      </c>
      <c r="AS507" s="408">
        <v>0</v>
      </c>
      <c r="AT507" s="408">
        <v>0</v>
      </c>
      <c r="AU507" s="408">
        <v>0</v>
      </c>
      <c r="AV507" s="408">
        <v>0</v>
      </c>
      <c r="AW507" s="408">
        <v>0</v>
      </c>
      <c r="AX507" s="408">
        <v>0</v>
      </c>
      <c r="AY507" s="408">
        <v>0</v>
      </c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0</v>
      </c>
      <c r="BF507" s="408">
        <v>0</v>
      </c>
      <c r="BG507" s="408">
        <v>-0.48711947146195483</v>
      </c>
      <c r="BH507" s="408">
        <v>0</v>
      </c>
      <c r="BI507" s="408">
        <v>0</v>
      </c>
      <c r="BJ507" s="408">
        <v>0</v>
      </c>
      <c r="BK507" s="408">
        <v>-1.71</v>
      </c>
      <c r="BL507" s="408">
        <v>0</v>
      </c>
      <c r="BM507" s="408"/>
      <c r="BN507" s="408"/>
      <c r="BO507" s="408"/>
      <c r="BP507" s="408"/>
      <c r="BQ507" s="408"/>
      <c r="BR507" s="408"/>
      <c r="BS507" s="408"/>
      <c r="BT507" s="408">
        <v>-3.4081600000000001</v>
      </c>
      <c r="BU507" s="408"/>
      <c r="BV507" s="408">
        <v>-4.0182382161393813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-3.6515</v>
      </c>
      <c r="CJ507" s="408">
        <v>4.0451000000000015</v>
      </c>
      <c r="CK507" s="408"/>
      <c r="CL507" s="408"/>
      <c r="CM507" s="408"/>
      <c r="CN507" s="408"/>
      <c r="CO507" s="408">
        <v>4.3574999999999999</v>
      </c>
      <c r="CP507" s="408">
        <v>0</v>
      </c>
      <c r="CQ507" s="408">
        <v>31</v>
      </c>
      <c r="CR507" s="408">
        <v>5.5089149023581641E-3</v>
      </c>
      <c r="CS507" s="408">
        <v>0</v>
      </c>
      <c r="CT507" s="408">
        <v>0</v>
      </c>
      <c r="CU507" s="408">
        <v>0</v>
      </c>
      <c r="CV507" s="408">
        <v>0</v>
      </c>
      <c r="CW507" s="408">
        <v>0</v>
      </c>
      <c r="CX507" s="408">
        <v>0</v>
      </c>
      <c r="CY507" s="408">
        <v>0</v>
      </c>
      <c r="CZ507" s="408">
        <v>4.4435952167460879E-3</v>
      </c>
      <c r="DA507" s="408">
        <v>0</v>
      </c>
      <c r="DB507" s="408">
        <v>0</v>
      </c>
      <c r="DC507" s="408">
        <v>4.9504000898537015E-10</v>
      </c>
      <c r="DD507" s="408">
        <v>0</v>
      </c>
      <c r="DE507" s="408">
        <v>0</v>
      </c>
      <c r="DF507" s="408">
        <v>0</v>
      </c>
      <c r="DG507" s="408">
        <v>6.8290650911961848E-11</v>
      </c>
      <c r="DH507" s="408">
        <v>0</v>
      </c>
      <c r="DI507" s="408">
        <v>0</v>
      </c>
      <c r="DJ507" s="408"/>
      <c r="DK507" s="408">
        <v>0</v>
      </c>
      <c r="DL507" s="408">
        <v>0</v>
      </c>
      <c r="DM507" s="408">
        <v>0</v>
      </c>
      <c r="DN507" s="408">
        <v>0</v>
      </c>
      <c r="DO507" s="408">
        <v>0</v>
      </c>
      <c r="DP507" s="408">
        <v>1.0653191222806946E-3</v>
      </c>
      <c r="DQ507" s="408">
        <v>0</v>
      </c>
      <c r="DR507" s="408">
        <v>0</v>
      </c>
      <c r="DS507" s="408"/>
      <c r="DT507" s="408"/>
      <c r="DU507" s="408"/>
      <c r="DV507" s="408">
        <v>-7.0978287807494063</v>
      </c>
      <c r="DW507" s="408">
        <v>0</v>
      </c>
      <c r="DX507" s="408">
        <v>0</v>
      </c>
      <c r="DY507" s="408">
        <v>4.3575000000000008</v>
      </c>
      <c r="DZ507" s="408">
        <v>0</v>
      </c>
      <c r="EA507" s="408">
        <v>0</v>
      </c>
      <c r="EB507" s="408">
        <v>0</v>
      </c>
      <c r="EC507" s="408">
        <v>4.3519990923932745</v>
      </c>
      <c r="ED507" s="408">
        <v>0</v>
      </c>
      <c r="EE507" s="408">
        <v>0</v>
      </c>
      <c r="EF507" s="408">
        <v>0</v>
      </c>
      <c r="EG507" s="408">
        <v>0</v>
      </c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>
        <v>0</v>
      </c>
      <c r="EN507" s="408">
        <v>0</v>
      </c>
      <c r="EO507" s="408">
        <v>0</v>
      </c>
      <c r="EP507" s="408">
        <v>0</v>
      </c>
      <c r="EQ507" s="408">
        <v>0</v>
      </c>
      <c r="ER507" s="408">
        <v>0</v>
      </c>
      <c r="ES507" s="408">
        <v>0</v>
      </c>
      <c r="ET507" s="408">
        <v>0</v>
      </c>
      <c r="EU507" s="408">
        <v>0</v>
      </c>
      <c r="EV507" s="408">
        <v>265</v>
      </c>
      <c r="EW507" s="408">
        <v>0</v>
      </c>
      <c r="EX507" s="408">
        <v>0</v>
      </c>
      <c r="EY507" s="408">
        <v>0</v>
      </c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514</v>
      </c>
      <c r="B508" s="408" t="s">
        <v>2230</v>
      </c>
      <c r="C508" s="408" t="s">
        <v>2227</v>
      </c>
      <c r="D508" s="408" t="s">
        <v>1949</v>
      </c>
      <c r="E508" s="408" t="s">
        <v>964</v>
      </c>
      <c r="F508" s="408" t="s">
        <v>2232</v>
      </c>
      <c r="G508" s="408" t="s">
        <v>1317</v>
      </c>
      <c r="H508" s="408" t="s">
        <v>1317</v>
      </c>
      <c r="I508" s="408" t="s">
        <v>1317</v>
      </c>
      <c r="J508" s="408" t="s">
        <v>2228</v>
      </c>
      <c r="K508" s="828">
        <v>44682</v>
      </c>
      <c r="L508" s="408">
        <v>0</v>
      </c>
      <c r="M508" s="408">
        <v>0</v>
      </c>
      <c r="N508" s="408">
        <v>0.158</v>
      </c>
      <c r="O508" s="408">
        <v>-0.53720000000000001</v>
      </c>
      <c r="P508" s="408">
        <v>0.158</v>
      </c>
      <c r="Q508" s="408">
        <v>-0.53720000000000001</v>
      </c>
      <c r="R508" s="408"/>
      <c r="S508" s="408">
        <v>667.62</v>
      </c>
      <c r="T508" s="408">
        <v>252.22</v>
      </c>
      <c r="U508" s="408"/>
      <c r="V508" s="408">
        <v>145.33472</v>
      </c>
      <c r="W508" s="408">
        <v>145.33472</v>
      </c>
      <c r="X508" s="408">
        <v>96.157219999999995</v>
      </c>
      <c r="Y508" s="408">
        <v>0</v>
      </c>
      <c r="Z508" s="408">
        <v>0</v>
      </c>
      <c r="AA508" s="408">
        <v>0</v>
      </c>
      <c r="AB508" s="408">
        <v>0</v>
      </c>
      <c r="AC508" s="408">
        <v>0</v>
      </c>
      <c r="AD508" s="408">
        <v>19.51261778160513</v>
      </c>
      <c r="AE508" s="408">
        <v>80.104067668457589</v>
      </c>
      <c r="AF508" s="408">
        <v>39.851197261359523</v>
      </c>
      <c r="AG508" s="408">
        <v>0</v>
      </c>
      <c r="AH508" s="408">
        <v>0</v>
      </c>
      <c r="AI508" s="408">
        <v>0</v>
      </c>
      <c r="AJ508" s="408">
        <v>0</v>
      </c>
      <c r="AK508" s="408">
        <v>0</v>
      </c>
      <c r="AL508" s="408">
        <v>0</v>
      </c>
      <c r="AM508" s="408"/>
      <c r="AN508" s="408">
        <v>0.37024116919093608</v>
      </c>
      <c r="AO508" s="408">
        <v>0</v>
      </c>
      <c r="AP508" s="408">
        <v>0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</v>
      </c>
      <c r="BF508" s="408">
        <v>0</v>
      </c>
      <c r="BG508" s="408">
        <v>5.4974911779277758</v>
      </c>
      <c r="BH508" s="408">
        <v>0</v>
      </c>
      <c r="BI508" s="408">
        <v>0</v>
      </c>
      <c r="BJ508" s="408">
        <v>0</v>
      </c>
      <c r="BK508" s="408">
        <v>54.97</v>
      </c>
      <c r="BL508" s="408">
        <v>2</v>
      </c>
      <c r="BM508" s="408"/>
      <c r="BN508" s="408"/>
      <c r="BO508" s="408"/>
      <c r="BP508" s="408"/>
      <c r="BQ508" s="408"/>
      <c r="BR508" s="408"/>
      <c r="BS508" s="408"/>
      <c r="BT508" s="408">
        <v>292.31580000000002</v>
      </c>
      <c r="BU508" s="408"/>
      <c r="BV508" s="408">
        <v>45.348688439287301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-197.18100000000001</v>
      </c>
      <c r="CJ508" s="408">
        <v>99.269680000000022</v>
      </c>
      <c r="CK508" s="408"/>
      <c r="CL508" s="408"/>
      <c r="CM508" s="408"/>
      <c r="CN508" s="408"/>
      <c r="CO508" s="408">
        <v>-49.177500000000002</v>
      </c>
      <c r="CP508" s="408">
        <v>0</v>
      </c>
      <c r="CQ508" s="408">
        <v>31</v>
      </c>
      <c r="CR508" s="408">
        <v>-6.2172039612320873E-2</v>
      </c>
      <c r="CS508" s="408">
        <v>0</v>
      </c>
      <c r="CT508" s="408">
        <v>0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-5.0149146017563595E-2</v>
      </c>
      <c r="DA508" s="408">
        <v>0</v>
      </c>
      <c r="DB508" s="408">
        <v>0</v>
      </c>
      <c r="DC508" s="408">
        <v>-5.5868838444439461E-9</v>
      </c>
      <c r="DD508" s="408">
        <v>0</v>
      </c>
      <c r="DE508" s="408">
        <v>0</v>
      </c>
      <c r="DF508" s="408">
        <v>0</v>
      </c>
      <c r="DG508" s="408">
        <v>-7.7070883008900637E-10</v>
      </c>
      <c r="DH508" s="408">
        <v>0</v>
      </c>
      <c r="DI508" s="408">
        <v>0</v>
      </c>
      <c r="DJ508" s="408"/>
      <c r="DK508" s="408">
        <v>0</v>
      </c>
      <c r="DL508" s="408">
        <v>0</v>
      </c>
      <c r="DM508" s="408">
        <v>0</v>
      </c>
      <c r="DN508" s="408">
        <v>0</v>
      </c>
      <c r="DO508" s="408">
        <v>0</v>
      </c>
      <c r="DP508" s="408">
        <v>-1.2022887237167879E-2</v>
      </c>
      <c r="DQ508" s="408">
        <v>0</v>
      </c>
      <c r="DR508" s="408">
        <v>0</v>
      </c>
      <c r="DS508" s="408"/>
      <c r="DT508" s="408"/>
      <c r="DU508" s="408"/>
      <c r="DV508" s="408">
        <v>80.104067668457589</v>
      </c>
      <c r="DW508" s="408">
        <v>0</v>
      </c>
      <c r="DX508" s="408">
        <v>0</v>
      </c>
      <c r="DY508" s="408">
        <v>-49.177499999999995</v>
      </c>
      <c r="DZ508" s="408">
        <v>0</v>
      </c>
      <c r="EA508" s="408">
        <v>0</v>
      </c>
      <c r="EB508" s="408">
        <v>0</v>
      </c>
      <c r="EC508" s="408">
        <v>-49.115418328438381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0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265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515</v>
      </c>
      <c r="B509" s="408" t="s">
        <v>1031</v>
      </c>
      <c r="C509" s="408" t="s">
        <v>2227</v>
      </c>
      <c r="D509" s="408" t="s">
        <v>1949</v>
      </c>
      <c r="E509" s="408" t="s">
        <v>964</v>
      </c>
      <c r="F509" s="408" t="s">
        <v>2233</v>
      </c>
      <c r="G509" s="408" t="s">
        <v>1317</v>
      </c>
      <c r="H509" s="408" t="s">
        <v>1317</v>
      </c>
      <c r="I509" s="408" t="s">
        <v>1317</v>
      </c>
      <c r="J509" s="408" t="s">
        <v>2228</v>
      </c>
      <c r="K509" s="828">
        <v>44682</v>
      </c>
      <c r="L509" s="408">
        <v>0</v>
      </c>
      <c r="M509" s="408">
        <v>0</v>
      </c>
      <c r="N509" s="408">
        <v>25.114999999999998</v>
      </c>
      <c r="O509" s="408">
        <v>25.114999999999998</v>
      </c>
      <c r="P509" s="408">
        <v>25.114999999999998</v>
      </c>
      <c r="Q509" s="408">
        <v>25.114999999999998</v>
      </c>
      <c r="R509" s="408"/>
      <c r="S509" s="408">
        <v>667.62</v>
      </c>
      <c r="T509" s="408">
        <v>252.22</v>
      </c>
      <c r="U509" s="408"/>
      <c r="V509" s="408">
        <v>23101.781599999998</v>
      </c>
      <c r="W509" s="408">
        <v>23101.781599999998</v>
      </c>
      <c r="X509" s="408">
        <v>15284.737849999998</v>
      </c>
      <c r="Y509" s="408">
        <v>0</v>
      </c>
      <c r="Z509" s="408">
        <v>0</v>
      </c>
      <c r="AA509" s="408">
        <v>0</v>
      </c>
      <c r="AB509" s="408">
        <v>0</v>
      </c>
      <c r="AC509" s="408">
        <v>0</v>
      </c>
      <c r="AD509" s="408">
        <v>3101.6417442089419</v>
      </c>
      <c r="AE509" s="408">
        <v>12732.99784489438</v>
      </c>
      <c r="AF509" s="408">
        <v>6334.5748051838254</v>
      </c>
      <c r="AG509" s="408">
        <v>0</v>
      </c>
      <c r="AH509" s="408">
        <v>0</v>
      </c>
      <c r="AI509" s="408">
        <v>0</v>
      </c>
      <c r="AJ509" s="408">
        <v>0</v>
      </c>
      <c r="AK509" s="408">
        <v>0</v>
      </c>
      <c r="AL509" s="408">
        <v>0</v>
      </c>
      <c r="AM509" s="408"/>
      <c r="AN509" s="408">
        <v>58.85194281158455</v>
      </c>
      <c r="AO509" s="408">
        <v>0</v>
      </c>
      <c r="AP509" s="408">
        <v>0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0</v>
      </c>
      <c r="BF509" s="408">
        <v>0</v>
      </c>
      <c r="BG509" s="408">
        <v>873.85753755478538</v>
      </c>
      <c r="BH509" s="408">
        <v>0</v>
      </c>
      <c r="BI509" s="408">
        <v>0</v>
      </c>
      <c r="BJ509" s="408">
        <v>0</v>
      </c>
      <c r="BK509" s="408">
        <v>4584.8100000000004</v>
      </c>
      <c r="BL509" s="408">
        <v>363</v>
      </c>
      <c r="BM509" s="408"/>
      <c r="BN509" s="408"/>
      <c r="BO509" s="408"/>
      <c r="BP509" s="408"/>
      <c r="BQ509" s="408"/>
      <c r="BR509" s="408"/>
      <c r="BS509" s="408"/>
      <c r="BT509" s="408">
        <v>1528.2477499999998</v>
      </c>
      <c r="BU509" s="408"/>
      <c r="BV509" s="408">
        <v>7208.4323427386107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13759.228800000001</v>
      </c>
      <c r="CJ509" s="408">
        <v>-7032.5050999999949</v>
      </c>
      <c r="CK509" s="408"/>
      <c r="CL509" s="408"/>
      <c r="CM509" s="408"/>
      <c r="CN509" s="408"/>
      <c r="CO509" s="408">
        <v>-7817.0437499999998</v>
      </c>
      <c r="CP509" s="408">
        <v>0</v>
      </c>
      <c r="CQ509" s="408">
        <v>31</v>
      </c>
      <c r="CR509" s="408">
        <v>-9.8825998409083695</v>
      </c>
      <c r="CS509" s="408">
        <v>0</v>
      </c>
      <c r="CT509" s="408">
        <v>0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-7.97149241918396</v>
      </c>
      <c r="DA509" s="408">
        <v>0</v>
      </c>
      <c r="DB509" s="408">
        <v>0</v>
      </c>
      <c r="DC509" s="408">
        <v>-8.8806700659915805E-7</v>
      </c>
      <c r="DD509" s="408">
        <v>0</v>
      </c>
      <c r="DE509" s="408">
        <v>0</v>
      </c>
      <c r="DF509" s="408">
        <v>0</v>
      </c>
      <c r="DG509" s="408">
        <v>-1.2250859526830027E-7</v>
      </c>
      <c r="DH509" s="408">
        <v>0</v>
      </c>
      <c r="DI509" s="408">
        <v>0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0</v>
      </c>
      <c r="DP509" s="408">
        <v>-1.9111064111485518</v>
      </c>
      <c r="DQ509" s="408">
        <v>0</v>
      </c>
      <c r="DR509" s="408">
        <v>0</v>
      </c>
      <c r="DS509" s="408"/>
      <c r="DT509" s="408"/>
      <c r="DU509" s="408"/>
      <c r="DV509" s="408">
        <v>12732.99784489438</v>
      </c>
      <c r="DW509" s="408">
        <v>0</v>
      </c>
      <c r="DX509" s="408">
        <v>0</v>
      </c>
      <c r="DY509" s="408">
        <v>-7817.0437499999989</v>
      </c>
      <c r="DZ509" s="408">
        <v>0</v>
      </c>
      <c r="EA509" s="408">
        <v>0</v>
      </c>
      <c r="EB509" s="408">
        <v>0</v>
      </c>
      <c r="EC509" s="408">
        <v>-7807.1755146755049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265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516</v>
      </c>
      <c r="B510" s="408" t="s">
        <v>2229</v>
      </c>
      <c r="C510" s="408" t="s">
        <v>2227</v>
      </c>
      <c r="D510" s="408" t="s">
        <v>1949</v>
      </c>
      <c r="E510" s="408" t="s">
        <v>964</v>
      </c>
      <c r="F510" s="408" t="s">
        <v>2233</v>
      </c>
      <c r="G510" s="408" t="s">
        <v>1317</v>
      </c>
      <c r="H510" s="408" t="s">
        <v>1317</v>
      </c>
      <c r="I510" s="408" t="s">
        <v>1317</v>
      </c>
      <c r="J510" s="408" t="s">
        <v>2228</v>
      </c>
      <c r="K510" s="828">
        <v>44682</v>
      </c>
      <c r="L510" s="408">
        <v>0</v>
      </c>
      <c r="M510" s="408">
        <v>0</v>
      </c>
      <c r="N510" s="408">
        <v>-0.12</v>
      </c>
      <c r="O510" s="408">
        <v>-0.12</v>
      </c>
      <c r="P510" s="408">
        <v>-0.12</v>
      </c>
      <c r="Q510" s="408">
        <v>-0.12</v>
      </c>
      <c r="R510" s="408"/>
      <c r="S510" s="408">
        <v>667.62</v>
      </c>
      <c r="T510" s="408">
        <v>252.22</v>
      </c>
      <c r="U510" s="408"/>
      <c r="V510" s="408">
        <v>-110.38079999999999</v>
      </c>
      <c r="W510" s="408">
        <v>-110.38079999999999</v>
      </c>
      <c r="X510" s="408">
        <v>-73.030799999999999</v>
      </c>
      <c r="Y510" s="408">
        <v>0</v>
      </c>
      <c r="Z510" s="408">
        <v>0</v>
      </c>
      <c r="AA510" s="408">
        <v>0</v>
      </c>
      <c r="AB510" s="408">
        <v>0</v>
      </c>
      <c r="AC510" s="408">
        <v>0</v>
      </c>
      <c r="AD510" s="408">
        <v>-14.819709707548199</v>
      </c>
      <c r="AE510" s="408">
        <v>-60.838532406423475</v>
      </c>
      <c r="AF510" s="408">
        <v>-30.266732097235078</v>
      </c>
      <c r="AG510" s="408">
        <v>0</v>
      </c>
      <c r="AH510" s="408">
        <v>0</v>
      </c>
      <c r="AI510" s="408">
        <v>0</v>
      </c>
      <c r="AJ510" s="408">
        <v>0</v>
      </c>
      <c r="AK510" s="408">
        <v>0</v>
      </c>
      <c r="AL510" s="408">
        <v>0</v>
      </c>
      <c r="AM510" s="408"/>
      <c r="AN510" s="408">
        <v>-0.28119582470197674</v>
      </c>
      <c r="AO510" s="408">
        <v>0</v>
      </c>
      <c r="AP510" s="408">
        <v>0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0</v>
      </c>
      <c r="BF510" s="408">
        <v>0</v>
      </c>
      <c r="BG510" s="408">
        <v>-4.1753097553881844</v>
      </c>
      <c r="BH510" s="408">
        <v>0</v>
      </c>
      <c r="BI510" s="408">
        <v>0</v>
      </c>
      <c r="BJ510" s="408">
        <v>0</v>
      </c>
      <c r="BK510" s="408">
        <v>-21.91</v>
      </c>
      <c r="BL510" s="408">
        <v>0</v>
      </c>
      <c r="BM510" s="408"/>
      <c r="BN510" s="408"/>
      <c r="BO510" s="408"/>
      <c r="BP510" s="408"/>
      <c r="BQ510" s="408"/>
      <c r="BR510" s="408"/>
      <c r="BS510" s="408"/>
      <c r="BT510" s="408">
        <v>-7.3019999999999987</v>
      </c>
      <c r="BU510" s="408"/>
      <c r="BV510" s="408">
        <v>-34.442041852623262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-65.728799999999993</v>
      </c>
      <c r="CJ510" s="408">
        <v>33.584399999999988</v>
      </c>
      <c r="CK510" s="408"/>
      <c r="CL510" s="408"/>
      <c r="CM510" s="408"/>
      <c r="CN510" s="408"/>
      <c r="CO510" s="408">
        <v>37.35</v>
      </c>
      <c r="CP510" s="408">
        <v>0</v>
      </c>
      <c r="CQ510" s="408">
        <v>31</v>
      </c>
      <c r="CR510" s="408">
        <v>4.7219270591632778E-2</v>
      </c>
      <c r="CS510" s="408">
        <v>0</v>
      </c>
      <c r="CT510" s="408">
        <v>0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3.8087959000680627E-2</v>
      </c>
      <c r="DA510" s="408">
        <v>0</v>
      </c>
      <c r="DB510" s="408">
        <v>0</v>
      </c>
      <c r="DC510" s="408">
        <v>4.2432013458437723E-9</v>
      </c>
      <c r="DD510" s="408">
        <v>0</v>
      </c>
      <c r="DE510" s="408">
        <v>0</v>
      </c>
      <c r="DF510" s="408">
        <v>0</v>
      </c>
      <c r="DG510" s="408">
        <v>5.8534865843284933E-10</v>
      </c>
      <c r="DH510" s="408">
        <v>0</v>
      </c>
      <c r="DI510" s="408">
        <v>0</v>
      </c>
      <c r="DJ510" s="408"/>
      <c r="DK510" s="408">
        <v>0</v>
      </c>
      <c r="DL510" s="408">
        <v>0</v>
      </c>
      <c r="DM510" s="408">
        <v>0</v>
      </c>
      <c r="DN510" s="408">
        <v>0</v>
      </c>
      <c r="DO510" s="408">
        <v>0</v>
      </c>
      <c r="DP510" s="408">
        <v>9.1313067624059774E-3</v>
      </c>
      <c r="DQ510" s="408">
        <v>0</v>
      </c>
      <c r="DR510" s="408">
        <v>0</v>
      </c>
      <c r="DS510" s="408"/>
      <c r="DT510" s="408"/>
      <c r="DU510" s="408"/>
      <c r="DV510" s="408">
        <v>-60.838532406423475</v>
      </c>
      <c r="DW510" s="408">
        <v>0</v>
      </c>
      <c r="DX510" s="408">
        <v>0</v>
      </c>
      <c r="DY510" s="408">
        <v>37.35</v>
      </c>
      <c r="DZ510" s="408">
        <v>0</v>
      </c>
      <c r="EA510" s="408">
        <v>0</v>
      </c>
      <c r="EB510" s="408">
        <v>0</v>
      </c>
      <c r="EC510" s="408">
        <v>37.30284936337091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0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265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517</v>
      </c>
      <c r="B511" s="408" t="s">
        <v>2230</v>
      </c>
      <c r="C511" s="408" t="s">
        <v>2227</v>
      </c>
      <c r="D511" s="408" t="s">
        <v>1949</v>
      </c>
      <c r="E511" s="408" t="s">
        <v>964</v>
      </c>
      <c r="F511" s="408" t="s">
        <v>2233</v>
      </c>
      <c r="G511" s="408" t="s">
        <v>1317</v>
      </c>
      <c r="H511" s="408" t="s">
        <v>1317</v>
      </c>
      <c r="I511" s="408" t="s">
        <v>1317</v>
      </c>
      <c r="J511" s="408" t="s">
        <v>2228</v>
      </c>
      <c r="K511" s="828">
        <v>44682</v>
      </c>
      <c r="L511" s="408">
        <v>0</v>
      </c>
      <c r="M511" s="408">
        <v>0</v>
      </c>
      <c r="N511" s="408">
        <v>8.9999999999999993E-3</v>
      </c>
      <c r="O511" s="408">
        <v>8.9999999999999998E-4</v>
      </c>
      <c r="P511" s="408">
        <v>8.9999999999999993E-3</v>
      </c>
      <c r="Q511" s="408">
        <v>8.9999999999999998E-4</v>
      </c>
      <c r="R511" s="408"/>
      <c r="S511" s="408">
        <v>667.62</v>
      </c>
      <c r="T511" s="408">
        <v>252.22</v>
      </c>
      <c r="U511" s="408"/>
      <c r="V511" s="408">
        <v>8.2785599999999988</v>
      </c>
      <c r="W511" s="408">
        <v>8.2785599999999988</v>
      </c>
      <c r="X511" s="408">
        <v>5.4773099999999992</v>
      </c>
      <c r="Y511" s="408">
        <v>0</v>
      </c>
      <c r="Z511" s="408">
        <v>0</v>
      </c>
      <c r="AA511" s="408">
        <v>0</v>
      </c>
      <c r="AB511" s="408">
        <v>0</v>
      </c>
      <c r="AC511" s="408">
        <v>0</v>
      </c>
      <c r="AD511" s="408">
        <v>1.1114782280661148</v>
      </c>
      <c r="AE511" s="408">
        <v>4.5628899304817603</v>
      </c>
      <c r="AF511" s="408">
        <v>2.2700049072926309</v>
      </c>
      <c r="AG511" s="408">
        <v>0</v>
      </c>
      <c r="AH511" s="408">
        <v>0</v>
      </c>
      <c r="AI511" s="408">
        <v>0</v>
      </c>
      <c r="AJ511" s="408">
        <v>0</v>
      </c>
      <c r="AK511" s="408">
        <v>0</v>
      </c>
      <c r="AL511" s="408">
        <v>0</v>
      </c>
      <c r="AM511" s="408"/>
      <c r="AN511" s="408">
        <v>2.1089686852648257E-2</v>
      </c>
      <c r="AO511" s="408">
        <v>0</v>
      </c>
      <c r="AP511" s="408">
        <v>0</v>
      </c>
      <c r="AQ511" s="408">
        <v>0</v>
      </c>
      <c r="AR511" s="408">
        <v>0</v>
      </c>
      <c r="AS511" s="408">
        <v>0</v>
      </c>
      <c r="AT511" s="408">
        <v>0</v>
      </c>
      <c r="AU511" s="408">
        <v>0</v>
      </c>
      <c r="AV511" s="408">
        <v>0</v>
      </c>
      <c r="AW511" s="408">
        <v>0</v>
      </c>
      <c r="AX511" s="408">
        <v>0</v>
      </c>
      <c r="AY511" s="408">
        <v>0</v>
      </c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>
        <v>0</v>
      </c>
      <c r="BG511" s="408">
        <v>0.31314823165411382</v>
      </c>
      <c r="BH511" s="408">
        <v>0</v>
      </c>
      <c r="BI511" s="408">
        <v>0</v>
      </c>
      <c r="BJ511" s="408">
        <v>0</v>
      </c>
      <c r="BK511" s="408">
        <v>90.63</v>
      </c>
      <c r="BL511" s="408">
        <v>6</v>
      </c>
      <c r="BM511" s="408"/>
      <c r="BN511" s="408"/>
      <c r="BO511" s="408"/>
      <c r="BP511" s="408"/>
      <c r="BQ511" s="408"/>
      <c r="BR511" s="408"/>
      <c r="BS511" s="408"/>
      <c r="BT511" s="408">
        <v>4.9843440000000001</v>
      </c>
      <c r="BU511" s="408"/>
      <c r="BV511" s="408">
        <v>2.5831531389467446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0</v>
      </c>
      <c r="CJ511" s="408">
        <v>-0.77507400000000004</v>
      </c>
      <c r="CK511" s="408"/>
      <c r="CL511" s="408"/>
      <c r="CM511" s="408"/>
      <c r="CN511" s="408"/>
      <c r="CO511" s="408">
        <v>-2.8012499999999996</v>
      </c>
      <c r="CP511" s="408">
        <v>0</v>
      </c>
      <c r="CQ511" s="408">
        <v>31</v>
      </c>
      <c r="CR511" s="408">
        <v>-3.5414452943722807E-3</v>
      </c>
      <c r="CS511" s="408">
        <v>0</v>
      </c>
      <c r="CT511" s="408">
        <v>0</v>
      </c>
      <c r="CU511" s="408">
        <v>0</v>
      </c>
      <c r="CV511" s="408">
        <v>0</v>
      </c>
      <c r="CW511" s="408">
        <v>0</v>
      </c>
      <c r="CX511" s="408">
        <v>0</v>
      </c>
      <c r="CY511" s="408">
        <v>0</v>
      </c>
      <c r="CZ511" s="408">
        <v>-2.8565969250509138E-3</v>
      </c>
      <c r="DA511" s="408">
        <v>0</v>
      </c>
      <c r="DB511" s="408">
        <v>0</v>
      </c>
      <c r="DC511" s="408">
        <v>-3.1824010093828292E-10</v>
      </c>
      <c r="DD511" s="408">
        <v>0</v>
      </c>
      <c r="DE511" s="408">
        <v>0</v>
      </c>
      <c r="DF511" s="408">
        <v>0</v>
      </c>
      <c r="DG511" s="408">
        <v>-4.3901160484693946E-11</v>
      </c>
      <c r="DH511" s="408">
        <v>0</v>
      </c>
      <c r="DI511" s="408">
        <v>0</v>
      </c>
      <c r="DJ511" s="408"/>
      <c r="DK511" s="408">
        <v>0</v>
      </c>
      <c r="DL511" s="408">
        <v>0</v>
      </c>
      <c r="DM511" s="408">
        <v>0</v>
      </c>
      <c r="DN511" s="408">
        <v>0</v>
      </c>
      <c r="DO511" s="408">
        <v>0</v>
      </c>
      <c r="DP511" s="408">
        <v>-6.84848007180449E-4</v>
      </c>
      <c r="DQ511" s="408">
        <v>0</v>
      </c>
      <c r="DR511" s="408">
        <v>0</v>
      </c>
      <c r="DS511" s="408"/>
      <c r="DT511" s="408"/>
      <c r="DU511" s="408"/>
      <c r="DV511" s="408">
        <v>4.5628899304817603</v>
      </c>
      <c r="DW511" s="408">
        <v>0</v>
      </c>
      <c r="DX511" s="408">
        <v>0</v>
      </c>
      <c r="DY511" s="408">
        <v>-2.8012499999999996</v>
      </c>
      <c r="DZ511" s="408">
        <v>0</v>
      </c>
      <c r="EA511" s="408">
        <v>0</v>
      </c>
      <c r="EB511" s="408">
        <v>0</v>
      </c>
      <c r="EC511" s="408">
        <v>-2.7977137022528185</v>
      </c>
      <c r="ED511" s="408">
        <v>0</v>
      </c>
      <c r="EE511" s="408">
        <v>0</v>
      </c>
      <c r="EF511" s="408">
        <v>0</v>
      </c>
      <c r="EG511" s="408">
        <v>0</v>
      </c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>
        <v>0</v>
      </c>
      <c r="EN511" s="408">
        <v>0</v>
      </c>
      <c r="EO511" s="408">
        <v>0</v>
      </c>
      <c r="EP511" s="408">
        <v>0</v>
      </c>
      <c r="EQ511" s="408">
        <v>0</v>
      </c>
      <c r="ER511" s="408">
        <v>0</v>
      </c>
      <c r="ES511" s="408">
        <v>0</v>
      </c>
      <c r="ET511" s="408">
        <v>0</v>
      </c>
      <c r="EU511" s="408">
        <v>0</v>
      </c>
      <c r="EV511" s="408">
        <v>265</v>
      </c>
      <c r="EW511" s="408">
        <v>0</v>
      </c>
      <c r="EX511" s="408">
        <v>0</v>
      </c>
      <c r="EY511" s="408">
        <v>0</v>
      </c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518</v>
      </c>
      <c r="B512" s="408" t="s">
        <v>1031</v>
      </c>
      <c r="C512" s="408" t="s">
        <v>2227</v>
      </c>
      <c r="D512" s="408" t="s">
        <v>1949</v>
      </c>
      <c r="E512" s="408" t="s">
        <v>964</v>
      </c>
      <c r="F512" s="408" t="s">
        <v>2234</v>
      </c>
      <c r="G512" s="408" t="s">
        <v>1317</v>
      </c>
      <c r="H512" s="408" t="s">
        <v>1317</v>
      </c>
      <c r="I512" s="408" t="s">
        <v>1317</v>
      </c>
      <c r="J512" s="408" t="s">
        <v>2228</v>
      </c>
      <c r="K512" s="828">
        <v>44682</v>
      </c>
      <c r="L512" s="408">
        <v>0</v>
      </c>
      <c r="M512" s="408">
        <v>0</v>
      </c>
      <c r="N512" s="408">
        <v>6.0679999999999996</v>
      </c>
      <c r="O512" s="408">
        <v>6.0679999999999996</v>
      </c>
      <c r="P512" s="408">
        <v>6.0679999999999996</v>
      </c>
      <c r="Q512" s="408">
        <v>6.0679999999999996</v>
      </c>
      <c r="R512" s="408"/>
      <c r="S512" s="408">
        <v>667.62</v>
      </c>
      <c r="T512" s="408">
        <v>252.22</v>
      </c>
      <c r="U512" s="408"/>
      <c r="V512" s="408">
        <v>5581.5891199999996</v>
      </c>
      <c r="W512" s="408">
        <v>5581.5891199999996</v>
      </c>
      <c r="X512" s="408">
        <v>3692.9241199999997</v>
      </c>
      <c r="Y512" s="408">
        <v>0</v>
      </c>
      <c r="Z512" s="408">
        <v>0</v>
      </c>
      <c r="AA512" s="408">
        <v>0</v>
      </c>
      <c r="AB512" s="408">
        <v>0</v>
      </c>
      <c r="AC512" s="408">
        <v>0</v>
      </c>
      <c r="AD512" s="408">
        <v>749.38332087835386</v>
      </c>
      <c r="AE512" s="408">
        <v>3076.4017886848137</v>
      </c>
      <c r="AF512" s="408">
        <v>1530.4877530501872</v>
      </c>
      <c r="AG512" s="408">
        <v>0</v>
      </c>
      <c r="AH512" s="408">
        <v>0</v>
      </c>
      <c r="AI512" s="408">
        <v>0</v>
      </c>
      <c r="AJ512" s="408">
        <v>0</v>
      </c>
      <c r="AK512" s="408">
        <v>0</v>
      </c>
      <c r="AL512" s="408">
        <v>0</v>
      </c>
      <c r="AM512" s="408"/>
      <c r="AN512" s="408">
        <v>14.219135535763291</v>
      </c>
      <c r="AO512" s="408">
        <v>0</v>
      </c>
      <c r="AP512" s="408">
        <v>0</v>
      </c>
      <c r="AQ512" s="408">
        <v>0</v>
      </c>
      <c r="AR512" s="408">
        <v>0</v>
      </c>
      <c r="AS512" s="408">
        <v>0</v>
      </c>
      <c r="AT512" s="408">
        <v>0</v>
      </c>
      <c r="AU512" s="408">
        <v>0</v>
      </c>
      <c r="AV512" s="408">
        <v>0</v>
      </c>
      <c r="AW512" s="408">
        <v>0</v>
      </c>
      <c r="AX512" s="408">
        <v>0</v>
      </c>
      <c r="AY512" s="408">
        <v>0</v>
      </c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>
        <v>0</v>
      </c>
      <c r="BG512" s="408">
        <v>211.13149663079585</v>
      </c>
      <c r="BH512" s="408">
        <v>0</v>
      </c>
      <c r="BI512" s="408">
        <v>0</v>
      </c>
      <c r="BJ512" s="408">
        <v>0</v>
      </c>
      <c r="BK512" s="408">
        <v>1230.6300000000001</v>
      </c>
      <c r="BL512" s="408">
        <v>66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>
        <v>1741.6192496809831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3694.1413000000002</v>
      </c>
      <c r="CJ512" s="408">
        <v>-1887.4778200000001</v>
      </c>
      <c r="CK512" s="408"/>
      <c r="CL512" s="408"/>
      <c r="CM512" s="408"/>
      <c r="CN512" s="408"/>
      <c r="CO512" s="408">
        <v>-1888.665</v>
      </c>
      <c r="CP512" s="408">
        <v>0</v>
      </c>
      <c r="CQ512" s="408">
        <v>31</v>
      </c>
      <c r="CR512" s="408">
        <v>-2.3877211162507592</v>
      </c>
      <c r="CS512" s="408">
        <v>0</v>
      </c>
      <c r="CT512" s="408">
        <v>0</v>
      </c>
      <c r="CU512" s="408">
        <v>0</v>
      </c>
      <c r="CV512" s="408">
        <v>0</v>
      </c>
      <c r="CW512" s="408">
        <v>0</v>
      </c>
      <c r="CX512" s="408">
        <v>0</v>
      </c>
      <c r="CY512" s="408">
        <v>0</v>
      </c>
      <c r="CZ512" s="408">
        <v>-1.925981126801048</v>
      </c>
      <c r="DA512" s="408">
        <v>0</v>
      </c>
      <c r="DB512" s="408">
        <v>0</v>
      </c>
      <c r="DC512" s="408">
        <v>-2.1456457943713758E-7</v>
      </c>
      <c r="DD512" s="408">
        <v>0</v>
      </c>
      <c r="DE512" s="408">
        <v>0</v>
      </c>
      <c r="DF512" s="408">
        <v>0</v>
      </c>
      <c r="DG512" s="408">
        <v>-2.9599135586977354E-8</v>
      </c>
      <c r="DH512" s="408">
        <v>0</v>
      </c>
      <c r="DI512" s="408">
        <v>0</v>
      </c>
      <c r="DJ512" s="408"/>
      <c r="DK512" s="408">
        <v>0</v>
      </c>
      <c r="DL512" s="408">
        <v>0</v>
      </c>
      <c r="DM512" s="408">
        <v>0</v>
      </c>
      <c r="DN512" s="408">
        <v>0</v>
      </c>
      <c r="DO512" s="408">
        <v>0</v>
      </c>
      <c r="DP512" s="408">
        <v>-0.4617397452856622</v>
      </c>
      <c r="DQ512" s="408">
        <v>0</v>
      </c>
      <c r="DR512" s="408">
        <v>0</v>
      </c>
      <c r="DS512" s="408"/>
      <c r="DT512" s="408"/>
      <c r="DU512" s="408"/>
      <c r="DV512" s="408">
        <v>3076.4017886848137</v>
      </c>
      <c r="DW512" s="408">
        <v>0</v>
      </c>
      <c r="DX512" s="408">
        <v>0</v>
      </c>
      <c r="DY512" s="408">
        <v>-1888.665</v>
      </c>
      <c r="DZ512" s="408">
        <v>0</v>
      </c>
      <c r="EA512" s="408">
        <v>0</v>
      </c>
      <c r="EB512" s="408">
        <v>0</v>
      </c>
      <c r="EC512" s="408">
        <v>-1886.2807494744559</v>
      </c>
      <c r="ED512" s="408">
        <v>0</v>
      </c>
      <c r="EE512" s="408">
        <v>0</v>
      </c>
      <c r="EF512" s="408">
        <v>0</v>
      </c>
      <c r="EG512" s="408">
        <v>0</v>
      </c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>
        <v>0</v>
      </c>
      <c r="EN512" s="408">
        <v>0</v>
      </c>
      <c r="EO512" s="408">
        <v>0</v>
      </c>
      <c r="EP512" s="408">
        <v>0</v>
      </c>
      <c r="EQ512" s="408">
        <v>0</v>
      </c>
      <c r="ER512" s="408">
        <v>0</v>
      </c>
      <c r="ES512" s="408">
        <v>0</v>
      </c>
      <c r="ET512" s="408">
        <v>0</v>
      </c>
      <c r="EU512" s="408">
        <v>0</v>
      </c>
      <c r="EV512" s="408">
        <v>265</v>
      </c>
      <c r="EW512" s="408">
        <v>0</v>
      </c>
      <c r="EX512" s="408">
        <v>0</v>
      </c>
      <c r="EY512" s="408">
        <v>0</v>
      </c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519</v>
      </c>
      <c r="B513" s="408" t="s">
        <v>2229</v>
      </c>
      <c r="C513" s="408" t="s">
        <v>2227</v>
      </c>
      <c r="D513" s="408" t="s">
        <v>1949</v>
      </c>
      <c r="E513" s="408" t="s">
        <v>964</v>
      </c>
      <c r="F513" s="408" t="s">
        <v>2234</v>
      </c>
      <c r="G513" s="408" t="s">
        <v>1317</v>
      </c>
      <c r="H513" s="408" t="s">
        <v>1317</v>
      </c>
      <c r="I513" s="408" t="s">
        <v>1317</v>
      </c>
      <c r="J513" s="408" t="s">
        <v>2228</v>
      </c>
      <c r="K513" s="828">
        <v>44682</v>
      </c>
      <c r="L513" s="408">
        <v>0</v>
      </c>
      <c r="M513" s="408">
        <v>0</v>
      </c>
      <c r="N513" s="408">
        <v>-0.46600000000000003</v>
      </c>
      <c r="O513" s="408">
        <v>-0.46600000000000003</v>
      </c>
      <c r="P513" s="408">
        <v>-0.46600000000000003</v>
      </c>
      <c r="Q513" s="408">
        <v>-0.46600000000000003</v>
      </c>
      <c r="R513" s="408"/>
      <c r="S513" s="408">
        <v>667.62</v>
      </c>
      <c r="T513" s="408">
        <v>252.22</v>
      </c>
      <c r="U513" s="408"/>
      <c r="V513" s="408">
        <v>-428.64544000000001</v>
      </c>
      <c r="W513" s="408">
        <v>-428.64544000000001</v>
      </c>
      <c r="X513" s="408">
        <v>-283.60293999999999</v>
      </c>
      <c r="Y513" s="408">
        <v>0</v>
      </c>
      <c r="Z513" s="408">
        <v>0</v>
      </c>
      <c r="AA513" s="408">
        <v>0</v>
      </c>
      <c r="AB513" s="408">
        <v>0</v>
      </c>
      <c r="AC513" s="408">
        <v>0</v>
      </c>
      <c r="AD513" s="408">
        <v>-57.549872697645512</v>
      </c>
      <c r="AE513" s="408">
        <v>-236.25630084494452</v>
      </c>
      <c r="AF513" s="408">
        <v>-117.5358096442629</v>
      </c>
      <c r="AG513" s="408">
        <v>0</v>
      </c>
      <c r="AH513" s="408">
        <v>0</v>
      </c>
      <c r="AI513" s="408">
        <v>0</v>
      </c>
      <c r="AJ513" s="408">
        <v>0</v>
      </c>
      <c r="AK513" s="408">
        <v>0</v>
      </c>
      <c r="AL513" s="408">
        <v>0</v>
      </c>
      <c r="AM513" s="408"/>
      <c r="AN513" s="408">
        <v>-1.0919771192593433</v>
      </c>
      <c r="AO513" s="408">
        <v>0</v>
      </c>
      <c r="AP513" s="408">
        <v>0</v>
      </c>
      <c r="AQ513" s="408">
        <v>0</v>
      </c>
      <c r="AR513" s="408">
        <v>0</v>
      </c>
      <c r="AS513" s="408">
        <v>0</v>
      </c>
      <c r="AT513" s="408">
        <v>0</v>
      </c>
      <c r="AU513" s="408">
        <v>0</v>
      </c>
      <c r="AV513" s="408">
        <v>0</v>
      </c>
      <c r="AW513" s="408">
        <v>0</v>
      </c>
      <c r="AX513" s="408">
        <v>0</v>
      </c>
      <c r="AY513" s="408">
        <v>0</v>
      </c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0</v>
      </c>
      <c r="BF513" s="408">
        <v>0</v>
      </c>
      <c r="BG513" s="408">
        <v>-16.214119550090782</v>
      </c>
      <c r="BH513" s="408">
        <v>0</v>
      </c>
      <c r="BI513" s="408">
        <v>0</v>
      </c>
      <c r="BJ513" s="408">
        <v>0</v>
      </c>
      <c r="BK513" s="408">
        <v>-94.53</v>
      </c>
      <c r="BL513" s="408">
        <v>0</v>
      </c>
      <c r="BM513" s="408"/>
      <c r="BN513" s="408"/>
      <c r="BO513" s="408"/>
      <c r="BP513" s="408"/>
      <c r="BQ513" s="408"/>
      <c r="BR513" s="408"/>
      <c r="BS513" s="408"/>
      <c r="BT513" s="408"/>
      <c r="BU513" s="408"/>
      <c r="BV513" s="408">
        <v>-133.74992919435368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-286.03729999999996</v>
      </c>
      <c r="CJ513" s="408">
        <v>142.57814000000008</v>
      </c>
      <c r="CK513" s="408"/>
      <c r="CL513" s="408"/>
      <c r="CM513" s="408"/>
      <c r="CN513" s="408"/>
      <c r="CO513" s="408">
        <v>145.04250000000002</v>
      </c>
      <c r="CP513" s="408">
        <v>0</v>
      </c>
      <c r="CQ513" s="408">
        <v>31</v>
      </c>
      <c r="CR513" s="408">
        <v>0.18336816746420936</v>
      </c>
      <c r="CS513" s="408">
        <v>0</v>
      </c>
      <c r="CT513" s="408">
        <v>0</v>
      </c>
      <c r="CU513" s="408">
        <v>0</v>
      </c>
      <c r="CV513" s="408">
        <v>0</v>
      </c>
      <c r="CW513" s="408">
        <v>0</v>
      </c>
      <c r="CX513" s="408">
        <v>0</v>
      </c>
      <c r="CY513" s="408">
        <v>0</v>
      </c>
      <c r="CZ513" s="408">
        <v>0.14790824078597353</v>
      </c>
      <c r="DA513" s="408">
        <v>0</v>
      </c>
      <c r="DB513" s="408">
        <v>0</v>
      </c>
      <c r="DC513" s="408">
        <v>1.6477756048516312E-8</v>
      </c>
      <c r="DD513" s="408">
        <v>0</v>
      </c>
      <c r="DE513" s="408">
        <v>0</v>
      </c>
      <c r="DF513" s="408">
        <v>0</v>
      </c>
      <c r="DG513" s="408">
        <v>2.2731008186838153E-9</v>
      </c>
      <c r="DH513" s="408">
        <v>0</v>
      </c>
      <c r="DI513" s="408">
        <v>0</v>
      </c>
      <c r="DJ513" s="408"/>
      <c r="DK513" s="408">
        <v>0</v>
      </c>
      <c r="DL513" s="408">
        <v>0</v>
      </c>
      <c r="DM513" s="408">
        <v>0</v>
      </c>
      <c r="DN513" s="408">
        <v>0</v>
      </c>
      <c r="DO513" s="408">
        <v>0</v>
      </c>
      <c r="DP513" s="408">
        <v>3.5459907927343215E-2</v>
      </c>
      <c r="DQ513" s="408">
        <v>0</v>
      </c>
      <c r="DR513" s="408">
        <v>0</v>
      </c>
      <c r="DS513" s="408"/>
      <c r="DT513" s="408"/>
      <c r="DU513" s="408"/>
      <c r="DV513" s="408">
        <v>-236.25630084494452</v>
      </c>
      <c r="DW513" s="408">
        <v>0</v>
      </c>
      <c r="DX513" s="408">
        <v>0</v>
      </c>
      <c r="DY513" s="408">
        <v>145.04250000000002</v>
      </c>
      <c r="DZ513" s="408">
        <v>0</v>
      </c>
      <c r="EA513" s="408">
        <v>0</v>
      </c>
      <c r="EB513" s="408">
        <v>0</v>
      </c>
      <c r="EC513" s="408">
        <v>144.8593983610904</v>
      </c>
      <c r="ED513" s="408">
        <v>0</v>
      </c>
      <c r="EE513" s="408">
        <v>0</v>
      </c>
      <c r="EF513" s="408">
        <v>0</v>
      </c>
      <c r="EG513" s="408">
        <v>0</v>
      </c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>
        <v>0</v>
      </c>
      <c r="EN513" s="408">
        <v>0</v>
      </c>
      <c r="EO513" s="408">
        <v>0</v>
      </c>
      <c r="EP513" s="408">
        <v>0</v>
      </c>
      <c r="EQ513" s="408">
        <v>0</v>
      </c>
      <c r="ER513" s="408">
        <v>0</v>
      </c>
      <c r="ES513" s="408">
        <v>0</v>
      </c>
      <c r="ET513" s="408">
        <v>0</v>
      </c>
      <c r="EU513" s="408">
        <v>0</v>
      </c>
      <c r="EV513" s="408">
        <v>265</v>
      </c>
      <c r="EW513" s="408">
        <v>0</v>
      </c>
      <c r="EX513" s="408">
        <v>0</v>
      </c>
      <c r="EY513" s="408">
        <v>0</v>
      </c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520</v>
      </c>
      <c r="B514" s="408" t="s">
        <v>2230</v>
      </c>
      <c r="C514" s="408" t="s">
        <v>2227</v>
      </c>
      <c r="D514" s="408" t="s">
        <v>1949</v>
      </c>
      <c r="E514" s="408" t="s">
        <v>964</v>
      </c>
      <c r="F514" s="408" t="s">
        <v>2234</v>
      </c>
      <c r="G514" s="408" t="s">
        <v>1317</v>
      </c>
      <c r="H514" s="408" t="s">
        <v>1317</v>
      </c>
      <c r="I514" s="408" t="s">
        <v>1317</v>
      </c>
      <c r="J514" s="408" t="s">
        <v>2228</v>
      </c>
      <c r="K514" s="828">
        <v>44682</v>
      </c>
      <c r="L514" s="408">
        <v>0</v>
      </c>
      <c r="M514" s="408">
        <v>0</v>
      </c>
      <c r="N514" s="408">
        <v>0</v>
      </c>
      <c r="O514" s="408">
        <v>0</v>
      </c>
      <c r="P514" s="408">
        <v>0</v>
      </c>
      <c r="Q514" s="408">
        <v>0</v>
      </c>
      <c r="R514" s="408"/>
      <c r="S514" s="408"/>
      <c r="T514" s="408"/>
      <c r="U514" s="408"/>
      <c r="V514" s="408"/>
      <c r="W514" s="408"/>
      <c r="X514" s="408"/>
      <c r="Y514" s="408"/>
      <c r="Z514" s="408"/>
      <c r="AA514" s="408">
        <v>0</v>
      </c>
      <c r="AB514" s="408"/>
      <c r="AC514" s="408"/>
      <c r="AD514" s="408"/>
      <c r="AE514" s="408"/>
      <c r="AF514" s="408"/>
      <c r="AG514" s="408"/>
      <c r="AH514" s="408"/>
      <c r="AI514" s="408"/>
      <c r="AJ514" s="408"/>
      <c r="AK514" s="408"/>
      <c r="AL514" s="408"/>
      <c r="AM514" s="408"/>
      <c r="AN514" s="408"/>
      <c r="AO514" s="408"/>
      <c r="AP514" s="408"/>
      <c r="AQ514" s="408"/>
      <c r="AR514" s="408"/>
      <c r="AS514" s="408"/>
      <c r="AT514" s="408"/>
      <c r="AU514" s="408"/>
      <c r="AV514" s="408"/>
      <c r="AW514" s="408"/>
      <c r="AX514" s="408"/>
      <c r="AY514" s="408"/>
      <c r="AZ514" s="408">
        <v>0</v>
      </c>
      <c r="BA514" s="408"/>
      <c r="BB514" s="408"/>
      <c r="BC514" s="408"/>
      <c r="BD514" s="408"/>
      <c r="BE514" s="408"/>
      <c r="BF514" s="408"/>
      <c r="BG514" s="408"/>
      <c r="BH514" s="408"/>
      <c r="BI514" s="408">
        <v>0</v>
      </c>
      <c r="BJ514" s="408">
        <v>0</v>
      </c>
      <c r="BK514" s="408">
        <v>33.85</v>
      </c>
      <c r="BL514" s="408">
        <v>3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/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/>
      <c r="CJ514" s="408">
        <v>-0.03</v>
      </c>
      <c r="CK514" s="408"/>
      <c r="CL514" s="408"/>
      <c r="CM514" s="408"/>
      <c r="CN514" s="408"/>
      <c r="CO514" s="408">
        <v>0</v>
      </c>
      <c r="CP514" s="408">
        <v>0</v>
      </c>
      <c r="CQ514" s="408">
        <v>31</v>
      </c>
      <c r="CR514" s="408"/>
      <c r="CS514" s="408"/>
      <c r="CT514" s="408"/>
      <c r="CU514" s="408"/>
      <c r="CV514" s="408"/>
      <c r="CW514" s="408"/>
      <c r="CX514" s="408"/>
      <c r="CY514" s="408"/>
      <c r="CZ514" s="408"/>
      <c r="DA514" s="408"/>
      <c r="DB514" s="408"/>
      <c r="DC514" s="408"/>
      <c r="DD514" s="408"/>
      <c r="DE514" s="408"/>
      <c r="DF514" s="408"/>
      <c r="DG514" s="408"/>
      <c r="DH514" s="408"/>
      <c r="DI514" s="408"/>
      <c r="DJ514" s="408"/>
      <c r="DK514" s="408">
        <v>0</v>
      </c>
      <c r="DL514" s="408"/>
      <c r="DM514" s="408"/>
      <c r="DN514" s="408"/>
      <c r="DO514" s="408"/>
      <c r="DP514" s="408"/>
      <c r="DQ514" s="408"/>
      <c r="DR514" s="408"/>
      <c r="DS514" s="408"/>
      <c r="DT514" s="408"/>
      <c r="DU514" s="408"/>
      <c r="DV514" s="408"/>
      <c r="DW514" s="408"/>
      <c r="DX514" s="408"/>
      <c r="DY514" s="408"/>
      <c r="DZ514" s="408"/>
      <c r="EA514" s="408"/>
      <c r="EB514" s="408"/>
      <c r="EC514" s="408"/>
      <c r="ED514" s="408"/>
      <c r="EE514" s="408"/>
      <c r="EF514" s="408"/>
      <c r="EG514" s="408"/>
      <c r="EH514" s="408"/>
      <c r="EI514" s="408"/>
      <c r="EJ514" s="408"/>
      <c r="EK514" s="408"/>
      <c r="EL514" s="408"/>
      <c r="EM514" s="408"/>
      <c r="EN514" s="408"/>
      <c r="EO514" s="408"/>
      <c r="EP514" s="408"/>
      <c r="EQ514" s="408"/>
      <c r="ER514" s="408"/>
      <c r="ES514" s="408"/>
      <c r="ET514" s="408"/>
      <c r="EU514" s="408"/>
      <c r="EV514" s="408">
        <v>265</v>
      </c>
      <c r="EW514" s="408"/>
      <c r="EX514" s="408"/>
      <c r="EY514" s="408"/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521</v>
      </c>
      <c r="B515" s="408" t="s">
        <v>1031</v>
      </c>
      <c r="C515" s="408" t="s">
        <v>2227</v>
      </c>
      <c r="D515" s="408" t="s">
        <v>1952</v>
      </c>
      <c r="E515" s="408" t="s">
        <v>965</v>
      </c>
      <c r="F515" s="408" t="s">
        <v>1317</v>
      </c>
      <c r="G515" s="408" t="s">
        <v>1317</v>
      </c>
      <c r="H515" s="408" t="s">
        <v>1317</v>
      </c>
      <c r="I515" s="408" t="s">
        <v>1317</v>
      </c>
      <c r="J515" s="408" t="s">
        <v>2228</v>
      </c>
      <c r="K515" s="828">
        <v>44682</v>
      </c>
      <c r="L515" s="408">
        <v>0</v>
      </c>
      <c r="M515" s="408">
        <v>0</v>
      </c>
      <c r="N515" s="408">
        <v>21.818999999999999</v>
      </c>
      <c r="O515" s="408">
        <v>21.818999999999999</v>
      </c>
      <c r="P515" s="408">
        <v>21.818999999999999</v>
      </c>
      <c r="Q515" s="408">
        <v>21.818999999999999</v>
      </c>
      <c r="R515" s="408"/>
      <c r="S515" s="408">
        <v>739.04</v>
      </c>
      <c r="T515" s="408">
        <v>252.22</v>
      </c>
      <c r="U515" s="408"/>
      <c r="V515" s="408">
        <v>21628.301939999998</v>
      </c>
      <c r="W515" s="408">
        <v>21628.301939999998</v>
      </c>
      <c r="X515" s="408">
        <v>14792.62743</v>
      </c>
      <c r="Y515" s="408">
        <v>0</v>
      </c>
      <c r="Z515" s="408">
        <v>1349.5740243660975</v>
      </c>
      <c r="AA515" s="408">
        <v>0</v>
      </c>
      <c r="AB515" s="408">
        <v>0</v>
      </c>
      <c r="AC515" s="408">
        <v>0</v>
      </c>
      <c r="AD515" s="408">
        <v>2694.5937175749514</v>
      </c>
      <c r="AE515" s="408">
        <v>11061.966154797949</v>
      </c>
      <c r="AF515" s="408">
        <v>5503.2485635797684</v>
      </c>
      <c r="AG515" s="408">
        <v>0</v>
      </c>
      <c r="AH515" s="408">
        <v>0</v>
      </c>
      <c r="AI515" s="408">
        <v>0</v>
      </c>
      <c r="AJ515" s="408">
        <v>0</v>
      </c>
      <c r="AK515" s="408">
        <v>0</v>
      </c>
      <c r="AL515" s="408">
        <v>208.61209576568007</v>
      </c>
      <c r="AM515" s="408"/>
      <c r="AN515" s="408">
        <v>51.128430826436926</v>
      </c>
      <c r="AO515" s="408">
        <v>0</v>
      </c>
      <c r="AP515" s="408">
        <v>0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</v>
      </c>
      <c r="BF515" s="408">
        <v>0</v>
      </c>
      <c r="BG515" s="408">
        <v>759.17569627345654</v>
      </c>
      <c r="BH515" s="408">
        <v>0</v>
      </c>
      <c r="BI515" s="408">
        <v>0</v>
      </c>
      <c r="BJ515" s="408">
        <v>0</v>
      </c>
      <c r="BK515" s="408">
        <v>3066.15</v>
      </c>
      <c r="BL515" s="408">
        <v>14</v>
      </c>
      <c r="BM515" s="408"/>
      <c r="BN515" s="408"/>
      <c r="BO515" s="408"/>
      <c r="BP515" s="408"/>
      <c r="BQ515" s="408"/>
      <c r="BR515" s="408"/>
      <c r="BS515" s="408"/>
      <c r="BT515" s="408"/>
      <c r="BU515" s="408"/>
      <c r="BV515" s="408">
        <v>6262.4242598532246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14793.305400000001</v>
      </c>
      <c r="CJ515" s="408">
        <v>-6835.0265399999953</v>
      </c>
      <c r="CK515" s="408"/>
      <c r="CL515" s="408"/>
      <c r="CM515" s="408"/>
      <c r="CN515" s="408"/>
      <c r="CO515" s="408">
        <v>-6835.6745099999989</v>
      </c>
      <c r="CP515" s="408">
        <v>0</v>
      </c>
      <c r="CQ515" s="408">
        <v>31</v>
      </c>
      <c r="CR515" s="408">
        <v>-53.06810481588218</v>
      </c>
      <c r="CS515" s="408">
        <v>0</v>
      </c>
      <c r="CT515" s="408">
        <v>0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-6.9253431452989389</v>
      </c>
      <c r="DA515" s="408">
        <v>0</v>
      </c>
      <c r="DB515" s="408">
        <v>0</v>
      </c>
      <c r="DC515" s="408">
        <v>-7.7152071753516793E-7</v>
      </c>
      <c r="DD515" s="408">
        <v>0</v>
      </c>
      <c r="DE515" s="408">
        <v>0</v>
      </c>
      <c r="DF515" s="408">
        <v>0</v>
      </c>
      <c r="DG515" s="408">
        <v>-1.0643088899087161E-7</v>
      </c>
      <c r="DH515" s="408">
        <v>0</v>
      </c>
      <c r="DI515" s="408">
        <v>-39.241684068668292</v>
      </c>
      <c r="DJ515" s="408"/>
      <c r="DK515" s="408">
        <v>0</v>
      </c>
      <c r="DL515" s="408">
        <v>0</v>
      </c>
      <c r="DM515" s="408">
        <v>0</v>
      </c>
      <c r="DN515" s="408">
        <v>0</v>
      </c>
      <c r="DO515" s="408">
        <v>-5.2407768718884711</v>
      </c>
      <c r="DP515" s="408">
        <v>-1.6602998520744663</v>
      </c>
      <c r="DQ515" s="408">
        <v>0</v>
      </c>
      <c r="DR515" s="408">
        <v>0</v>
      </c>
      <c r="DS515" s="408"/>
      <c r="DT515" s="408"/>
      <c r="DU515" s="408"/>
      <c r="DV515" s="408">
        <v>11061.966154797949</v>
      </c>
      <c r="DW515" s="408">
        <v>0</v>
      </c>
      <c r="DX515" s="408">
        <v>0</v>
      </c>
      <c r="DY515" s="408">
        <v>-6835.6745099999989</v>
      </c>
      <c r="DZ515" s="408">
        <v>0</v>
      </c>
      <c r="EA515" s="408">
        <v>0</v>
      </c>
      <c r="EB515" s="408">
        <v>0</v>
      </c>
      <c r="EC515" s="408">
        <v>-6782.5905854949169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0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265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522</v>
      </c>
      <c r="B516" s="408" t="s">
        <v>2229</v>
      </c>
      <c r="C516" s="408" t="s">
        <v>2227</v>
      </c>
      <c r="D516" s="408" t="s">
        <v>1952</v>
      </c>
      <c r="E516" s="408" t="s">
        <v>965</v>
      </c>
      <c r="F516" s="408" t="s">
        <v>1317</v>
      </c>
      <c r="G516" s="408" t="s">
        <v>1317</v>
      </c>
      <c r="H516" s="408" t="s">
        <v>1317</v>
      </c>
      <c r="I516" s="408" t="s">
        <v>1317</v>
      </c>
      <c r="J516" s="408" t="s">
        <v>2228</v>
      </c>
      <c r="K516" s="828">
        <v>44682</v>
      </c>
      <c r="L516" s="408">
        <v>0</v>
      </c>
      <c r="M516" s="408">
        <v>0</v>
      </c>
      <c r="N516" s="408">
        <v>-3.6619999999999999</v>
      </c>
      <c r="O516" s="408">
        <v>-3.6619999999999999</v>
      </c>
      <c r="P516" s="408">
        <v>-3.6619999999999999</v>
      </c>
      <c r="Q516" s="408">
        <v>-3.6619999999999999</v>
      </c>
      <c r="R516" s="408"/>
      <c r="S516" s="408">
        <v>739.04</v>
      </c>
      <c r="T516" s="408">
        <v>252.22</v>
      </c>
      <c r="U516" s="408"/>
      <c r="V516" s="408">
        <v>-3629.9941199999998</v>
      </c>
      <c r="W516" s="408">
        <v>-3629.9941199999998</v>
      </c>
      <c r="X516" s="408">
        <v>-2482.7261399999998</v>
      </c>
      <c r="Y516" s="408">
        <v>0</v>
      </c>
      <c r="Z516" s="408">
        <v>-226.50625955491313</v>
      </c>
      <c r="AA516" s="408">
        <v>0</v>
      </c>
      <c r="AB516" s="408">
        <v>0</v>
      </c>
      <c r="AC516" s="408">
        <v>0</v>
      </c>
      <c r="AD516" s="408">
        <v>-452.24814124201254</v>
      </c>
      <c r="AE516" s="408">
        <v>-1856.5892139360233</v>
      </c>
      <c r="AF516" s="408">
        <v>-923.63977450062384</v>
      </c>
      <c r="AG516" s="408">
        <v>0</v>
      </c>
      <c r="AH516" s="408">
        <v>0</v>
      </c>
      <c r="AI516" s="408">
        <v>0</v>
      </c>
      <c r="AJ516" s="408">
        <v>0</v>
      </c>
      <c r="AK516" s="408">
        <v>0</v>
      </c>
      <c r="AL516" s="408">
        <v>-35.012488871805331</v>
      </c>
      <c r="AM516" s="408"/>
      <c r="AN516" s="408">
        <v>-8.5811592504886569</v>
      </c>
      <c r="AO516" s="408">
        <v>0</v>
      </c>
      <c r="AP516" s="408">
        <v>0</v>
      </c>
      <c r="AQ516" s="408">
        <v>0</v>
      </c>
      <c r="AR516" s="408">
        <v>0</v>
      </c>
      <c r="AS516" s="408">
        <v>0</v>
      </c>
      <c r="AT516" s="408">
        <v>0</v>
      </c>
      <c r="AU516" s="408">
        <v>0</v>
      </c>
      <c r="AV516" s="408">
        <v>0</v>
      </c>
      <c r="AW516" s="408">
        <v>0</v>
      </c>
      <c r="AX516" s="408">
        <v>0</v>
      </c>
      <c r="AY516" s="408">
        <v>0</v>
      </c>
      <c r="AZ516" s="408">
        <v>0</v>
      </c>
      <c r="BA516" s="408"/>
      <c r="BB516" s="408">
        <v>0</v>
      </c>
      <c r="BC516" s="408">
        <v>0</v>
      </c>
      <c r="BD516" s="408">
        <v>0</v>
      </c>
      <c r="BE516" s="408">
        <v>0</v>
      </c>
      <c r="BF516" s="408">
        <v>0</v>
      </c>
      <c r="BG516" s="408">
        <v>-127.41653603526275</v>
      </c>
      <c r="BH516" s="408">
        <v>0</v>
      </c>
      <c r="BI516" s="408">
        <v>0</v>
      </c>
      <c r="BJ516" s="408">
        <v>0</v>
      </c>
      <c r="BK516" s="408">
        <v>-615.01</v>
      </c>
      <c r="BL516" s="408">
        <v>0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>
        <v>-1051.0563105358865</v>
      </c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>
        <v>-2481.3702000000003</v>
      </c>
      <c r="CJ516" s="408">
        <v>1148.5939199999989</v>
      </c>
      <c r="CK516" s="408"/>
      <c r="CL516" s="408"/>
      <c r="CM516" s="408"/>
      <c r="CN516" s="408"/>
      <c r="CO516" s="408">
        <v>1147.2679799999999</v>
      </c>
      <c r="CP516" s="408">
        <v>0</v>
      </c>
      <c r="CQ516" s="408">
        <v>31</v>
      </c>
      <c r="CR516" s="408">
        <v>8.9067051576951144</v>
      </c>
      <c r="CS516" s="408">
        <v>0</v>
      </c>
      <c r="CT516" s="408">
        <v>0</v>
      </c>
      <c r="CU516" s="408">
        <v>0</v>
      </c>
      <c r="CV516" s="408">
        <v>0</v>
      </c>
      <c r="CW516" s="408">
        <v>0</v>
      </c>
      <c r="CX516" s="408">
        <v>0</v>
      </c>
      <c r="CY516" s="408">
        <v>0</v>
      </c>
      <c r="CZ516" s="408">
        <v>1.1623175488373931</v>
      </c>
      <c r="DA516" s="408">
        <v>0</v>
      </c>
      <c r="DB516" s="408">
        <v>0</v>
      </c>
      <c r="DC516" s="408">
        <v>1.2948839867021888E-7</v>
      </c>
      <c r="DD516" s="408">
        <v>0</v>
      </c>
      <c r="DE516" s="408">
        <v>0</v>
      </c>
      <c r="DF516" s="408">
        <v>0</v>
      </c>
      <c r="DG516" s="408">
        <v>1.7862873846752336E-8</v>
      </c>
      <c r="DH516" s="408">
        <v>0</v>
      </c>
      <c r="DI516" s="408">
        <v>6.5861426765417264</v>
      </c>
      <c r="DJ516" s="408"/>
      <c r="DK516" s="408">
        <v>0</v>
      </c>
      <c r="DL516" s="408">
        <v>0</v>
      </c>
      <c r="DM516" s="408">
        <v>0</v>
      </c>
      <c r="DN516" s="408">
        <v>0</v>
      </c>
      <c r="DO516" s="408">
        <v>0.87958774026562025</v>
      </c>
      <c r="DP516" s="408">
        <v>0.27865704469942187</v>
      </c>
      <c r="DQ516" s="408">
        <v>0</v>
      </c>
      <c r="DR516" s="408">
        <v>0</v>
      </c>
      <c r="DS516" s="408"/>
      <c r="DT516" s="408"/>
      <c r="DU516" s="408"/>
      <c r="DV516" s="408">
        <v>-1856.5892139360233</v>
      </c>
      <c r="DW516" s="408">
        <v>0</v>
      </c>
      <c r="DX516" s="408">
        <v>0</v>
      </c>
      <c r="DY516" s="408">
        <v>1147.2679799999999</v>
      </c>
      <c r="DZ516" s="408">
        <v>0</v>
      </c>
      <c r="EA516" s="408">
        <v>0</v>
      </c>
      <c r="EB516" s="408">
        <v>0</v>
      </c>
      <c r="EC516" s="408">
        <v>1138.3586197388693</v>
      </c>
      <c r="ED516" s="408">
        <v>0</v>
      </c>
      <c r="EE516" s="408">
        <v>0</v>
      </c>
      <c r="EF516" s="408">
        <v>0</v>
      </c>
      <c r="EG516" s="408">
        <v>0</v>
      </c>
      <c r="EH516" s="408">
        <v>0</v>
      </c>
      <c r="EI516" s="408">
        <v>0</v>
      </c>
      <c r="EJ516" s="408">
        <v>0</v>
      </c>
      <c r="EK516" s="408">
        <v>0</v>
      </c>
      <c r="EL516" s="408">
        <v>0</v>
      </c>
      <c r="EM516" s="408">
        <v>0</v>
      </c>
      <c r="EN516" s="408">
        <v>0</v>
      </c>
      <c r="EO516" s="408">
        <v>0</v>
      </c>
      <c r="EP516" s="408">
        <v>0</v>
      </c>
      <c r="EQ516" s="408">
        <v>0</v>
      </c>
      <c r="ER516" s="408">
        <v>0</v>
      </c>
      <c r="ES516" s="408">
        <v>0</v>
      </c>
      <c r="ET516" s="408">
        <v>0</v>
      </c>
      <c r="EU516" s="408">
        <v>0</v>
      </c>
      <c r="EV516" s="408">
        <v>265</v>
      </c>
      <c r="EW516" s="408">
        <v>0</v>
      </c>
      <c r="EX516" s="408">
        <v>0</v>
      </c>
      <c r="EY516" s="408">
        <v>0</v>
      </c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523</v>
      </c>
      <c r="B517" s="408" t="s">
        <v>2230</v>
      </c>
      <c r="C517" s="408" t="s">
        <v>2227</v>
      </c>
      <c r="D517" s="408" t="s">
        <v>1952</v>
      </c>
      <c r="E517" s="408" t="s">
        <v>965</v>
      </c>
      <c r="F517" s="408" t="s">
        <v>1317</v>
      </c>
      <c r="G517" s="408" t="s">
        <v>1317</v>
      </c>
      <c r="H517" s="408" t="s">
        <v>1317</v>
      </c>
      <c r="I517" s="408" t="s">
        <v>1317</v>
      </c>
      <c r="J517" s="408" t="s">
        <v>2228</v>
      </c>
      <c r="K517" s="828">
        <v>44682</v>
      </c>
      <c r="L517" s="408">
        <v>0</v>
      </c>
      <c r="M517" s="408">
        <v>0</v>
      </c>
      <c r="N517" s="408">
        <v>5.0339999999999998</v>
      </c>
      <c r="O517" s="408">
        <v>5.0339999999999998</v>
      </c>
      <c r="P517" s="408">
        <v>5.0339999999999998</v>
      </c>
      <c r="Q517" s="408">
        <v>5.0339999999999998</v>
      </c>
      <c r="R517" s="408"/>
      <c r="S517" s="408">
        <v>739.04</v>
      </c>
      <c r="T517" s="408">
        <v>252.22</v>
      </c>
      <c r="U517" s="408"/>
      <c r="V517" s="408">
        <v>4990.0028399999992</v>
      </c>
      <c r="W517" s="408">
        <v>4990.0028399999992</v>
      </c>
      <c r="X517" s="408">
        <v>3412.9009799999999</v>
      </c>
      <c r="Y517" s="408">
        <v>0</v>
      </c>
      <c r="Z517" s="408">
        <v>311.36879044222627</v>
      </c>
      <c r="AA517" s="408">
        <v>0</v>
      </c>
      <c r="AB517" s="408">
        <v>0</v>
      </c>
      <c r="AC517" s="408">
        <v>0</v>
      </c>
      <c r="AD517" s="408">
        <v>621.68682223164694</v>
      </c>
      <c r="AE517" s="408">
        <v>2552.176434449465</v>
      </c>
      <c r="AF517" s="408">
        <v>1269.6894114790116</v>
      </c>
      <c r="AG517" s="408">
        <v>0</v>
      </c>
      <c r="AH517" s="408">
        <v>0</v>
      </c>
      <c r="AI517" s="408">
        <v>0</v>
      </c>
      <c r="AJ517" s="408">
        <v>0</v>
      </c>
      <c r="AK517" s="408">
        <v>0</v>
      </c>
      <c r="AL517" s="408">
        <v>48.130220912252327</v>
      </c>
      <c r="AM517" s="408"/>
      <c r="AN517" s="408">
        <v>11.796164846247926</v>
      </c>
      <c r="AO517" s="408">
        <v>0</v>
      </c>
      <c r="AP517" s="408">
        <v>0</v>
      </c>
      <c r="AQ517" s="408">
        <v>0</v>
      </c>
      <c r="AR517" s="408">
        <v>0</v>
      </c>
      <c r="AS517" s="408">
        <v>0</v>
      </c>
      <c r="AT517" s="408">
        <v>0</v>
      </c>
      <c r="AU517" s="408">
        <v>0</v>
      </c>
      <c r="AV517" s="408">
        <v>0</v>
      </c>
      <c r="AW517" s="408">
        <v>0</v>
      </c>
      <c r="AX517" s="408">
        <v>0</v>
      </c>
      <c r="AY517" s="408">
        <v>0</v>
      </c>
      <c r="AZ517" s="408">
        <v>0</v>
      </c>
      <c r="BA517" s="408"/>
      <c r="BB517" s="408">
        <v>0</v>
      </c>
      <c r="BC517" s="408">
        <v>0</v>
      </c>
      <c r="BD517" s="408">
        <v>0</v>
      </c>
      <c r="BE517" s="408">
        <v>0</v>
      </c>
      <c r="BF517" s="408">
        <v>0</v>
      </c>
      <c r="BG517" s="408">
        <v>175.15424423853432</v>
      </c>
      <c r="BH517" s="408">
        <v>0</v>
      </c>
      <c r="BI517" s="408">
        <v>0</v>
      </c>
      <c r="BJ517" s="408">
        <v>0</v>
      </c>
      <c r="BK517" s="408">
        <v>2277.64</v>
      </c>
      <c r="BL517" s="408">
        <v>11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>
        <v>1444.843655717546</v>
      </c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>
        <v>3410.1891000000001</v>
      </c>
      <c r="CJ517" s="408">
        <v>-1579.8437399999998</v>
      </c>
      <c r="CK517" s="408"/>
      <c r="CL517" s="408"/>
      <c r="CM517" s="408"/>
      <c r="CN517" s="408"/>
      <c r="CO517" s="408">
        <v>-1577.1018599999998</v>
      </c>
      <c r="CP517" s="408">
        <v>0</v>
      </c>
      <c r="CQ517" s="408">
        <v>31</v>
      </c>
      <c r="CR517" s="408">
        <v>-12.243679345669079</v>
      </c>
      <c r="CS517" s="408">
        <v>0</v>
      </c>
      <c r="CT517" s="408">
        <v>0</v>
      </c>
      <c r="CU517" s="408">
        <v>0</v>
      </c>
      <c r="CV517" s="408">
        <v>0</v>
      </c>
      <c r="CW517" s="408">
        <v>0</v>
      </c>
      <c r="CX517" s="408">
        <v>0</v>
      </c>
      <c r="CY517" s="408">
        <v>0</v>
      </c>
      <c r="CZ517" s="408">
        <v>-1.5977898800784942</v>
      </c>
      <c r="DA517" s="408">
        <v>0</v>
      </c>
      <c r="DB517" s="408">
        <v>0</v>
      </c>
      <c r="DC517" s="408">
        <v>-1.7800243767851498E-7</v>
      </c>
      <c r="DD517" s="408">
        <v>0</v>
      </c>
      <c r="DE517" s="408">
        <v>0</v>
      </c>
      <c r="DF517" s="408">
        <v>0</v>
      </c>
      <c r="DG517" s="408">
        <v>-2.4555362188038998E-8</v>
      </c>
      <c r="DH517" s="408">
        <v>0</v>
      </c>
      <c r="DI517" s="408">
        <v>-9.0536980430669018</v>
      </c>
      <c r="DJ517" s="408"/>
      <c r="DK517" s="408">
        <v>0</v>
      </c>
      <c r="DL517" s="408">
        <v>0</v>
      </c>
      <c r="DM517" s="408">
        <v>0</v>
      </c>
      <c r="DN517" s="408">
        <v>0</v>
      </c>
      <c r="DO517" s="408">
        <v>-1.2091329012826719</v>
      </c>
      <c r="DP517" s="408">
        <v>-0.38305831868293261</v>
      </c>
      <c r="DQ517" s="408">
        <v>0</v>
      </c>
      <c r="DR517" s="408">
        <v>0</v>
      </c>
      <c r="DS517" s="408"/>
      <c r="DT517" s="408"/>
      <c r="DU517" s="408"/>
      <c r="DV517" s="408">
        <v>2552.176434449465</v>
      </c>
      <c r="DW517" s="408">
        <v>0</v>
      </c>
      <c r="DX517" s="408">
        <v>0</v>
      </c>
      <c r="DY517" s="408">
        <v>-1577.1018599999998</v>
      </c>
      <c r="DZ517" s="408">
        <v>0</v>
      </c>
      <c r="EA517" s="408">
        <v>0</v>
      </c>
      <c r="EB517" s="408">
        <v>0</v>
      </c>
      <c r="EC517" s="408">
        <v>-1564.85453079341</v>
      </c>
      <c r="ED517" s="408">
        <v>0</v>
      </c>
      <c r="EE517" s="408">
        <v>0</v>
      </c>
      <c r="EF517" s="408">
        <v>0</v>
      </c>
      <c r="EG517" s="408">
        <v>0</v>
      </c>
      <c r="EH517" s="408">
        <v>0</v>
      </c>
      <c r="EI517" s="408">
        <v>0</v>
      </c>
      <c r="EJ517" s="408">
        <v>0</v>
      </c>
      <c r="EK517" s="408">
        <v>0</v>
      </c>
      <c r="EL517" s="408">
        <v>0</v>
      </c>
      <c r="EM517" s="408">
        <v>0</v>
      </c>
      <c r="EN517" s="408">
        <v>0</v>
      </c>
      <c r="EO517" s="408">
        <v>0</v>
      </c>
      <c r="EP517" s="408">
        <v>0</v>
      </c>
      <c r="EQ517" s="408">
        <v>0</v>
      </c>
      <c r="ER517" s="408">
        <v>0</v>
      </c>
      <c r="ES517" s="408">
        <v>0</v>
      </c>
      <c r="ET517" s="408">
        <v>0</v>
      </c>
      <c r="EU517" s="408">
        <v>0</v>
      </c>
      <c r="EV517" s="408">
        <v>265</v>
      </c>
      <c r="EW517" s="408">
        <v>0</v>
      </c>
      <c r="EX517" s="408">
        <v>0</v>
      </c>
      <c r="EY517" s="408">
        <v>0</v>
      </c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524</v>
      </c>
      <c r="B518" s="408" t="s">
        <v>1031</v>
      </c>
      <c r="C518" s="408" t="s">
        <v>2235</v>
      </c>
      <c r="D518" s="408" t="s">
        <v>596</v>
      </c>
      <c r="E518" s="408" t="s">
        <v>965</v>
      </c>
      <c r="F518" s="408" t="s">
        <v>1317</v>
      </c>
      <c r="G518" s="408" t="s">
        <v>1317</v>
      </c>
      <c r="H518" s="408" t="s">
        <v>1317</v>
      </c>
      <c r="I518" s="408" t="s">
        <v>968</v>
      </c>
      <c r="J518" s="408" t="s">
        <v>2228</v>
      </c>
      <c r="K518" s="828">
        <v>44682</v>
      </c>
      <c r="L518" s="408">
        <v>0</v>
      </c>
      <c r="M518" s="408">
        <v>0</v>
      </c>
      <c r="N518" s="408">
        <v>49.643000000000001</v>
      </c>
      <c r="O518" s="408">
        <v>49.643000000000001</v>
      </c>
      <c r="P518" s="408">
        <v>49.643000000000001</v>
      </c>
      <c r="Q518" s="408">
        <v>49.643000000000001</v>
      </c>
      <c r="R518" s="408"/>
      <c r="S518" s="408">
        <v>2641.06</v>
      </c>
      <c r="T518" s="408">
        <v>252.22</v>
      </c>
      <c r="U518" s="408"/>
      <c r="V518" s="408">
        <v>143631.09904</v>
      </c>
      <c r="W518" s="408">
        <v>143631.09904</v>
      </c>
      <c r="X518" s="408">
        <v>85253.909620000006</v>
      </c>
      <c r="Y518" s="408">
        <v>0</v>
      </c>
      <c r="Z518" s="408">
        <v>2671.4013412025015</v>
      </c>
      <c r="AA518" s="408">
        <v>0</v>
      </c>
      <c r="AB518" s="408">
        <v>0</v>
      </c>
      <c r="AC518" s="408">
        <v>0</v>
      </c>
      <c r="AD518" s="408">
        <v>32157.096711339342</v>
      </c>
      <c r="AE518" s="408">
        <v>94921.900783382007</v>
      </c>
      <c r="AF518" s="408">
        <v>12521.094845858675</v>
      </c>
      <c r="AG518" s="408">
        <v>0</v>
      </c>
      <c r="AH518" s="408">
        <v>0</v>
      </c>
      <c r="AI518" s="408">
        <v>0</v>
      </c>
      <c r="AJ518" s="408">
        <v>0</v>
      </c>
      <c r="AK518" s="408">
        <v>0</v>
      </c>
      <c r="AL518" s="408">
        <v>474.63817178127579</v>
      </c>
      <c r="AM518" s="408"/>
      <c r="AN518" s="408">
        <v>119.4363983908104</v>
      </c>
      <c r="AO518" s="408">
        <v>0</v>
      </c>
      <c r="AP518" s="408">
        <v>0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0</v>
      </c>
      <c r="BF518" s="408">
        <v>0</v>
      </c>
      <c r="BG518" s="408">
        <v>765.63610928759988</v>
      </c>
      <c r="BH518" s="408">
        <v>0</v>
      </c>
      <c r="BI518" s="408">
        <v>0</v>
      </c>
      <c r="BJ518" s="408">
        <v>0</v>
      </c>
      <c r="BK518" s="408">
        <v>0</v>
      </c>
      <c r="BL518" s="408">
        <v>0</v>
      </c>
      <c r="BM518" s="408"/>
      <c r="BN518" s="408"/>
      <c r="BO518" s="408"/>
      <c r="BP518" s="408"/>
      <c r="BQ518" s="408"/>
      <c r="BR518" s="408"/>
      <c r="BS518" s="408"/>
      <c r="BT518" s="408"/>
      <c r="BU518" s="408"/>
      <c r="BV518" s="408">
        <v>13286.730955146275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85248.757599999997</v>
      </c>
      <c r="CJ518" s="408">
        <v>-58382.371440000032</v>
      </c>
      <c r="CK518" s="408"/>
      <c r="CL518" s="408"/>
      <c r="CM518" s="408"/>
      <c r="CN518" s="408"/>
      <c r="CO518" s="408">
        <v>-58377.189420000002</v>
      </c>
      <c r="CP518" s="408">
        <v>0</v>
      </c>
      <c r="CQ518" s="408">
        <v>31</v>
      </c>
      <c r="CR518" s="408">
        <v>-176.12553410891996</v>
      </c>
      <c r="CS518" s="408">
        <v>0</v>
      </c>
      <c r="CT518" s="408">
        <v>0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-82.64657036432618</v>
      </c>
      <c r="DA518" s="408">
        <v>0</v>
      </c>
      <c r="DB518" s="408">
        <v>0</v>
      </c>
      <c r="DC518" s="408">
        <v>-1.7553757061250508E-6</v>
      </c>
      <c r="DD518" s="408">
        <v>0</v>
      </c>
      <c r="DE518" s="408">
        <v>0</v>
      </c>
      <c r="DF518" s="408">
        <v>0</v>
      </c>
      <c r="DG518" s="408">
        <v>-1.0733799626905238E-7</v>
      </c>
      <c r="DH518" s="408">
        <v>0</v>
      </c>
      <c r="DI518" s="408">
        <v>-77.676574652009094</v>
      </c>
      <c r="DJ518" s="408"/>
      <c r="DK518" s="408">
        <v>0</v>
      </c>
      <c r="DL518" s="408">
        <v>0</v>
      </c>
      <c r="DM518" s="408">
        <v>0</v>
      </c>
      <c r="DN518" s="408">
        <v>0</v>
      </c>
      <c r="DO518" s="408">
        <v>-11.923914306391623</v>
      </c>
      <c r="DP518" s="408">
        <v>-3.878472923484523</v>
      </c>
      <c r="DQ518" s="408">
        <v>0</v>
      </c>
      <c r="DR518" s="408">
        <v>0</v>
      </c>
      <c r="DS518" s="408"/>
      <c r="DT518" s="408"/>
      <c r="DU518" s="408"/>
      <c r="DV518" s="408">
        <v>94921.900783382007</v>
      </c>
      <c r="DW518" s="408">
        <v>0</v>
      </c>
      <c r="DX518" s="408">
        <v>0</v>
      </c>
      <c r="DY518" s="408">
        <v>-58377.189419999995</v>
      </c>
      <c r="DZ518" s="408">
        <v>0</v>
      </c>
      <c r="EA518" s="408">
        <v>0</v>
      </c>
      <c r="EB518" s="408">
        <v>0</v>
      </c>
      <c r="EC518" s="408">
        <v>-58200.900418720252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0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265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525</v>
      </c>
      <c r="B519" s="408" t="s">
        <v>2229</v>
      </c>
      <c r="C519" s="408" t="s">
        <v>2235</v>
      </c>
      <c r="D519" s="408" t="s">
        <v>596</v>
      </c>
      <c r="E519" s="408" t="s">
        <v>965</v>
      </c>
      <c r="F519" s="408" t="s">
        <v>1317</v>
      </c>
      <c r="G519" s="408" t="s">
        <v>1317</v>
      </c>
      <c r="H519" s="408" t="s">
        <v>1317</v>
      </c>
      <c r="I519" s="408" t="s">
        <v>968</v>
      </c>
      <c r="J519" s="408" t="s">
        <v>2228</v>
      </c>
      <c r="K519" s="828">
        <v>44682</v>
      </c>
      <c r="L519" s="408">
        <v>0</v>
      </c>
      <c r="M519" s="408">
        <v>0</v>
      </c>
      <c r="N519" s="408">
        <v>-4.9020000000000001</v>
      </c>
      <c r="O519" s="408">
        <v>-4.9020000000000001</v>
      </c>
      <c r="P519" s="408">
        <v>-4.9020000000000001</v>
      </c>
      <c r="Q519" s="408">
        <v>-4.9020000000000001</v>
      </c>
      <c r="R519" s="408"/>
      <c r="S519" s="408">
        <v>2641.06</v>
      </c>
      <c r="T519" s="408">
        <v>252.22</v>
      </c>
      <c r="U519" s="408"/>
      <c r="V519" s="408">
        <v>-14182.858559999999</v>
      </c>
      <c r="W519" s="408">
        <v>-14182.858559999999</v>
      </c>
      <c r="X519" s="408">
        <v>-8418.4006799999988</v>
      </c>
      <c r="Y519" s="408">
        <v>0</v>
      </c>
      <c r="Z519" s="408">
        <v>-263.7876311781049</v>
      </c>
      <c r="AA519" s="408">
        <v>0</v>
      </c>
      <c r="AB519" s="408">
        <v>0</v>
      </c>
      <c r="AC519" s="408">
        <v>0</v>
      </c>
      <c r="AD519" s="408">
        <v>-3175.3537876233399</v>
      </c>
      <c r="AE519" s="408">
        <v>-9373.0668501125765</v>
      </c>
      <c r="AF519" s="408">
        <v>-1236.3960061720531</v>
      </c>
      <c r="AG519" s="408">
        <v>0</v>
      </c>
      <c r="AH519" s="408">
        <v>0</v>
      </c>
      <c r="AI519" s="408">
        <v>0</v>
      </c>
      <c r="AJ519" s="408">
        <v>0</v>
      </c>
      <c r="AK519" s="408">
        <v>0</v>
      </c>
      <c r="AL519" s="408">
        <v>-46.868165059964426</v>
      </c>
      <c r="AM519" s="408"/>
      <c r="AN519" s="408">
        <v>-11.793751886706133</v>
      </c>
      <c r="AO519" s="408">
        <v>0</v>
      </c>
      <c r="AP519" s="408">
        <v>0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0</v>
      </c>
      <c r="BF519" s="408">
        <v>0</v>
      </c>
      <c r="BG519" s="408">
        <v>-75.602767917487157</v>
      </c>
      <c r="BH519" s="408">
        <v>0</v>
      </c>
      <c r="BI519" s="408">
        <v>0</v>
      </c>
      <c r="BJ519" s="408">
        <v>0</v>
      </c>
      <c r="BK519" s="408">
        <v>0</v>
      </c>
      <c r="BL519" s="408">
        <v>0</v>
      </c>
      <c r="BM519" s="408"/>
      <c r="BN519" s="408"/>
      <c r="BO519" s="408"/>
      <c r="BP519" s="408"/>
      <c r="BQ519" s="408"/>
      <c r="BR519" s="408"/>
      <c r="BS519" s="408"/>
      <c r="BT519" s="408"/>
      <c r="BU519" s="408"/>
      <c r="BV519" s="408">
        <v>-1311.9987740895403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-8414.9660000000003</v>
      </c>
      <c r="CJ519" s="408">
        <v>5767.8625599999978</v>
      </c>
      <c r="CK519" s="408"/>
      <c r="CL519" s="408"/>
      <c r="CM519" s="408"/>
      <c r="CN519" s="408"/>
      <c r="CO519" s="408">
        <v>5764.4578800000008</v>
      </c>
      <c r="CP519" s="408">
        <v>0</v>
      </c>
      <c r="CQ519" s="408">
        <v>31</v>
      </c>
      <c r="CR519" s="408">
        <v>17.391522837097909</v>
      </c>
      <c r="CS519" s="408">
        <v>0</v>
      </c>
      <c r="CT519" s="408">
        <v>0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8.1609388619935999</v>
      </c>
      <c r="DA519" s="408">
        <v>0</v>
      </c>
      <c r="DB519" s="408">
        <v>0</v>
      </c>
      <c r="DC519" s="408">
        <v>1.7333491086901631E-7</v>
      </c>
      <c r="DD519" s="408">
        <v>0</v>
      </c>
      <c r="DE519" s="408">
        <v>0</v>
      </c>
      <c r="DF519" s="408">
        <v>0</v>
      </c>
      <c r="DG519" s="408">
        <v>1.0599094935059838E-8</v>
      </c>
      <c r="DH519" s="408">
        <v>0</v>
      </c>
      <c r="DI519" s="408">
        <v>7.6701764386549485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1.1774273901644108</v>
      </c>
      <c r="DP519" s="408">
        <v>0.38297996234959797</v>
      </c>
      <c r="DQ519" s="408">
        <v>0</v>
      </c>
      <c r="DR519" s="408">
        <v>0</v>
      </c>
      <c r="DS519" s="408"/>
      <c r="DT519" s="408"/>
      <c r="DU519" s="408"/>
      <c r="DV519" s="408">
        <v>-9373.0668501125765</v>
      </c>
      <c r="DW519" s="408">
        <v>0</v>
      </c>
      <c r="DX519" s="408">
        <v>0</v>
      </c>
      <c r="DY519" s="408">
        <v>5764.4578799999999</v>
      </c>
      <c r="DZ519" s="408">
        <v>0</v>
      </c>
      <c r="EA519" s="408">
        <v>0</v>
      </c>
      <c r="EB519" s="408">
        <v>0</v>
      </c>
      <c r="EC519" s="408">
        <v>5747.0502155906515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265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526</v>
      </c>
      <c r="B520" s="408" t="s">
        <v>1031</v>
      </c>
      <c r="C520" s="408" t="s">
        <v>2235</v>
      </c>
      <c r="D520" s="408" t="s">
        <v>596</v>
      </c>
      <c r="E520" s="408" t="s">
        <v>965</v>
      </c>
      <c r="F520" s="408" t="s">
        <v>1317</v>
      </c>
      <c r="G520" s="408" t="s">
        <v>1317</v>
      </c>
      <c r="H520" s="408" t="s">
        <v>1317</v>
      </c>
      <c r="I520" s="408" t="s">
        <v>2236</v>
      </c>
      <c r="J520" s="408" t="s">
        <v>2228</v>
      </c>
      <c r="K520" s="828">
        <v>44682</v>
      </c>
      <c r="L520" s="408">
        <v>0</v>
      </c>
      <c r="M520" s="408">
        <v>0</v>
      </c>
      <c r="N520" s="408">
        <v>661.17499999999995</v>
      </c>
      <c r="O520" s="408">
        <v>661.17499999999995</v>
      </c>
      <c r="P520" s="408">
        <v>661.17499999999995</v>
      </c>
      <c r="Q520" s="408">
        <v>661.17499999999995</v>
      </c>
      <c r="R520" s="408"/>
      <c r="S520" s="408">
        <v>81.2</v>
      </c>
      <c r="T520" s="408">
        <v>252.22</v>
      </c>
      <c r="U520" s="408"/>
      <c r="V520" s="408">
        <v>220448.96849999999</v>
      </c>
      <c r="W520" s="408">
        <v>220448.96849999999</v>
      </c>
      <c r="X520" s="408">
        <v>219205.95949999997</v>
      </c>
      <c r="Y520" s="408">
        <v>0</v>
      </c>
      <c r="Z520" s="408">
        <v>35579.311922518056</v>
      </c>
      <c r="AA520" s="408">
        <v>0</v>
      </c>
      <c r="AB520" s="408">
        <v>0</v>
      </c>
      <c r="AC520" s="408">
        <v>0</v>
      </c>
      <c r="AD520" s="408">
        <v>0</v>
      </c>
      <c r="AE520" s="408">
        <v>0</v>
      </c>
      <c r="AF520" s="408">
        <v>166763.38828657835</v>
      </c>
      <c r="AG520" s="408">
        <v>0</v>
      </c>
      <c r="AH520" s="408">
        <v>0</v>
      </c>
      <c r="AI520" s="408">
        <v>0</v>
      </c>
      <c r="AJ520" s="408">
        <v>0</v>
      </c>
      <c r="AK520" s="408">
        <v>0</v>
      </c>
      <c r="AL520" s="408">
        <v>6321.513470730717</v>
      </c>
      <c r="AM520" s="408"/>
      <c r="AN520" s="408">
        <v>1590.7249905534327</v>
      </c>
      <c r="AO520" s="408">
        <v>0</v>
      </c>
      <c r="AP520" s="408">
        <v>0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0</v>
      </c>
      <c r="BF520" s="408">
        <v>0</v>
      </c>
      <c r="BG520" s="408">
        <v>10197.197078303665</v>
      </c>
      <c r="BH520" s="408">
        <v>0</v>
      </c>
      <c r="BI520" s="408">
        <v>0</v>
      </c>
      <c r="BJ520" s="408">
        <v>0</v>
      </c>
      <c r="BK520" s="408">
        <v>0</v>
      </c>
      <c r="BL520" s="408">
        <v>0</v>
      </c>
      <c r="BM520" s="408"/>
      <c r="BN520" s="408"/>
      <c r="BO520" s="408"/>
      <c r="BP520" s="408"/>
      <c r="BQ520" s="408"/>
      <c r="BR520" s="408"/>
      <c r="BS520" s="408"/>
      <c r="BT520" s="408"/>
      <c r="BU520" s="408"/>
      <c r="BV520" s="408">
        <v>176960.58536488202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219207.61719999998</v>
      </c>
      <c r="CJ520" s="408">
        <v>-1241.3813000000082</v>
      </c>
      <c r="CK520" s="408"/>
      <c r="CL520" s="408"/>
      <c r="CM520" s="408"/>
      <c r="CN520" s="408"/>
      <c r="CO520" s="408">
        <v>-1243.0090000000064</v>
      </c>
      <c r="CP520" s="408">
        <v>0</v>
      </c>
      <c r="CQ520" s="408">
        <v>31</v>
      </c>
      <c r="CR520" s="408">
        <v>-1245.0084373192221</v>
      </c>
      <c r="CS520" s="408">
        <v>0</v>
      </c>
      <c r="CT520" s="408">
        <v>0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0</v>
      </c>
      <c r="DA520" s="408">
        <v>0</v>
      </c>
      <c r="DB520" s="408">
        <v>0</v>
      </c>
      <c r="DC520" s="408">
        <v>-2.3379165213555098E-5</v>
      </c>
      <c r="DD520" s="408">
        <v>0</v>
      </c>
      <c r="DE520" s="408">
        <v>0</v>
      </c>
      <c r="DF520" s="408">
        <v>0</v>
      </c>
      <c r="DG520" s="408">
        <v>-1.4295928849605843E-6</v>
      </c>
      <c r="DH520" s="408">
        <v>0</v>
      </c>
      <c r="DI520" s="408">
        <v>-1034.5428206502838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-158.80978267889714</v>
      </c>
      <c r="DP520" s="408">
        <v>-51.655809181251698</v>
      </c>
      <c r="DQ520" s="408">
        <v>0</v>
      </c>
      <c r="DR520" s="408">
        <v>0</v>
      </c>
      <c r="DS520" s="408"/>
      <c r="DT520" s="408"/>
      <c r="DU520" s="408"/>
      <c r="DV520" s="408">
        <v>0</v>
      </c>
      <c r="DW520" s="408">
        <v>0</v>
      </c>
      <c r="DX520" s="408">
        <v>0</v>
      </c>
      <c r="DY520" s="408">
        <v>-1243.0090000000055</v>
      </c>
      <c r="DZ520" s="408">
        <v>0</v>
      </c>
      <c r="EA520" s="408">
        <v>0</v>
      </c>
      <c r="EB520" s="408">
        <v>0</v>
      </c>
      <c r="EC520" s="408">
        <v>0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265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527</v>
      </c>
      <c r="B521" s="408" t="s">
        <v>2229</v>
      </c>
      <c r="C521" s="408" t="s">
        <v>2235</v>
      </c>
      <c r="D521" s="408" t="s">
        <v>596</v>
      </c>
      <c r="E521" s="408" t="s">
        <v>965</v>
      </c>
      <c r="F521" s="408" t="s">
        <v>1317</v>
      </c>
      <c r="G521" s="408" t="s">
        <v>1317</v>
      </c>
      <c r="H521" s="408" t="s">
        <v>1317</v>
      </c>
      <c r="I521" s="408" t="s">
        <v>2236</v>
      </c>
      <c r="J521" s="408" t="s">
        <v>2228</v>
      </c>
      <c r="K521" s="828">
        <v>44682</v>
      </c>
      <c r="L521" s="408">
        <v>0</v>
      </c>
      <c r="M521" s="408">
        <v>0</v>
      </c>
      <c r="N521" s="408">
        <v>-65.236999999999995</v>
      </c>
      <c r="O521" s="408">
        <v>-65.236999999999995</v>
      </c>
      <c r="P521" s="408">
        <v>-65.236999999999995</v>
      </c>
      <c r="Q521" s="408">
        <v>-65.236999999999995</v>
      </c>
      <c r="R521" s="408"/>
      <c r="S521" s="408">
        <v>81.2</v>
      </c>
      <c r="T521" s="408">
        <v>252.22</v>
      </c>
      <c r="U521" s="408"/>
      <c r="V521" s="408">
        <v>-21751.320539999997</v>
      </c>
      <c r="W521" s="408">
        <v>-21751.320539999997</v>
      </c>
      <c r="X521" s="408">
        <v>-21628.674979999996</v>
      </c>
      <c r="Y521" s="408">
        <v>0</v>
      </c>
      <c r="Z521" s="408">
        <v>-3510.5495094177945</v>
      </c>
      <c r="AA521" s="408">
        <v>0</v>
      </c>
      <c r="AB521" s="408">
        <v>0</v>
      </c>
      <c r="AC521" s="408">
        <v>0</v>
      </c>
      <c r="AD521" s="408">
        <v>0</v>
      </c>
      <c r="AE521" s="408">
        <v>0</v>
      </c>
      <c r="AF521" s="408">
        <v>-16454.256681894374</v>
      </c>
      <c r="AG521" s="408">
        <v>0</v>
      </c>
      <c r="AH521" s="408">
        <v>0</v>
      </c>
      <c r="AI521" s="408">
        <v>0</v>
      </c>
      <c r="AJ521" s="408">
        <v>0</v>
      </c>
      <c r="AK521" s="408">
        <v>0</v>
      </c>
      <c r="AL521" s="408">
        <v>-623.73286087656038</v>
      </c>
      <c r="AM521" s="408"/>
      <c r="AN521" s="408">
        <v>-156.95409870115216</v>
      </c>
      <c r="AO521" s="408">
        <v>0</v>
      </c>
      <c r="AP521" s="408">
        <v>0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0</v>
      </c>
      <c r="BF521" s="408">
        <v>0</v>
      </c>
      <c r="BG521" s="408">
        <v>-1006.1398960899855</v>
      </c>
      <c r="BH521" s="408">
        <v>0</v>
      </c>
      <c r="BI521" s="408">
        <v>0</v>
      </c>
      <c r="BJ521" s="408">
        <v>0</v>
      </c>
      <c r="BK521" s="408">
        <v>0</v>
      </c>
      <c r="BL521" s="408">
        <v>0</v>
      </c>
      <c r="BM521" s="408"/>
      <c r="BN521" s="408"/>
      <c r="BO521" s="408"/>
      <c r="BP521" s="408"/>
      <c r="BQ521" s="408"/>
      <c r="BR521" s="408"/>
      <c r="BS521" s="408"/>
      <c r="BT521" s="408"/>
      <c r="BU521" s="408"/>
      <c r="BV521" s="408">
        <v>-17460.39657798436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-21629.669600000001</v>
      </c>
      <c r="CJ521" s="408">
        <v>121.62093999999706</v>
      </c>
      <c r="CK521" s="408"/>
      <c r="CL521" s="408"/>
      <c r="CM521" s="408"/>
      <c r="CN521" s="408"/>
      <c r="CO521" s="408">
        <v>122.64556000000061</v>
      </c>
      <c r="CP521" s="408">
        <v>0</v>
      </c>
      <c r="CQ521" s="408">
        <v>31</v>
      </c>
      <c r="CR521" s="408">
        <v>122.84284104116159</v>
      </c>
      <c r="CS521" s="408">
        <v>0</v>
      </c>
      <c r="CT521" s="408">
        <v>0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0</v>
      </c>
      <c r="DA521" s="408">
        <v>0</v>
      </c>
      <c r="DB521" s="408">
        <v>0</v>
      </c>
      <c r="DC521" s="408">
        <v>2.3067805159371346E-6</v>
      </c>
      <c r="DD521" s="408">
        <v>0</v>
      </c>
      <c r="DE521" s="408">
        <v>0</v>
      </c>
      <c r="DF521" s="408">
        <v>0</v>
      </c>
      <c r="DG521" s="408">
        <v>1.4105535228736699E-7</v>
      </c>
      <c r="DH521" s="408">
        <v>0</v>
      </c>
      <c r="DI521" s="408">
        <v>102.07656065453557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15.669488097134945</v>
      </c>
      <c r="DP521" s="408">
        <v>5.09678984165663</v>
      </c>
      <c r="DQ521" s="408">
        <v>0</v>
      </c>
      <c r="DR521" s="408">
        <v>0</v>
      </c>
      <c r="DS521" s="408"/>
      <c r="DT521" s="408"/>
      <c r="DU521" s="408"/>
      <c r="DV521" s="408">
        <v>0</v>
      </c>
      <c r="DW521" s="408">
        <v>0</v>
      </c>
      <c r="DX521" s="408">
        <v>0</v>
      </c>
      <c r="DY521" s="408">
        <v>122.64556000000084</v>
      </c>
      <c r="DZ521" s="408">
        <v>0</v>
      </c>
      <c r="EA521" s="408">
        <v>0</v>
      </c>
      <c r="EB521" s="408">
        <v>0</v>
      </c>
      <c r="EC521" s="408">
        <v>0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265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528</v>
      </c>
      <c r="B522" s="408" t="s">
        <v>1031</v>
      </c>
      <c r="C522" s="408" t="s">
        <v>2235</v>
      </c>
      <c r="D522" s="408" t="s">
        <v>596</v>
      </c>
      <c r="E522" s="408" t="s">
        <v>965</v>
      </c>
      <c r="F522" s="408" t="s">
        <v>1317</v>
      </c>
      <c r="G522" s="408" t="s">
        <v>1317</v>
      </c>
      <c r="H522" s="408" t="s">
        <v>1317</v>
      </c>
      <c r="I522" s="408" t="s">
        <v>1317</v>
      </c>
      <c r="J522" s="408" t="s">
        <v>2228</v>
      </c>
      <c r="K522" s="828">
        <v>44682</v>
      </c>
      <c r="L522" s="408">
        <v>3351</v>
      </c>
      <c r="M522" s="408">
        <v>3351</v>
      </c>
      <c r="N522" s="408">
        <v>0</v>
      </c>
      <c r="O522" s="408">
        <v>0</v>
      </c>
      <c r="P522" s="408">
        <v>0</v>
      </c>
      <c r="Q522" s="408">
        <v>0</v>
      </c>
      <c r="R522" s="408">
        <v>74.44</v>
      </c>
      <c r="S522" s="408"/>
      <c r="T522" s="408"/>
      <c r="U522" s="408">
        <v>249448.44</v>
      </c>
      <c r="V522" s="408"/>
      <c r="W522" s="408">
        <v>249448.44</v>
      </c>
      <c r="X522" s="408">
        <v>152202.42000000001</v>
      </c>
      <c r="Y522" s="408">
        <v>0</v>
      </c>
      <c r="Z522" s="408">
        <v>0</v>
      </c>
      <c r="AA522" s="408">
        <v>0</v>
      </c>
      <c r="AB522" s="408">
        <v>0</v>
      </c>
      <c r="AC522" s="408">
        <v>0</v>
      </c>
      <c r="AD522" s="408">
        <v>91204.47706954398</v>
      </c>
      <c r="AE522" s="408">
        <v>158239.37361743115</v>
      </c>
      <c r="AF522" s="408"/>
      <c r="AG522" s="408"/>
      <c r="AH522" s="408"/>
      <c r="AI522" s="408">
        <v>0</v>
      </c>
      <c r="AJ522" s="408">
        <v>0</v>
      </c>
      <c r="AK522" s="408">
        <v>0</v>
      </c>
      <c r="AL522" s="408">
        <v>0</v>
      </c>
      <c r="AM522" s="408"/>
      <c r="AN522" s="408">
        <v>0</v>
      </c>
      <c r="AO522" s="408">
        <v>0</v>
      </c>
      <c r="AP522" s="408">
        <v>0</v>
      </c>
      <c r="AQ522" s="408">
        <v>0</v>
      </c>
      <c r="AR522" s="408">
        <v>0</v>
      </c>
      <c r="AS522" s="408"/>
      <c r="AT522" s="408"/>
      <c r="AU522" s="408">
        <v>0</v>
      </c>
      <c r="AV522" s="408">
        <v>0</v>
      </c>
      <c r="AW522" s="408">
        <v>0</v>
      </c>
      <c r="AX522" s="408"/>
      <c r="AY522" s="408"/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0</v>
      </c>
      <c r="BF522" s="408"/>
      <c r="BG522" s="408">
        <v>0</v>
      </c>
      <c r="BH522" s="408">
        <v>0</v>
      </c>
      <c r="BI522" s="408">
        <v>0</v>
      </c>
      <c r="BJ522" s="408">
        <v>0</v>
      </c>
      <c r="BK522" s="408">
        <v>103515.13</v>
      </c>
      <c r="BL522" s="408">
        <v>12</v>
      </c>
      <c r="BM522" s="408"/>
      <c r="BN522" s="408"/>
      <c r="BO522" s="408"/>
      <c r="BP522" s="408"/>
      <c r="BQ522" s="408"/>
      <c r="BR522" s="408"/>
      <c r="BS522" s="408"/>
      <c r="BT522" s="408"/>
      <c r="BU522" s="408"/>
      <c r="BV522" s="408">
        <v>0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152202.42000000001</v>
      </c>
      <c r="CJ522" s="408">
        <v>-97246.050000000017</v>
      </c>
      <c r="CK522" s="408"/>
      <c r="CL522" s="408"/>
      <c r="CM522" s="408"/>
      <c r="CN522" s="408"/>
      <c r="CO522" s="408">
        <v>-97246.01999999999</v>
      </c>
      <c r="CP522" s="408">
        <v>0</v>
      </c>
      <c r="CQ522" s="408">
        <v>31</v>
      </c>
      <c r="CR522" s="408">
        <v>-234.40353771147784</v>
      </c>
      <c r="CS522" s="408">
        <v>0</v>
      </c>
      <c r="CT522" s="408">
        <v>0</v>
      </c>
      <c r="CU522" s="408">
        <v>0</v>
      </c>
      <c r="CV522" s="408">
        <v>0</v>
      </c>
      <c r="CW522" s="408"/>
      <c r="CX522" s="408"/>
      <c r="CY522" s="408"/>
      <c r="CZ522" s="408">
        <v>-234.40353771147784</v>
      </c>
      <c r="DA522" s="408">
        <v>0</v>
      </c>
      <c r="DB522" s="408">
        <v>0</v>
      </c>
      <c r="DC522" s="408"/>
      <c r="DD522" s="408"/>
      <c r="DE522" s="408">
        <v>0</v>
      </c>
      <c r="DF522" s="408">
        <v>0</v>
      </c>
      <c r="DG522" s="408">
        <v>0</v>
      </c>
      <c r="DH522" s="408">
        <v>0</v>
      </c>
      <c r="DI522" s="408">
        <v>0</v>
      </c>
      <c r="DJ522" s="408"/>
      <c r="DK522" s="408">
        <v>0</v>
      </c>
      <c r="DL522" s="408">
        <v>0</v>
      </c>
      <c r="DM522" s="408"/>
      <c r="DN522" s="408">
        <v>0</v>
      </c>
      <c r="DO522" s="408">
        <v>0</v>
      </c>
      <c r="DP522" s="408">
        <v>0</v>
      </c>
      <c r="DQ522" s="408">
        <v>0</v>
      </c>
      <c r="DR522" s="408">
        <v>0</v>
      </c>
      <c r="DS522" s="408"/>
      <c r="DT522" s="408"/>
      <c r="DU522" s="408">
        <v>158239.37361743115</v>
      </c>
      <c r="DV522" s="408"/>
      <c r="DW522" s="408">
        <v>0</v>
      </c>
      <c r="DX522" s="408">
        <v>0</v>
      </c>
      <c r="DY522" s="408">
        <v>-97246.01999999999</v>
      </c>
      <c r="DZ522" s="408"/>
      <c r="EA522" s="408">
        <v>0</v>
      </c>
      <c r="EB522" s="408"/>
      <c r="EC522" s="408">
        <v>-97023.700012559508</v>
      </c>
      <c r="ED522" s="408"/>
      <c r="EE522" s="408">
        <v>0</v>
      </c>
      <c r="EF522" s="408">
        <v>0</v>
      </c>
      <c r="EG522" s="408"/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/>
      <c r="EN522" s="408"/>
      <c r="EO522" s="408">
        <v>0</v>
      </c>
      <c r="EP522" s="408">
        <v>0</v>
      </c>
      <c r="EQ522" s="408"/>
      <c r="ER522" s="408">
        <v>0</v>
      </c>
      <c r="ES522" s="408"/>
      <c r="ET522" s="408">
        <v>0</v>
      </c>
      <c r="EU522" s="408"/>
      <c r="EV522" s="408">
        <v>265</v>
      </c>
      <c r="EW522" s="408"/>
      <c r="EX522" s="408"/>
      <c r="EY522" s="408"/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529</v>
      </c>
      <c r="B523" s="408" t="s">
        <v>2229</v>
      </c>
      <c r="C523" s="408" t="s">
        <v>2235</v>
      </c>
      <c r="D523" s="408" t="s">
        <v>596</v>
      </c>
      <c r="E523" s="408" t="s">
        <v>965</v>
      </c>
      <c r="F523" s="408" t="s">
        <v>1317</v>
      </c>
      <c r="G523" s="408" t="s">
        <v>1317</v>
      </c>
      <c r="H523" s="408" t="s">
        <v>1317</v>
      </c>
      <c r="I523" s="408" t="s">
        <v>1317</v>
      </c>
      <c r="J523" s="408" t="s">
        <v>2228</v>
      </c>
      <c r="K523" s="828">
        <v>44682</v>
      </c>
      <c r="L523" s="408">
        <v>0</v>
      </c>
      <c r="M523" s="408">
        <v>0</v>
      </c>
      <c r="N523" s="408">
        <v>0</v>
      </c>
      <c r="O523" s="408">
        <v>0</v>
      </c>
      <c r="P523" s="408">
        <v>0</v>
      </c>
      <c r="Q523" s="408">
        <v>0</v>
      </c>
      <c r="R523" s="408"/>
      <c r="S523" s="408"/>
      <c r="T523" s="408"/>
      <c r="U523" s="408"/>
      <c r="V523" s="408"/>
      <c r="W523" s="408"/>
      <c r="X523" s="408"/>
      <c r="Y523" s="408"/>
      <c r="Z523" s="408"/>
      <c r="AA523" s="408">
        <v>0</v>
      </c>
      <c r="AB523" s="408"/>
      <c r="AC523" s="408"/>
      <c r="AD523" s="408"/>
      <c r="AE523" s="408"/>
      <c r="AF523" s="408"/>
      <c r="AG523" s="408"/>
      <c r="AH523" s="408"/>
      <c r="AI523" s="408"/>
      <c r="AJ523" s="408"/>
      <c r="AK523" s="408"/>
      <c r="AL523" s="408"/>
      <c r="AM523" s="408"/>
      <c r="AN523" s="408"/>
      <c r="AO523" s="408"/>
      <c r="AP523" s="408"/>
      <c r="AQ523" s="408"/>
      <c r="AR523" s="408"/>
      <c r="AS523" s="408"/>
      <c r="AT523" s="408"/>
      <c r="AU523" s="408"/>
      <c r="AV523" s="408"/>
      <c r="AW523" s="408"/>
      <c r="AX523" s="408"/>
      <c r="AY523" s="408"/>
      <c r="AZ523" s="408">
        <v>0</v>
      </c>
      <c r="BA523" s="408"/>
      <c r="BB523" s="408"/>
      <c r="BC523" s="408"/>
      <c r="BD523" s="408"/>
      <c r="BE523" s="408"/>
      <c r="BF523" s="408"/>
      <c r="BG523" s="408"/>
      <c r="BH523" s="408"/>
      <c r="BI523" s="408">
        <v>0</v>
      </c>
      <c r="BJ523" s="408">
        <v>0</v>
      </c>
      <c r="BK523" s="408">
        <v>-7272.88</v>
      </c>
      <c r="BL523" s="408">
        <v>0</v>
      </c>
      <c r="BM523" s="408"/>
      <c r="BN523" s="408"/>
      <c r="BO523" s="408"/>
      <c r="BP523" s="408"/>
      <c r="BQ523" s="408"/>
      <c r="BR523" s="408"/>
      <c r="BS523" s="408"/>
      <c r="BT523" s="408"/>
      <c r="BU523" s="408"/>
      <c r="BV523" s="408"/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/>
      <c r="CJ523" s="408">
        <v>-0.03</v>
      </c>
      <c r="CK523" s="408"/>
      <c r="CL523" s="408"/>
      <c r="CM523" s="408"/>
      <c r="CN523" s="408"/>
      <c r="CO523" s="408">
        <v>0</v>
      </c>
      <c r="CP523" s="408">
        <v>0</v>
      </c>
      <c r="CQ523" s="408">
        <v>31</v>
      </c>
      <c r="CR523" s="408"/>
      <c r="CS523" s="408"/>
      <c r="CT523" s="408"/>
      <c r="CU523" s="408"/>
      <c r="CV523" s="408"/>
      <c r="CW523" s="408"/>
      <c r="CX523" s="408"/>
      <c r="CY523" s="408"/>
      <c r="CZ523" s="408"/>
      <c r="DA523" s="408"/>
      <c r="DB523" s="408"/>
      <c r="DC523" s="408"/>
      <c r="DD523" s="408"/>
      <c r="DE523" s="408"/>
      <c r="DF523" s="408"/>
      <c r="DG523" s="408"/>
      <c r="DH523" s="408"/>
      <c r="DI523" s="408"/>
      <c r="DJ523" s="408"/>
      <c r="DK523" s="408">
        <v>0</v>
      </c>
      <c r="DL523" s="408"/>
      <c r="DM523" s="408"/>
      <c r="DN523" s="408"/>
      <c r="DO523" s="408"/>
      <c r="DP523" s="408"/>
      <c r="DQ523" s="408"/>
      <c r="DR523" s="408"/>
      <c r="DS523" s="408"/>
      <c r="DT523" s="408"/>
      <c r="DU523" s="408"/>
      <c r="DV523" s="408"/>
      <c r="DW523" s="408"/>
      <c r="DX523" s="408"/>
      <c r="DY523" s="408"/>
      <c r="DZ523" s="408"/>
      <c r="EA523" s="408"/>
      <c r="EB523" s="408"/>
      <c r="EC523" s="408"/>
      <c r="ED523" s="408"/>
      <c r="EE523" s="408"/>
      <c r="EF523" s="408"/>
      <c r="EG523" s="408"/>
      <c r="EH523" s="408"/>
      <c r="EI523" s="408"/>
      <c r="EJ523" s="408"/>
      <c r="EK523" s="408"/>
      <c r="EL523" s="408"/>
      <c r="EM523" s="408"/>
      <c r="EN523" s="408"/>
      <c r="EO523" s="408"/>
      <c r="EP523" s="408"/>
      <c r="EQ523" s="408"/>
      <c r="ER523" s="408"/>
      <c r="ES523" s="408"/>
      <c r="ET523" s="408"/>
      <c r="EU523" s="408"/>
      <c r="EV523" s="408">
        <v>265</v>
      </c>
      <c r="EW523" s="408"/>
      <c r="EX523" s="408"/>
      <c r="EY523" s="408"/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530</v>
      </c>
      <c r="B524" s="408" t="s">
        <v>2230</v>
      </c>
      <c r="C524" s="408" t="s">
        <v>2235</v>
      </c>
      <c r="D524" s="408" t="s">
        <v>596</v>
      </c>
      <c r="E524" s="408" t="s">
        <v>965</v>
      </c>
      <c r="F524" s="408" t="s">
        <v>1317</v>
      </c>
      <c r="G524" s="408" t="s">
        <v>1317</v>
      </c>
      <c r="H524" s="408" t="s">
        <v>1317</v>
      </c>
      <c r="I524" s="408" t="s">
        <v>1317</v>
      </c>
      <c r="J524" s="408" t="s">
        <v>2228</v>
      </c>
      <c r="K524" s="828">
        <v>44682</v>
      </c>
      <c r="L524" s="408">
        <v>204</v>
      </c>
      <c r="M524" s="408">
        <v>204</v>
      </c>
      <c r="N524" s="408">
        <v>0</v>
      </c>
      <c r="O524" s="408">
        <v>0</v>
      </c>
      <c r="P524" s="408">
        <v>0</v>
      </c>
      <c r="Q524" s="408">
        <v>0</v>
      </c>
      <c r="R524" s="408">
        <v>74.44</v>
      </c>
      <c r="S524" s="408"/>
      <c r="T524" s="408"/>
      <c r="U524" s="408">
        <v>15185.76</v>
      </c>
      <c r="V524" s="408"/>
      <c r="W524" s="408">
        <v>15185.76</v>
      </c>
      <c r="X524" s="408">
        <v>9265.68</v>
      </c>
      <c r="Y524" s="408">
        <v>0</v>
      </c>
      <c r="Z524" s="408">
        <v>0</v>
      </c>
      <c r="AA524" s="408">
        <v>0</v>
      </c>
      <c r="AB524" s="408">
        <v>0</v>
      </c>
      <c r="AC524" s="408">
        <v>0</v>
      </c>
      <c r="AD524" s="408">
        <v>5552.286876212167</v>
      </c>
      <c r="AE524" s="408">
        <v>9633.1937385723522</v>
      </c>
      <c r="AF524" s="408"/>
      <c r="AG524" s="408"/>
      <c r="AH524" s="408"/>
      <c r="AI524" s="408">
        <v>0</v>
      </c>
      <c r="AJ524" s="408">
        <v>0</v>
      </c>
      <c r="AK524" s="408">
        <v>0</v>
      </c>
      <c r="AL524" s="408">
        <v>0</v>
      </c>
      <c r="AM524" s="408"/>
      <c r="AN524" s="408">
        <v>0</v>
      </c>
      <c r="AO524" s="408">
        <v>0</v>
      </c>
      <c r="AP524" s="408">
        <v>0</v>
      </c>
      <c r="AQ524" s="408">
        <v>0</v>
      </c>
      <c r="AR524" s="408">
        <v>0</v>
      </c>
      <c r="AS524" s="408"/>
      <c r="AT524" s="408"/>
      <c r="AU524" s="408">
        <v>0</v>
      </c>
      <c r="AV524" s="408">
        <v>0</v>
      </c>
      <c r="AW524" s="408">
        <v>0</v>
      </c>
      <c r="AX524" s="408"/>
      <c r="AY524" s="408"/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/>
      <c r="BG524" s="408">
        <v>0</v>
      </c>
      <c r="BH524" s="408">
        <v>0</v>
      </c>
      <c r="BI524" s="408">
        <v>0</v>
      </c>
      <c r="BJ524" s="408">
        <v>0</v>
      </c>
      <c r="BK524" s="408">
        <v>3188.46</v>
      </c>
      <c r="BL524" s="408">
        <v>1</v>
      </c>
      <c r="BM524" s="408"/>
      <c r="BN524" s="408"/>
      <c r="BO524" s="408"/>
      <c r="BP524" s="408"/>
      <c r="BQ524" s="408"/>
      <c r="BR524" s="408"/>
      <c r="BS524" s="408"/>
      <c r="BT524" s="408"/>
      <c r="BU524" s="408"/>
      <c r="BV524" s="408">
        <v>0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9265.68</v>
      </c>
      <c r="CJ524" s="408">
        <v>-5920.1100000000006</v>
      </c>
      <c r="CK524" s="408"/>
      <c r="CL524" s="408"/>
      <c r="CM524" s="408"/>
      <c r="CN524" s="408"/>
      <c r="CO524" s="408">
        <v>-5920.079999999999</v>
      </c>
      <c r="CP524" s="408">
        <v>0</v>
      </c>
      <c r="CQ524" s="408">
        <v>31</v>
      </c>
      <c r="CR524" s="408">
        <v>-14.269866216992341</v>
      </c>
      <c r="CS524" s="408">
        <v>0</v>
      </c>
      <c r="CT524" s="408">
        <v>0</v>
      </c>
      <c r="CU524" s="408">
        <v>0</v>
      </c>
      <c r="CV524" s="408">
        <v>0</v>
      </c>
      <c r="CW524" s="408"/>
      <c r="CX524" s="408"/>
      <c r="CY524" s="408"/>
      <c r="CZ524" s="408">
        <v>-14.269866216992341</v>
      </c>
      <c r="DA524" s="408">
        <v>0</v>
      </c>
      <c r="DB524" s="408">
        <v>0</v>
      </c>
      <c r="DC524" s="408"/>
      <c r="DD524" s="408"/>
      <c r="DE524" s="408">
        <v>0</v>
      </c>
      <c r="DF524" s="408">
        <v>0</v>
      </c>
      <c r="DG524" s="408">
        <v>0</v>
      </c>
      <c r="DH524" s="408">
        <v>0</v>
      </c>
      <c r="DI524" s="408">
        <v>0</v>
      </c>
      <c r="DJ524" s="408"/>
      <c r="DK524" s="408">
        <v>0</v>
      </c>
      <c r="DL524" s="408">
        <v>0</v>
      </c>
      <c r="DM524" s="408"/>
      <c r="DN524" s="408">
        <v>0</v>
      </c>
      <c r="DO524" s="408">
        <v>0</v>
      </c>
      <c r="DP524" s="408">
        <v>0</v>
      </c>
      <c r="DQ524" s="408">
        <v>0</v>
      </c>
      <c r="DR524" s="408">
        <v>0</v>
      </c>
      <c r="DS524" s="408"/>
      <c r="DT524" s="408"/>
      <c r="DU524" s="408">
        <v>9633.1937385723522</v>
      </c>
      <c r="DV524" s="408"/>
      <c r="DW524" s="408">
        <v>0</v>
      </c>
      <c r="DX524" s="408">
        <v>0</v>
      </c>
      <c r="DY524" s="408">
        <v>-5920.08</v>
      </c>
      <c r="DZ524" s="408"/>
      <c r="EA524" s="408">
        <v>0</v>
      </c>
      <c r="EB524" s="408"/>
      <c r="EC524" s="408">
        <v>-5906.5457483026375</v>
      </c>
      <c r="ED524" s="408"/>
      <c r="EE524" s="408">
        <v>0</v>
      </c>
      <c r="EF524" s="408">
        <v>0</v>
      </c>
      <c r="EG524" s="408"/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/>
      <c r="EN524" s="408"/>
      <c r="EO524" s="408">
        <v>0</v>
      </c>
      <c r="EP524" s="408">
        <v>0</v>
      </c>
      <c r="EQ524" s="408"/>
      <c r="ER524" s="408">
        <v>0</v>
      </c>
      <c r="ES524" s="408"/>
      <c r="ET524" s="408">
        <v>0</v>
      </c>
      <c r="EU524" s="408"/>
      <c r="EV524" s="408">
        <v>265</v>
      </c>
      <c r="EW524" s="408"/>
      <c r="EX524" s="408"/>
      <c r="EY524" s="408"/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531</v>
      </c>
      <c r="B525" s="408" t="s">
        <v>1031</v>
      </c>
      <c r="C525" s="408" t="s">
        <v>2227</v>
      </c>
      <c r="D525" s="408" t="s">
        <v>1952</v>
      </c>
      <c r="E525" s="408" t="s">
        <v>993</v>
      </c>
      <c r="F525" s="408" t="s">
        <v>1317</v>
      </c>
      <c r="G525" s="408" t="s">
        <v>1317</v>
      </c>
      <c r="H525" s="408" t="s">
        <v>1317</v>
      </c>
      <c r="I525" s="408" t="s">
        <v>1317</v>
      </c>
      <c r="J525" s="408" t="s">
        <v>2228</v>
      </c>
      <c r="K525" s="828">
        <v>44682</v>
      </c>
      <c r="L525" s="408">
        <v>0</v>
      </c>
      <c r="M525" s="408">
        <v>0</v>
      </c>
      <c r="N525" s="408">
        <v>400.81599999999997</v>
      </c>
      <c r="O525" s="408">
        <v>400.81599999999997</v>
      </c>
      <c r="P525" s="408">
        <v>400.81599999999997</v>
      </c>
      <c r="Q525" s="408">
        <v>400.81599999999997</v>
      </c>
      <c r="R525" s="408"/>
      <c r="S525" s="408">
        <v>739.04</v>
      </c>
      <c r="T525" s="408">
        <v>252.22</v>
      </c>
      <c r="U525" s="408"/>
      <c r="V525" s="408">
        <v>397312.86815999995</v>
      </c>
      <c r="W525" s="408">
        <v>397312.86815999995</v>
      </c>
      <c r="X525" s="408">
        <v>271741.22352</v>
      </c>
      <c r="Y525" s="408">
        <v>0</v>
      </c>
      <c r="Z525" s="408">
        <v>24791.734825167139</v>
      </c>
      <c r="AA525" s="408">
        <v>0</v>
      </c>
      <c r="AB525" s="408">
        <v>0</v>
      </c>
      <c r="AC525" s="408">
        <v>0</v>
      </c>
      <c r="AD525" s="408">
        <v>49499.806384505318</v>
      </c>
      <c r="AE525" s="408">
        <v>203208.81004177526</v>
      </c>
      <c r="AF525" s="408">
        <v>101094.92076904479</v>
      </c>
      <c r="AG525" s="408">
        <v>0</v>
      </c>
      <c r="AH525" s="408">
        <v>0</v>
      </c>
      <c r="AI525" s="408">
        <v>0</v>
      </c>
      <c r="AJ525" s="408">
        <v>0</v>
      </c>
      <c r="AK525" s="408">
        <v>0</v>
      </c>
      <c r="AL525" s="408">
        <v>3832.2134734138513</v>
      </c>
      <c r="AM525" s="408"/>
      <c r="AN525" s="408">
        <v>939.23154728122927</v>
      </c>
      <c r="AO525" s="408">
        <v>0</v>
      </c>
      <c r="AP525" s="408">
        <v>0</v>
      </c>
      <c r="AQ525" s="408">
        <v>0</v>
      </c>
      <c r="AR525" s="408">
        <v>0</v>
      </c>
      <c r="AS525" s="408">
        <v>0</v>
      </c>
      <c r="AT525" s="408">
        <v>0</v>
      </c>
      <c r="AU525" s="408">
        <v>0</v>
      </c>
      <c r="AV525" s="408">
        <v>0</v>
      </c>
      <c r="AW525" s="408">
        <v>0</v>
      </c>
      <c r="AX525" s="408">
        <v>0</v>
      </c>
      <c r="AY525" s="408">
        <v>0</v>
      </c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>
        <v>0</v>
      </c>
      <c r="BG525" s="408">
        <v>13946.091290963919</v>
      </c>
      <c r="BH525" s="408">
        <v>0</v>
      </c>
      <c r="BI525" s="408">
        <v>0</v>
      </c>
      <c r="BJ525" s="408">
        <v>0</v>
      </c>
      <c r="BK525" s="408">
        <v>92396.04</v>
      </c>
      <c r="BL525" s="408">
        <v>843</v>
      </c>
      <c r="BM525" s="408"/>
      <c r="BN525" s="408"/>
      <c r="BO525" s="408"/>
      <c r="BP525" s="408"/>
      <c r="BQ525" s="408"/>
      <c r="BR525" s="408"/>
      <c r="BS525" s="408"/>
      <c r="BT525" s="408"/>
      <c r="BU525" s="408"/>
      <c r="BV525" s="408">
        <v>115041.01206000871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271743.93539999996</v>
      </c>
      <c r="CJ525" s="408">
        <v>-125568.96276000002</v>
      </c>
      <c r="CK525" s="408"/>
      <c r="CL525" s="408"/>
      <c r="CM525" s="408"/>
      <c r="CN525" s="408"/>
      <c r="CO525" s="408">
        <v>-125571.64463999998</v>
      </c>
      <c r="CP525" s="408">
        <v>0</v>
      </c>
      <c r="CQ525" s="408">
        <v>31</v>
      </c>
      <c r="CR525" s="408">
        <v>-974.86344469874166</v>
      </c>
      <c r="CS525" s="408">
        <v>0</v>
      </c>
      <c r="CT525" s="408">
        <v>0</v>
      </c>
      <c r="CU525" s="408">
        <v>0</v>
      </c>
      <c r="CV525" s="408">
        <v>0</v>
      </c>
      <c r="CW525" s="408">
        <v>0</v>
      </c>
      <c r="CX525" s="408">
        <v>0</v>
      </c>
      <c r="CY525" s="408">
        <v>0</v>
      </c>
      <c r="CZ525" s="408">
        <v>-127.21886145680037</v>
      </c>
      <c r="DA525" s="408">
        <v>0</v>
      </c>
      <c r="DB525" s="408">
        <v>0</v>
      </c>
      <c r="DC525" s="408">
        <v>-1.4172866940498352E-5</v>
      </c>
      <c r="DD525" s="408">
        <v>0</v>
      </c>
      <c r="DE525" s="408">
        <v>0</v>
      </c>
      <c r="DF525" s="408">
        <v>0</v>
      </c>
      <c r="DG525" s="408">
        <v>-1.9551407604012638E-6</v>
      </c>
      <c r="DH525" s="408">
        <v>0</v>
      </c>
      <c r="DI525" s="408">
        <v>-720.87148089589027</v>
      </c>
      <c r="DJ525" s="408"/>
      <c r="DK525" s="408">
        <v>0</v>
      </c>
      <c r="DL525" s="408">
        <v>0</v>
      </c>
      <c r="DM525" s="408">
        <v>0</v>
      </c>
      <c r="DN525" s="408">
        <v>0</v>
      </c>
      <c r="DO525" s="408">
        <v>-96.273304124058996</v>
      </c>
      <c r="DP525" s="408">
        <v>-30.499782094004331</v>
      </c>
      <c r="DQ525" s="408">
        <v>0</v>
      </c>
      <c r="DR525" s="408">
        <v>0</v>
      </c>
      <c r="DS525" s="408"/>
      <c r="DT525" s="408"/>
      <c r="DU525" s="408"/>
      <c r="DV525" s="408">
        <v>203208.81004177526</v>
      </c>
      <c r="DW525" s="408">
        <v>0</v>
      </c>
      <c r="DX525" s="408">
        <v>0</v>
      </c>
      <c r="DY525" s="408">
        <v>-125571.64463999998</v>
      </c>
      <c r="DZ525" s="408">
        <v>0</v>
      </c>
      <c r="EA525" s="408">
        <v>0</v>
      </c>
      <c r="EB525" s="408">
        <v>0</v>
      </c>
      <c r="EC525" s="408">
        <v>-124596.4905869073</v>
      </c>
      <c r="ED525" s="408">
        <v>0</v>
      </c>
      <c r="EE525" s="408">
        <v>0</v>
      </c>
      <c r="EF525" s="408">
        <v>0</v>
      </c>
      <c r="EG525" s="408">
        <v>0</v>
      </c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>
        <v>0</v>
      </c>
      <c r="EN525" s="408">
        <v>0</v>
      </c>
      <c r="EO525" s="408">
        <v>0</v>
      </c>
      <c r="EP525" s="408">
        <v>0</v>
      </c>
      <c r="EQ525" s="408">
        <v>0</v>
      </c>
      <c r="ER525" s="408">
        <v>0</v>
      </c>
      <c r="ES525" s="408">
        <v>0</v>
      </c>
      <c r="ET525" s="408">
        <v>0</v>
      </c>
      <c r="EU525" s="408">
        <v>0</v>
      </c>
      <c r="EV525" s="408">
        <v>265</v>
      </c>
      <c r="EW525" s="408">
        <v>0</v>
      </c>
      <c r="EX525" s="408">
        <v>0</v>
      </c>
      <c r="EY525" s="408">
        <v>0</v>
      </c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532</v>
      </c>
      <c r="B526" s="408" t="s">
        <v>2230</v>
      </c>
      <c r="C526" s="408" t="s">
        <v>2227</v>
      </c>
      <c r="D526" s="408" t="s">
        <v>1952</v>
      </c>
      <c r="E526" s="408" t="s">
        <v>993</v>
      </c>
      <c r="F526" s="408" t="s">
        <v>1317</v>
      </c>
      <c r="G526" s="408" t="s">
        <v>1317</v>
      </c>
      <c r="H526" s="408" t="s">
        <v>1317</v>
      </c>
      <c r="I526" s="408" t="s">
        <v>1317</v>
      </c>
      <c r="J526" s="408" t="s">
        <v>2228</v>
      </c>
      <c r="K526" s="828">
        <v>44682</v>
      </c>
      <c r="L526" s="408">
        <v>0</v>
      </c>
      <c r="M526" s="408">
        <v>0</v>
      </c>
      <c r="N526" s="408">
        <v>85.409000000000006</v>
      </c>
      <c r="O526" s="408">
        <v>85.409000000000006</v>
      </c>
      <c r="P526" s="408">
        <v>85.409000000000006</v>
      </c>
      <c r="Q526" s="408">
        <v>85.409000000000006</v>
      </c>
      <c r="R526" s="408"/>
      <c r="S526" s="408">
        <v>739.04</v>
      </c>
      <c r="T526" s="408">
        <v>252.22</v>
      </c>
      <c r="U526" s="408"/>
      <c r="V526" s="408">
        <v>84662.525339999993</v>
      </c>
      <c r="W526" s="408">
        <v>84662.525339999993</v>
      </c>
      <c r="X526" s="408">
        <v>57904.739730000001</v>
      </c>
      <c r="Y526" s="408">
        <v>0</v>
      </c>
      <c r="Z526" s="408">
        <v>5282.8162540484918</v>
      </c>
      <c r="AA526" s="408">
        <v>0</v>
      </c>
      <c r="AB526" s="408">
        <v>0</v>
      </c>
      <c r="AC526" s="408">
        <v>0</v>
      </c>
      <c r="AD526" s="408">
        <v>10547.804886766535</v>
      </c>
      <c r="AE526" s="408">
        <v>43301.318452501859</v>
      </c>
      <c r="AF526" s="408">
        <v>21542.094347439594</v>
      </c>
      <c r="AG526" s="408">
        <v>0</v>
      </c>
      <c r="AH526" s="408">
        <v>0</v>
      </c>
      <c r="AI526" s="408">
        <v>0</v>
      </c>
      <c r="AJ526" s="408">
        <v>0</v>
      </c>
      <c r="AK526" s="408">
        <v>0</v>
      </c>
      <c r="AL526" s="408">
        <v>816.59794157619376</v>
      </c>
      <c r="AM526" s="408"/>
      <c r="AN526" s="408">
        <v>200.13878493309281</v>
      </c>
      <c r="AO526" s="408">
        <v>0</v>
      </c>
      <c r="AP526" s="408">
        <v>0</v>
      </c>
      <c r="AQ526" s="408">
        <v>0</v>
      </c>
      <c r="AR526" s="408">
        <v>0</v>
      </c>
      <c r="AS526" s="408">
        <v>0</v>
      </c>
      <c r="AT526" s="408">
        <v>0</v>
      </c>
      <c r="AU526" s="408">
        <v>0</v>
      </c>
      <c r="AV526" s="408">
        <v>0</v>
      </c>
      <c r="AW526" s="408">
        <v>0</v>
      </c>
      <c r="AX526" s="408">
        <v>0</v>
      </c>
      <c r="AY526" s="408">
        <v>0</v>
      </c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0</v>
      </c>
      <c r="BF526" s="408">
        <v>0</v>
      </c>
      <c r="BG526" s="408">
        <v>2971.7419241495791</v>
      </c>
      <c r="BH526" s="408">
        <v>0</v>
      </c>
      <c r="BI526" s="408">
        <v>0</v>
      </c>
      <c r="BJ526" s="408">
        <v>0</v>
      </c>
      <c r="BK526" s="408">
        <v>29199.17</v>
      </c>
      <c r="BL526" s="408">
        <v>122</v>
      </c>
      <c r="BM526" s="408"/>
      <c r="BN526" s="408"/>
      <c r="BO526" s="408"/>
      <c r="BP526" s="408"/>
      <c r="BQ526" s="408"/>
      <c r="BR526" s="408"/>
      <c r="BS526" s="408"/>
      <c r="BT526" s="408"/>
      <c r="BU526" s="408"/>
      <c r="BV526" s="408">
        <v>24513.836271589171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57905.417699999991</v>
      </c>
      <c r="CJ526" s="408">
        <v>-26757.137640000015</v>
      </c>
      <c r="CK526" s="408"/>
      <c r="CL526" s="408"/>
      <c r="CM526" s="408"/>
      <c r="CN526" s="408"/>
      <c r="CO526" s="408">
        <v>-26757.785609999999</v>
      </c>
      <c r="CP526" s="408">
        <v>0</v>
      </c>
      <c r="CQ526" s="408">
        <v>31</v>
      </c>
      <c r="CR526" s="408">
        <v>-207.73150759518467</v>
      </c>
      <c r="CS526" s="408">
        <v>0</v>
      </c>
      <c r="CT526" s="408">
        <v>0</v>
      </c>
      <c r="CU526" s="408">
        <v>0</v>
      </c>
      <c r="CV526" s="408">
        <v>0</v>
      </c>
      <c r="CW526" s="408">
        <v>0</v>
      </c>
      <c r="CX526" s="408">
        <v>0</v>
      </c>
      <c r="CY526" s="408">
        <v>0</v>
      </c>
      <c r="CZ526" s="408">
        <v>-27.108787419074361</v>
      </c>
      <c r="DA526" s="408">
        <v>0</v>
      </c>
      <c r="DB526" s="408">
        <v>0</v>
      </c>
      <c r="DC526" s="408">
        <v>-3.0200644687283784E-6</v>
      </c>
      <c r="DD526" s="408">
        <v>0</v>
      </c>
      <c r="DE526" s="408">
        <v>0</v>
      </c>
      <c r="DF526" s="408">
        <v>0</v>
      </c>
      <c r="DG526" s="408">
        <v>-4.1661724026198499E-7</v>
      </c>
      <c r="DH526" s="408">
        <v>0</v>
      </c>
      <c r="DI526" s="408">
        <v>-153.6089185856772</v>
      </c>
      <c r="DJ526" s="408"/>
      <c r="DK526" s="408">
        <v>0</v>
      </c>
      <c r="DL526" s="408">
        <v>0</v>
      </c>
      <c r="DM526" s="408">
        <v>0</v>
      </c>
      <c r="DN526" s="408">
        <v>0</v>
      </c>
      <c r="DO526" s="408">
        <v>-20.514666659843328</v>
      </c>
      <c r="DP526" s="408">
        <v>-6.4991314939194353</v>
      </c>
      <c r="DQ526" s="408">
        <v>0</v>
      </c>
      <c r="DR526" s="408">
        <v>0</v>
      </c>
      <c r="DS526" s="408"/>
      <c r="DT526" s="408"/>
      <c r="DU526" s="408"/>
      <c r="DV526" s="408">
        <v>43301.318452501859</v>
      </c>
      <c r="DW526" s="408">
        <v>0</v>
      </c>
      <c r="DX526" s="408">
        <v>0</v>
      </c>
      <c r="DY526" s="408">
        <v>-26757.785609999999</v>
      </c>
      <c r="DZ526" s="408">
        <v>0</v>
      </c>
      <c r="EA526" s="408">
        <v>0</v>
      </c>
      <c r="EB526" s="408">
        <v>0</v>
      </c>
      <c r="EC526" s="408">
        <v>-26549.992177301221</v>
      </c>
      <c r="ED526" s="408">
        <v>0</v>
      </c>
      <c r="EE526" s="408">
        <v>0</v>
      </c>
      <c r="EF526" s="408">
        <v>0</v>
      </c>
      <c r="EG526" s="408">
        <v>0</v>
      </c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>
        <v>0</v>
      </c>
      <c r="EN526" s="408">
        <v>0</v>
      </c>
      <c r="EO526" s="408">
        <v>0</v>
      </c>
      <c r="EP526" s="408">
        <v>0</v>
      </c>
      <c r="EQ526" s="408">
        <v>0</v>
      </c>
      <c r="ER526" s="408">
        <v>0</v>
      </c>
      <c r="ES526" s="408">
        <v>0</v>
      </c>
      <c r="ET526" s="408">
        <v>0</v>
      </c>
      <c r="EU526" s="408">
        <v>0</v>
      </c>
      <c r="EV526" s="408">
        <v>265</v>
      </c>
      <c r="EW526" s="408">
        <v>0</v>
      </c>
      <c r="EX526" s="408">
        <v>0</v>
      </c>
      <c r="EY526" s="408">
        <v>0</v>
      </c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533</v>
      </c>
      <c r="B527" s="408" t="s">
        <v>1031</v>
      </c>
      <c r="C527" s="408" t="s">
        <v>2235</v>
      </c>
      <c r="D527" s="408" t="s">
        <v>596</v>
      </c>
      <c r="E527" s="408" t="s">
        <v>993</v>
      </c>
      <c r="F527" s="408" t="s">
        <v>1317</v>
      </c>
      <c r="G527" s="408" t="s">
        <v>1317</v>
      </c>
      <c r="H527" s="408" t="s">
        <v>1317</v>
      </c>
      <c r="I527" s="408" t="s">
        <v>968</v>
      </c>
      <c r="J527" s="408" t="s">
        <v>2228</v>
      </c>
      <c r="K527" s="828">
        <v>44682</v>
      </c>
      <c r="L527" s="408">
        <v>0</v>
      </c>
      <c r="M527" s="408">
        <v>0</v>
      </c>
      <c r="N527" s="408">
        <v>37.75</v>
      </c>
      <c r="O527" s="408">
        <v>37.75</v>
      </c>
      <c r="P527" s="408">
        <v>37.75</v>
      </c>
      <c r="Q527" s="408">
        <v>37.75</v>
      </c>
      <c r="R527" s="408"/>
      <c r="S527" s="408">
        <v>2641.06</v>
      </c>
      <c r="T527" s="408">
        <v>252.22</v>
      </c>
      <c r="U527" s="408"/>
      <c r="V527" s="408">
        <v>109221.32</v>
      </c>
      <c r="W527" s="408">
        <v>109221.32</v>
      </c>
      <c r="X527" s="408">
        <v>64829.584999999999</v>
      </c>
      <c r="Y527" s="408">
        <v>0</v>
      </c>
      <c r="Z527" s="408">
        <v>2031.4122964042147</v>
      </c>
      <c r="AA527" s="408">
        <v>0</v>
      </c>
      <c r="AB527" s="408">
        <v>0</v>
      </c>
      <c r="AC527" s="408">
        <v>0</v>
      </c>
      <c r="AD527" s="408">
        <v>24453.203892856196</v>
      </c>
      <c r="AE527" s="408">
        <v>72181.410361434057</v>
      </c>
      <c r="AF527" s="408">
        <v>9521.4094722552018</v>
      </c>
      <c r="AG527" s="408">
        <v>0</v>
      </c>
      <c r="AH527" s="408">
        <v>0</v>
      </c>
      <c r="AI527" s="408">
        <v>0</v>
      </c>
      <c r="AJ527" s="408">
        <v>0</v>
      </c>
      <c r="AK527" s="408">
        <v>0</v>
      </c>
      <c r="AL527" s="408">
        <v>360.92885169597247</v>
      </c>
      <c r="AM527" s="408"/>
      <c r="AN527" s="408">
        <v>90.82295669587036</v>
      </c>
      <c r="AO527" s="408">
        <v>0</v>
      </c>
      <c r="AP527" s="408">
        <v>0</v>
      </c>
      <c r="AQ527" s="408">
        <v>0</v>
      </c>
      <c r="AR527" s="408">
        <v>0</v>
      </c>
      <c r="AS527" s="408">
        <v>0</v>
      </c>
      <c r="AT527" s="408">
        <v>0</v>
      </c>
      <c r="AU527" s="408">
        <v>0</v>
      </c>
      <c r="AV527" s="408">
        <v>0</v>
      </c>
      <c r="AW527" s="408">
        <v>0</v>
      </c>
      <c r="AX527" s="408">
        <v>0</v>
      </c>
      <c r="AY527" s="408">
        <v>0</v>
      </c>
      <c r="AZ527" s="408">
        <v>0</v>
      </c>
      <c r="BA527" s="408"/>
      <c r="BB527" s="408">
        <v>0</v>
      </c>
      <c r="BC527" s="408">
        <v>0</v>
      </c>
      <c r="BD527" s="408">
        <v>0</v>
      </c>
      <c r="BE527" s="408">
        <v>0</v>
      </c>
      <c r="BF527" s="408">
        <v>0</v>
      </c>
      <c r="BG527" s="408">
        <v>582.21225803450432</v>
      </c>
      <c r="BH527" s="408">
        <v>0</v>
      </c>
      <c r="BI527" s="408">
        <v>0</v>
      </c>
      <c r="BJ527" s="408">
        <v>0</v>
      </c>
      <c r="BK527" s="408">
        <v>0</v>
      </c>
      <c r="BL527" s="408">
        <v>0</v>
      </c>
      <c r="BM527" s="408"/>
      <c r="BN527" s="408"/>
      <c r="BO527" s="408"/>
      <c r="BP527" s="408"/>
      <c r="BQ527" s="408"/>
      <c r="BR527" s="408"/>
      <c r="BS527" s="408"/>
      <c r="BT527" s="408"/>
      <c r="BU527" s="408"/>
      <c r="BV527" s="408">
        <v>10103.621730289706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64829.584999999999</v>
      </c>
      <c r="CJ527" s="408">
        <v>-44391.764999999992</v>
      </c>
      <c r="CK527" s="408"/>
      <c r="CL527" s="408"/>
      <c r="CM527" s="408"/>
      <c r="CN527" s="408"/>
      <c r="CO527" s="408">
        <v>-44391.735000000001</v>
      </c>
      <c r="CP527" s="408">
        <v>0</v>
      </c>
      <c r="CQ527" s="408">
        <v>31</v>
      </c>
      <c r="CR527" s="408">
        <v>-133.93104592010786</v>
      </c>
      <c r="CS527" s="408">
        <v>0</v>
      </c>
      <c r="CT527" s="408">
        <v>0</v>
      </c>
      <c r="CU527" s="408">
        <v>0</v>
      </c>
      <c r="CV527" s="408">
        <v>0</v>
      </c>
      <c r="CW527" s="408">
        <v>0</v>
      </c>
      <c r="CX527" s="408">
        <v>0</v>
      </c>
      <c r="CY527" s="408">
        <v>0</v>
      </c>
      <c r="CZ527" s="408">
        <v>-62.846887401112326</v>
      </c>
      <c r="DA527" s="408">
        <v>0</v>
      </c>
      <c r="DB527" s="408">
        <v>0</v>
      </c>
      <c r="DC527" s="408">
        <v>-1.3348399079404771E-6</v>
      </c>
      <c r="DD527" s="408">
        <v>0</v>
      </c>
      <c r="DE527" s="408">
        <v>0</v>
      </c>
      <c r="DF527" s="408">
        <v>0</v>
      </c>
      <c r="DG527" s="408">
        <v>-8.1623056757962331E-8</v>
      </c>
      <c r="DH527" s="408">
        <v>0</v>
      </c>
      <c r="DI527" s="408">
        <v>-59.067556213632088</v>
      </c>
      <c r="DJ527" s="408"/>
      <c r="DK527" s="408">
        <v>0</v>
      </c>
      <c r="DL527" s="408">
        <v>0</v>
      </c>
      <c r="DM527" s="408">
        <v>0</v>
      </c>
      <c r="DN527" s="408">
        <v>0</v>
      </c>
      <c r="DO527" s="408">
        <v>-9.0672957932897589</v>
      </c>
      <c r="DP527" s="408">
        <v>-2.9493050956134965</v>
      </c>
      <c r="DQ527" s="408">
        <v>0</v>
      </c>
      <c r="DR527" s="408">
        <v>0</v>
      </c>
      <c r="DS527" s="408"/>
      <c r="DT527" s="408"/>
      <c r="DU527" s="408"/>
      <c r="DV527" s="408">
        <v>72181.410361434057</v>
      </c>
      <c r="DW527" s="408">
        <v>0</v>
      </c>
      <c r="DX527" s="408">
        <v>0</v>
      </c>
      <c r="DY527" s="408">
        <v>-44391.735000000001</v>
      </c>
      <c r="DZ527" s="408">
        <v>0</v>
      </c>
      <c r="EA527" s="408">
        <v>0</v>
      </c>
      <c r="EB527" s="408">
        <v>0</v>
      </c>
      <c r="EC527" s="408">
        <v>-44257.679648826415</v>
      </c>
      <c r="ED527" s="408">
        <v>0</v>
      </c>
      <c r="EE527" s="408">
        <v>0</v>
      </c>
      <c r="EF527" s="408">
        <v>0</v>
      </c>
      <c r="EG527" s="408">
        <v>0</v>
      </c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>
        <v>0</v>
      </c>
      <c r="EN527" s="408">
        <v>0</v>
      </c>
      <c r="EO527" s="408">
        <v>0</v>
      </c>
      <c r="EP527" s="408">
        <v>0</v>
      </c>
      <c r="EQ527" s="408">
        <v>0</v>
      </c>
      <c r="ER527" s="408">
        <v>0</v>
      </c>
      <c r="ES527" s="408">
        <v>0</v>
      </c>
      <c r="ET527" s="408">
        <v>0</v>
      </c>
      <c r="EU527" s="408">
        <v>0</v>
      </c>
      <c r="EV527" s="408">
        <v>265</v>
      </c>
      <c r="EW527" s="408">
        <v>0</v>
      </c>
      <c r="EX527" s="408">
        <v>0</v>
      </c>
      <c r="EY527" s="408">
        <v>0</v>
      </c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534</v>
      </c>
      <c r="B528" s="408" t="s">
        <v>2230</v>
      </c>
      <c r="C528" s="408" t="s">
        <v>2235</v>
      </c>
      <c r="D528" s="408" t="s">
        <v>596</v>
      </c>
      <c r="E528" s="408" t="s">
        <v>993</v>
      </c>
      <c r="F528" s="408" t="s">
        <v>1317</v>
      </c>
      <c r="G528" s="408" t="s">
        <v>1317</v>
      </c>
      <c r="H528" s="408" t="s">
        <v>1317</v>
      </c>
      <c r="I528" s="408" t="s">
        <v>968</v>
      </c>
      <c r="J528" s="408" t="s">
        <v>2228</v>
      </c>
      <c r="K528" s="828">
        <v>44682</v>
      </c>
      <c r="L528" s="408">
        <v>0</v>
      </c>
      <c r="M528" s="408">
        <v>0</v>
      </c>
      <c r="N528" s="408">
        <v>6.29</v>
      </c>
      <c r="O528" s="408">
        <v>6.29</v>
      </c>
      <c r="P528" s="408">
        <v>6.29</v>
      </c>
      <c r="Q528" s="408">
        <v>6.29</v>
      </c>
      <c r="R528" s="408"/>
      <c r="S528" s="408">
        <v>2641.06</v>
      </c>
      <c r="T528" s="408">
        <v>252.22</v>
      </c>
      <c r="U528" s="408"/>
      <c r="V528" s="408">
        <v>18198.731200000002</v>
      </c>
      <c r="W528" s="408">
        <v>18198.731200000002</v>
      </c>
      <c r="X528" s="408">
        <v>10802.068599999999</v>
      </c>
      <c r="Y528" s="408">
        <v>0</v>
      </c>
      <c r="Z528" s="408">
        <v>338.47902899026519</v>
      </c>
      <c r="AA528" s="408">
        <v>0</v>
      </c>
      <c r="AB528" s="408">
        <v>0</v>
      </c>
      <c r="AC528" s="408">
        <v>0</v>
      </c>
      <c r="AD528" s="408">
        <v>4074.4543704918005</v>
      </c>
      <c r="AE528" s="408">
        <v>12027.048243004509</v>
      </c>
      <c r="AF528" s="408">
        <v>1586.4812074300721</v>
      </c>
      <c r="AG528" s="408">
        <v>0</v>
      </c>
      <c r="AH528" s="408">
        <v>0</v>
      </c>
      <c r="AI528" s="408">
        <v>0</v>
      </c>
      <c r="AJ528" s="408">
        <v>0</v>
      </c>
      <c r="AK528" s="408">
        <v>0</v>
      </c>
      <c r="AL528" s="408">
        <v>60.138873567355411</v>
      </c>
      <c r="AM528" s="408"/>
      <c r="AN528" s="408">
        <v>15.133149605748995</v>
      </c>
      <c r="AO528" s="408">
        <v>0</v>
      </c>
      <c r="AP528" s="408">
        <v>0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0</v>
      </c>
      <c r="BF528" s="408">
        <v>0</v>
      </c>
      <c r="BG528" s="408">
        <v>97.009671603629982</v>
      </c>
      <c r="BH528" s="408">
        <v>0</v>
      </c>
      <c r="BI528" s="408">
        <v>0</v>
      </c>
      <c r="BJ528" s="408">
        <v>0</v>
      </c>
      <c r="BK528" s="408">
        <v>0</v>
      </c>
      <c r="BL528" s="408">
        <v>0</v>
      </c>
      <c r="BM528" s="408"/>
      <c r="BN528" s="408"/>
      <c r="BO528" s="408"/>
      <c r="BP528" s="408"/>
      <c r="BQ528" s="408"/>
      <c r="BR528" s="408"/>
      <c r="BS528" s="408"/>
      <c r="BT528" s="408"/>
      <c r="BU528" s="408"/>
      <c r="BV528" s="408">
        <v>1683.4908790337022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10802.068599999999</v>
      </c>
      <c r="CJ528" s="408">
        <v>-7396.6925999999985</v>
      </c>
      <c r="CK528" s="408"/>
      <c r="CL528" s="408"/>
      <c r="CM528" s="408"/>
      <c r="CN528" s="408"/>
      <c r="CO528" s="408">
        <v>-7396.6626000000006</v>
      </c>
      <c r="CP528" s="408">
        <v>0</v>
      </c>
      <c r="CQ528" s="408">
        <v>31</v>
      </c>
      <c r="CR528" s="408">
        <v>-22.315927916224609</v>
      </c>
      <c r="CS528" s="408">
        <v>0</v>
      </c>
      <c r="CT528" s="408">
        <v>0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-10.471706536503007</v>
      </c>
      <c r="DA528" s="408">
        <v>0</v>
      </c>
      <c r="DB528" s="408">
        <v>0</v>
      </c>
      <c r="DC528" s="408">
        <v>-2.2241442820813973E-7</v>
      </c>
      <c r="DD528" s="408">
        <v>0</v>
      </c>
      <c r="DE528" s="408">
        <v>0</v>
      </c>
      <c r="DF528" s="408">
        <v>0</v>
      </c>
      <c r="DG528" s="408">
        <v>-1.3600228498944489E-8</v>
      </c>
      <c r="DH528" s="408">
        <v>0</v>
      </c>
      <c r="DI528" s="408">
        <v>-9.8419848631456262</v>
      </c>
      <c r="DJ528" s="408"/>
      <c r="DK528" s="408">
        <v>0</v>
      </c>
      <c r="DL528" s="408">
        <v>0</v>
      </c>
      <c r="DM528" s="408">
        <v>0</v>
      </c>
      <c r="DN528" s="408">
        <v>0</v>
      </c>
      <c r="DO528" s="408">
        <v>-1.5108156434382138</v>
      </c>
      <c r="DP528" s="408">
        <v>-0.4914206371234151</v>
      </c>
      <c r="DQ528" s="408">
        <v>0</v>
      </c>
      <c r="DR528" s="408">
        <v>0</v>
      </c>
      <c r="DS528" s="408"/>
      <c r="DT528" s="408"/>
      <c r="DU528" s="408"/>
      <c r="DV528" s="408">
        <v>12027.048243004509</v>
      </c>
      <c r="DW528" s="408">
        <v>0</v>
      </c>
      <c r="DX528" s="408">
        <v>0</v>
      </c>
      <c r="DY528" s="408">
        <v>-7396.6626000000015</v>
      </c>
      <c r="DZ528" s="408">
        <v>0</v>
      </c>
      <c r="EA528" s="408">
        <v>0</v>
      </c>
      <c r="EB528" s="408">
        <v>0</v>
      </c>
      <c r="EC528" s="408">
        <v>-7374.3259600296196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0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265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535</v>
      </c>
      <c r="B529" s="408" t="s">
        <v>1031</v>
      </c>
      <c r="C529" s="408" t="s">
        <v>2235</v>
      </c>
      <c r="D529" s="408" t="s">
        <v>596</v>
      </c>
      <c r="E529" s="408" t="s">
        <v>993</v>
      </c>
      <c r="F529" s="408" t="s">
        <v>1317</v>
      </c>
      <c r="G529" s="408" t="s">
        <v>1317</v>
      </c>
      <c r="H529" s="408" t="s">
        <v>1317</v>
      </c>
      <c r="I529" s="408" t="s">
        <v>2236</v>
      </c>
      <c r="J529" s="408" t="s">
        <v>2228</v>
      </c>
      <c r="K529" s="828">
        <v>44682</v>
      </c>
      <c r="L529" s="408">
        <v>0</v>
      </c>
      <c r="M529" s="408">
        <v>0</v>
      </c>
      <c r="N529" s="408">
        <v>514.86</v>
      </c>
      <c r="O529" s="408">
        <v>514.86</v>
      </c>
      <c r="P529" s="408">
        <v>514.86</v>
      </c>
      <c r="Q529" s="408">
        <v>514.86</v>
      </c>
      <c r="R529" s="408"/>
      <c r="S529" s="408">
        <v>81.2</v>
      </c>
      <c r="T529" s="408">
        <v>252.22</v>
      </c>
      <c r="U529" s="408"/>
      <c r="V529" s="408">
        <v>171664.62119999999</v>
      </c>
      <c r="W529" s="408">
        <v>171664.62119999999</v>
      </c>
      <c r="X529" s="408">
        <v>170696.6844</v>
      </c>
      <c r="Y529" s="408">
        <v>0</v>
      </c>
      <c r="Z529" s="408">
        <v>27705.77311064037</v>
      </c>
      <c r="AA529" s="408">
        <v>0</v>
      </c>
      <c r="AB529" s="408">
        <v>0</v>
      </c>
      <c r="AC529" s="408">
        <v>0</v>
      </c>
      <c r="AD529" s="408">
        <v>0</v>
      </c>
      <c r="AE529" s="408">
        <v>0</v>
      </c>
      <c r="AF529" s="408">
        <v>129859.41406318711</v>
      </c>
      <c r="AG529" s="408">
        <v>0</v>
      </c>
      <c r="AH529" s="408">
        <v>0</v>
      </c>
      <c r="AI529" s="408">
        <v>0</v>
      </c>
      <c r="AJ529" s="408">
        <v>0</v>
      </c>
      <c r="AK529" s="408">
        <v>0</v>
      </c>
      <c r="AL529" s="408">
        <v>4922.5914856738646</v>
      </c>
      <c r="AM529" s="408"/>
      <c r="AN529" s="408">
        <v>1238.7048340247898</v>
      </c>
      <c r="AO529" s="408">
        <v>0</v>
      </c>
      <c r="AP529" s="408">
        <v>0</v>
      </c>
      <c r="AQ529" s="408">
        <v>0</v>
      </c>
      <c r="AR529" s="408">
        <v>0</v>
      </c>
      <c r="AS529" s="408">
        <v>0</v>
      </c>
      <c r="AT529" s="408">
        <v>0</v>
      </c>
      <c r="AU529" s="408">
        <v>0</v>
      </c>
      <c r="AV529" s="408">
        <v>0</v>
      </c>
      <c r="AW529" s="408">
        <v>0</v>
      </c>
      <c r="AX529" s="408">
        <v>0</v>
      </c>
      <c r="AY529" s="408">
        <v>0</v>
      </c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>
        <v>0</v>
      </c>
      <c r="BG529" s="408">
        <v>7940.6040575270172</v>
      </c>
      <c r="BH529" s="408">
        <v>0</v>
      </c>
      <c r="BI529" s="408">
        <v>0</v>
      </c>
      <c r="BJ529" s="408">
        <v>0</v>
      </c>
      <c r="BK529" s="408">
        <v>0</v>
      </c>
      <c r="BL529" s="408">
        <v>0</v>
      </c>
      <c r="BM529" s="408"/>
      <c r="BN529" s="408"/>
      <c r="BO529" s="408"/>
      <c r="BP529" s="408"/>
      <c r="BQ529" s="408"/>
      <c r="BR529" s="408"/>
      <c r="BS529" s="408"/>
      <c r="BT529" s="408"/>
      <c r="BU529" s="408"/>
      <c r="BV529" s="408">
        <v>137800.01812071414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170696.6844</v>
      </c>
      <c r="CJ529" s="408">
        <v>-967.9668000000238</v>
      </c>
      <c r="CK529" s="408"/>
      <c r="CL529" s="408"/>
      <c r="CM529" s="408"/>
      <c r="CN529" s="408"/>
      <c r="CO529" s="408">
        <v>-967.93680000000495</v>
      </c>
      <c r="CP529" s="408">
        <v>0</v>
      </c>
      <c r="CQ529" s="408">
        <v>31</v>
      </c>
      <c r="CR529" s="408">
        <v>-969.49377099581761</v>
      </c>
      <c r="CS529" s="408">
        <v>0</v>
      </c>
      <c r="CT529" s="408">
        <v>0</v>
      </c>
      <c r="CU529" s="408">
        <v>0</v>
      </c>
      <c r="CV529" s="408">
        <v>0</v>
      </c>
      <c r="CW529" s="408">
        <v>0</v>
      </c>
      <c r="CX529" s="408">
        <v>0</v>
      </c>
      <c r="CY529" s="408">
        <v>0</v>
      </c>
      <c r="CZ529" s="408">
        <v>0</v>
      </c>
      <c r="DA529" s="408">
        <v>0</v>
      </c>
      <c r="DB529" s="408">
        <v>0</v>
      </c>
      <c r="DC529" s="408">
        <v>-1.8205450032837689E-5</v>
      </c>
      <c r="DD529" s="408">
        <v>0</v>
      </c>
      <c r="DE529" s="408">
        <v>0</v>
      </c>
      <c r="DF529" s="408">
        <v>0</v>
      </c>
      <c r="DG529" s="408">
        <v>-1.1132297004223801E-6</v>
      </c>
      <c r="DH529" s="408">
        <v>0</v>
      </c>
      <c r="DI529" s="408">
        <v>-805.60323158014944</v>
      </c>
      <c r="DJ529" s="408"/>
      <c r="DK529" s="408">
        <v>0</v>
      </c>
      <c r="DL529" s="408">
        <v>0</v>
      </c>
      <c r="DM529" s="408">
        <v>0</v>
      </c>
      <c r="DN529" s="408">
        <v>0</v>
      </c>
      <c r="DO529" s="408">
        <v>-123.66590495716991</v>
      </c>
      <c r="DP529" s="408">
        <v>-40.224615139803063</v>
      </c>
      <c r="DQ529" s="408">
        <v>0</v>
      </c>
      <c r="DR529" s="408">
        <v>0</v>
      </c>
      <c r="DS529" s="408"/>
      <c r="DT529" s="408"/>
      <c r="DU529" s="408"/>
      <c r="DV529" s="408">
        <v>0</v>
      </c>
      <c r="DW529" s="408">
        <v>0</v>
      </c>
      <c r="DX529" s="408">
        <v>0</v>
      </c>
      <c r="DY529" s="408">
        <v>-967.93680000001041</v>
      </c>
      <c r="DZ529" s="408">
        <v>0</v>
      </c>
      <c r="EA529" s="408">
        <v>0</v>
      </c>
      <c r="EB529" s="408">
        <v>0</v>
      </c>
      <c r="EC529" s="408">
        <v>0</v>
      </c>
      <c r="ED529" s="408">
        <v>0</v>
      </c>
      <c r="EE529" s="408">
        <v>0</v>
      </c>
      <c r="EF529" s="408">
        <v>0</v>
      </c>
      <c r="EG529" s="408">
        <v>0</v>
      </c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>
        <v>0</v>
      </c>
      <c r="EN529" s="408">
        <v>0</v>
      </c>
      <c r="EO529" s="408">
        <v>0</v>
      </c>
      <c r="EP529" s="408">
        <v>0</v>
      </c>
      <c r="EQ529" s="408">
        <v>0</v>
      </c>
      <c r="ER529" s="408">
        <v>0</v>
      </c>
      <c r="ES529" s="408">
        <v>0</v>
      </c>
      <c r="ET529" s="408">
        <v>0</v>
      </c>
      <c r="EU529" s="408">
        <v>0</v>
      </c>
      <c r="EV529" s="408">
        <v>265</v>
      </c>
      <c r="EW529" s="408">
        <v>0</v>
      </c>
      <c r="EX529" s="408">
        <v>0</v>
      </c>
      <c r="EY529" s="408">
        <v>0</v>
      </c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536</v>
      </c>
      <c r="B530" s="408" t="s">
        <v>2230</v>
      </c>
      <c r="C530" s="408" t="s">
        <v>2235</v>
      </c>
      <c r="D530" s="408" t="s">
        <v>596</v>
      </c>
      <c r="E530" s="408" t="s">
        <v>993</v>
      </c>
      <c r="F530" s="408" t="s">
        <v>1317</v>
      </c>
      <c r="G530" s="408" t="s">
        <v>1317</v>
      </c>
      <c r="H530" s="408" t="s">
        <v>1317</v>
      </c>
      <c r="I530" s="408" t="s">
        <v>2236</v>
      </c>
      <c r="J530" s="408" t="s">
        <v>2228</v>
      </c>
      <c r="K530" s="828">
        <v>44682</v>
      </c>
      <c r="L530" s="408">
        <v>0</v>
      </c>
      <c r="M530" s="408">
        <v>0</v>
      </c>
      <c r="N530" s="408">
        <v>58.043999999999997</v>
      </c>
      <c r="O530" s="408">
        <v>58.043999999999997</v>
      </c>
      <c r="P530" s="408">
        <v>58.043999999999997</v>
      </c>
      <c r="Q530" s="408">
        <v>58.043999999999997</v>
      </c>
      <c r="R530" s="408"/>
      <c r="S530" s="408">
        <v>81.2</v>
      </c>
      <c r="T530" s="408">
        <v>252.22</v>
      </c>
      <c r="U530" s="408"/>
      <c r="V530" s="408">
        <v>19353.030480000001</v>
      </c>
      <c r="W530" s="408">
        <v>19353.030480000001</v>
      </c>
      <c r="X530" s="408">
        <v>19243.907759999998</v>
      </c>
      <c r="Y530" s="408">
        <v>0</v>
      </c>
      <c r="Z530" s="408">
        <v>3123.4780220526154</v>
      </c>
      <c r="AA530" s="408">
        <v>0</v>
      </c>
      <c r="AB530" s="408">
        <v>0</v>
      </c>
      <c r="AC530" s="408">
        <v>0</v>
      </c>
      <c r="AD530" s="408">
        <v>0</v>
      </c>
      <c r="AE530" s="408">
        <v>0</v>
      </c>
      <c r="AF530" s="408">
        <v>14640.018315432608</v>
      </c>
      <c r="AG530" s="408">
        <v>0</v>
      </c>
      <c r="AH530" s="408">
        <v>0</v>
      </c>
      <c r="AI530" s="408">
        <v>0</v>
      </c>
      <c r="AJ530" s="408">
        <v>0</v>
      </c>
      <c r="AK530" s="408">
        <v>0</v>
      </c>
      <c r="AL530" s="408">
        <v>554.96037795605366</v>
      </c>
      <c r="AM530" s="408"/>
      <c r="AN530" s="408">
        <v>139.64841585311521</v>
      </c>
      <c r="AO530" s="408">
        <v>0</v>
      </c>
      <c r="AP530" s="408">
        <v>0</v>
      </c>
      <c r="AQ530" s="408">
        <v>0</v>
      </c>
      <c r="AR530" s="408">
        <v>0</v>
      </c>
      <c r="AS530" s="408">
        <v>0</v>
      </c>
      <c r="AT530" s="408">
        <v>0</v>
      </c>
      <c r="AU530" s="408">
        <v>0</v>
      </c>
      <c r="AV530" s="408">
        <v>0</v>
      </c>
      <c r="AW530" s="408">
        <v>0</v>
      </c>
      <c r="AX530" s="408">
        <v>0</v>
      </c>
      <c r="AY530" s="408">
        <v>0</v>
      </c>
      <c r="AZ530" s="408">
        <v>0</v>
      </c>
      <c r="BA530" s="408"/>
      <c r="BB530" s="408">
        <v>0</v>
      </c>
      <c r="BC530" s="408">
        <v>0</v>
      </c>
      <c r="BD530" s="408">
        <v>0</v>
      </c>
      <c r="BE530" s="408">
        <v>0</v>
      </c>
      <c r="BF530" s="408">
        <v>0</v>
      </c>
      <c r="BG530" s="408">
        <v>895.20339881734481</v>
      </c>
      <c r="BH530" s="408">
        <v>0</v>
      </c>
      <c r="BI530" s="408">
        <v>0</v>
      </c>
      <c r="BJ530" s="408">
        <v>0</v>
      </c>
      <c r="BK530" s="408">
        <v>0</v>
      </c>
      <c r="BL530" s="408">
        <v>0</v>
      </c>
      <c r="BM530" s="408"/>
      <c r="BN530" s="408"/>
      <c r="BO530" s="408"/>
      <c r="BP530" s="408"/>
      <c r="BQ530" s="408"/>
      <c r="BR530" s="408"/>
      <c r="BS530" s="408"/>
      <c r="BT530" s="408"/>
      <c r="BU530" s="408"/>
      <c r="BV530" s="408">
        <v>15535.221714249952</v>
      </c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>
        <v>19242.581599999998</v>
      </c>
      <c r="CJ530" s="408">
        <v>-110.47887999999875</v>
      </c>
      <c r="CK530" s="408"/>
      <c r="CL530" s="408"/>
      <c r="CM530" s="408"/>
      <c r="CN530" s="408"/>
      <c r="CO530" s="408">
        <v>-109.12272000000056</v>
      </c>
      <c r="CP530" s="408">
        <v>0</v>
      </c>
      <c r="CQ530" s="408">
        <v>31</v>
      </c>
      <c r="CR530" s="408">
        <v>-109.29824892918987</v>
      </c>
      <c r="CS530" s="408">
        <v>0</v>
      </c>
      <c r="CT530" s="408">
        <v>0</v>
      </c>
      <c r="CU530" s="408">
        <v>0</v>
      </c>
      <c r="CV530" s="408">
        <v>0</v>
      </c>
      <c r="CW530" s="408">
        <v>0</v>
      </c>
      <c r="CX530" s="408">
        <v>0</v>
      </c>
      <c r="CY530" s="408">
        <v>0</v>
      </c>
      <c r="CZ530" s="408">
        <v>0</v>
      </c>
      <c r="DA530" s="408">
        <v>0</v>
      </c>
      <c r="DB530" s="408">
        <v>0</v>
      </c>
      <c r="DC530" s="408">
        <v>-2.0524366846075282E-6</v>
      </c>
      <c r="DD530" s="408">
        <v>0</v>
      </c>
      <c r="DE530" s="408">
        <v>0</v>
      </c>
      <c r="DF530" s="408">
        <v>0</v>
      </c>
      <c r="DG530" s="408">
        <v>-1.2550276551337447E-7</v>
      </c>
      <c r="DH530" s="408">
        <v>0</v>
      </c>
      <c r="DI530" s="408">
        <v>-90.821648552690476</v>
      </c>
      <c r="DJ530" s="408"/>
      <c r="DK530" s="408">
        <v>0</v>
      </c>
      <c r="DL530" s="408">
        <v>0</v>
      </c>
      <c r="DM530" s="408">
        <v>0</v>
      </c>
      <c r="DN530" s="408">
        <v>0</v>
      </c>
      <c r="DO530" s="408">
        <v>-13.941777934456013</v>
      </c>
      <c r="DP530" s="408">
        <v>-4.5348202641004036</v>
      </c>
      <c r="DQ530" s="408">
        <v>0</v>
      </c>
      <c r="DR530" s="408">
        <v>0</v>
      </c>
      <c r="DS530" s="408"/>
      <c r="DT530" s="408"/>
      <c r="DU530" s="408"/>
      <c r="DV530" s="408">
        <v>0</v>
      </c>
      <c r="DW530" s="408">
        <v>0</v>
      </c>
      <c r="DX530" s="408">
        <v>0</v>
      </c>
      <c r="DY530" s="408">
        <v>-109.12272000000121</v>
      </c>
      <c r="DZ530" s="408">
        <v>0</v>
      </c>
      <c r="EA530" s="408">
        <v>0</v>
      </c>
      <c r="EB530" s="408">
        <v>0</v>
      </c>
      <c r="EC530" s="408">
        <v>0</v>
      </c>
      <c r="ED530" s="408">
        <v>0</v>
      </c>
      <c r="EE530" s="408">
        <v>0</v>
      </c>
      <c r="EF530" s="408">
        <v>0</v>
      </c>
      <c r="EG530" s="408">
        <v>0</v>
      </c>
      <c r="EH530" s="408">
        <v>0</v>
      </c>
      <c r="EI530" s="408">
        <v>0</v>
      </c>
      <c r="EJ530" s="408">
        <v>0</v>
      </c>
      <c r="EK530" s="408">
        <v>0</v>
      </c>
      <c r="EL530" s="408">
        <v>0</v>
      </c>
      <c r="EM530" s="408">
        <v>0</v>
      </c>
      <c r="EN530" s="408">
        <v>0</v>
      </c>
      <c r="EO530" s="408">
        <v>0</v>
      </c>
      <c r="EP530" s="408">
        <v>0</v>
      </c>
      <c r="EQ530" s="408">
        <v>0</v>
      </c>
      <c r="ER530" s="408">
        <v>0</v>
      </c>
      <c r="ES530" s="408">
        <v>0</v>
      </c>
      <c r="ET530" s="408">
        <v>0</v>
      </c>
      <c r="EU530" s="408">
        <v>0</v>
      </c>
      <c r="EV530" s="408">
        <v>265</v>
      </c>
      <c r="EW530" s="408">
        <v>0</v>
      </c>
      <c r="EX530" s="408">
        <v>0</v>
      </c>
      <c r="EY530" s="408">
        <v>0</v>
      </c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537</v>
      </c>
      <c r="B531" s="408" t="s">
        <v>1031</v>
      </c>
      <c r="C531" s="408" t="s">
        <v>2235</v>
      </c>
      <c r="D531" s="408" t="s">
        <v>596</v>
      </c>
      <c r="E531" s="408" t="s">
        <v>993</v>
      </c>
      <c r="F531" s="408" t="s">
        <v>1317</v>
      </c>
      <c r="G531" s="408" t="s">
        <v>1317</v>
      </c>
      <c r="H531" s="408" t="s">
        <v>1317</v>
      </c>
      <c r="I531" s="408" t="s">
        <v>1317</v>
      </c>
      <c r="J531" s="408" t="s">
        <v>2228</v>
      </c>
      <c r="K531" s="828">
        <v>44682</v>
      </c>
      <c r="L531" s="408">
        <v>3523</v>
      </c>
      <c r="M531" s="408">
        <v>3523</v>
      </c>
      <c r="N531" s="408">
        <v>0</v>
      </c>
      <c r="O531" s="408">
        <v>0</v>
      </c>
      <c r="P531" s="408">
        <v>0</v>
      </c>
      <c r="Q531" s="408">
        <v>0</v>
      </c>
      <c r="R531" s="408">
        <v>74.44</v>
      </c>
      <c r="S531" s="408"/>
      <c r="T531" s="408"/>
      <c r="U531" s="408">
        <v>262252.12</v>
      </c>
      <c r="V531" s="408"/>
      <c r="W531" s="408">
        <v>262252.12</v>
      </c>
      <c r="X531" s="408">
        <v>160014.66</v>
      </c>
      <c r="Y531" s="408">
        <v>0</v>
      </c>
      <c r="Z531" s="408">
        <v>0</v>
      </c>
      <c r="AA531" s="408">
        <v>0</v>
      </c>
      <c r="AB531" s="408">
        <v>0</v>
      </c>
      <c r="AC531" s="408">
        <v>0</v>
      </c>
      <c r="AD531" s="408">
        <v>95885.81698478169</v>
      </c>
      <c r="AE531" s="408">
        <v>166361.47814210982</v>
      </c>
      <c r="AF531" s="408"/>
      <c r="AG531" s="408"/>
      <c r="AH531" s="408"/>
      <c r="AI531" s="408">
        <v>0</v>
      </c>
      <c r="AJ531" s="408">
        <v>0</v>
      </c>
      <c r="AK531" s="408">
        <v>0</v>
      </c>
      <c r="AL531" s="408">
        <v>0</v>
      </c>
      <c r="AM531" s="408"/>
      <c r="AN531" s="408">
        <v>0</v>
      </c>
      <c r="AO531" s="408">
        <v>0</v>
      </c>
      <c r="AP531" s="408">
        <v>0</v>
      </c>
      <c r="AQ531" s="408">
        <v>0</v>
      </c>
      <c r="AR531" s="408">
        <v>0</v>
      </c>
      <c r="AS531" s="408"/>
      <c r="AT531" s="408"/>
      <c r="AU531" s="408">
        <v>0</v>
      </c>
      <c r="AV531" s="408">
        <v>0</v>
      </c>
      <c r="AW531" s="408">
        <v>0</v>
      </c>
      <c r="AX531" s="408"/>
      <c r="AY531" s="408"/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0</v>
      </c>
      <c r="BF531" s="408"/>
      <c r="BG531" s="408">
        <v>0</v>
      </c>
      <c r="BH531" s="408">
        <v>0</v>
      </c>
      <c r="BI531" s="408">
        <v>0</v>
      </c>
      <c r="BJ531" s="408">
        <v>0</v>
      </c>
      <c r="BK531" s="408">
        <v>139355.14000000001</v>
      </c>
      <c r="BL531" s="408">
        <v>14</v>
      </c>
      <c r="BM531" s="408"/>
      <c r="BN531" s="408"/>
      <c r="BO531" s="408"/>
      <c r="BP531" s="408"/>
      <c r="BQ531" s="408"/>
      <c r="BR531" s="408"/>
      <c r="BS531" s="408"/>
      <c r="BT531" s="408"/>
      <c r="BU531" s="408"/>
      <c r="BV531" s="408">
        <v>0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160014.66</v>
      </c>
      <c r="CJ531" s="408">
        <v>-102237.49000000002</v>
      </c>
      <c r="CK531" s="408"/>
      <c r="CL531" s="408"/>
      <c r="CM531" s="408"/>
      <c r="CN531" s="408"/>
      <c r="CO531" s="408">
        <v>-102237.45999999999</v>
      </c>
      <c r="CP531" s="408">
        <v>0</v>
      </c>
      <c r="CQ531" s="408">
        <v>31</v>
      </c>
      <c r="CR531" s="408">
        <v>-246.4349935414939</v>
      </c>
      <c r="CS531" s="408">
        <v>0</v>
      </c>
      <c r="CT531" s="408">
        <v>0</v>
      </c>
      <c r="CU531" s="408">
        <v>0</v>
      </c>
      <c r="CV531" s="408">
        <v>0</v>
      </c>
      <c r="CW531" s="408"/>
      <c r="CX531" s="408"/>
      <c r="CY531" s="408"/>
      <c r="CZ531" s="408">
        <v>-246.4349935414939</v>
      </c>
      <c r="DA531" s="408">
        <v>0</v>
      </c>
      <c r="DB531" s="408">
        <v>0</v>
      </c>
      <c r="DC531" s="408"/>
      <c r="DD531" s="408"/>
      <c r="DE531" s="408">
        <v>0</v>
      </c>
      <c r="DF531" s="408">
        <v>0</v>
      </c>
      <c r="DG531" s="408">
        <v>0</v>
      </c>
      <c r="DH531" s="408">
        <v>0</v>
      </c>
      <c r="DI531" s="408">
        <v>0</v>
      </c>
      <c r="DJ531" s="408"/>
      <c r="DK531" s="408">
        <v>0</v>
      </c>
      <c r="DL531" s="408">
        <v>0</v>
      </c>
      <c r="DM531" s="408"/>
      <c r="DN531" s="408">
        <v>0</v>
      </c>
      <c r="DO531" s="408">
        <v>0</v>
      </c>
      <c r="DP531" s="408">
        <v>0</v>
      </c>
      <c r="DQ531" s="408">
        <v>0</v>
      </c>
      <c r="DR531" s="408">
        <v>0</v>
      </c>
      <c r="DS531" s="408"/>
      <c r="DT531" s="408"/>
      <c r="DU531" s="408">
        <v>166361.47814210982</v>
      </c>
      <c r="DV531" s="408"/>
      <c r="DW531" s="408">
        <v>0</v>
      </c>
      <c r="DX531" s="408">
        <v>0</v>
      </c>
      <c r="DY531" s="408">
        <v>-102237.45999999999</v>
      </c>
      <c r="DZ531" s="408"/>
      <c r="EA531" s="408">
        <v>0</v>
      </c>
      <c r="EB531" s="408"/>
      <c r="EC531" s="408">
        <v>-102003.72878073627</v>
      </c>
      <c r="ED531" s="408"/>
      <c r="EE531" s="408">
        <v>0</v>
      </c>
      <c r="EF531" s="408">
        <v>0</v>
      </c>
      <c r="EG531" s="408"/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/>
      <c r="EN531" s="408"/>
      <c r="EO531" s="408">
        <v>0</v>
      </c>
      <c r="EP531" s="408">
        <v>0</v>
      </c>
      <c r="EQ531" s="408"/>
      <c r="ER531" s="408">
        <v>0</v>
      </c>
      <c r="ES531" s="408"/>
      <c r="ET531" s="408">
        <v>0</v>
      </c>
      <c r="EU531" s="408"/>
      <c r="EV531" s="408">
        <v>265</v>
      </c>
      <c r="EW531" s="408"/>
      <c r="EX531" s="408"/>
      <c r="EY531" s="408"/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538</v>
      </c>
      <c r="B532" s="408" t="s">
        <v>2230</v>
      </c>
      <c r="C532" s="408" t="s">
        <v>2235</v>
      </c>
      <c r="D532" s="408" t="s">
        <v>596</v>
      </c>
      <c r="E532" s="408" t="s">
        <v>993</v>
      </c>
      <c r="F532" s="408" t="s">
        <v>1317</v>
      </c>
      <c r="G532" s="408" t="s">
        <v>1317</v>
      </c>
      <c r="H532" s="408" t="s">
        <v>1317</v>
      </c>
      <c r="I532" s="408" t="s">
        <v>1317</v>
      </c>
      <c r="J532" s="408" t="s">
        <v>2228</v>
      </c>
      <c r="K532" s="828">
        <v>44682</v>
      </c>
      <c r="L532" s="408">
        <v>326</v>
      </c>
      <c r="M532" s="408">
        <v>326</v>
      </c>
      <c r="N532" s="408">
        <v>0</v>
      </c>
      <c r="O532" s="408">
        <v>0</v>
      </c>
      <c r="P532" s="408">
        <v>0</v>
      </c>
      <c r="Q532" s="408">
        <v>0</v>
      </c>
      <c r="R532" s="408">
        <v>74.44</v>
      </c>
      <c r="S532" s="408"/>
      <c r="T532" s="408"/>
      <c r="U532" s="408">
        <v>24267.439999999999</v>
      </c>
      <c r="V532" s="408"/>
      <c r="W532" s="408">
        <v>24267.439999999999</v>
      </c>
      <c r="X532" s="408">
        <v>14806.92</v>
      </c>
      <c r="Y532" s="408">
        <v>0</v>
      </c>
      <c r="Z532" s="408">
        <v>0</v>
      </c>
      <c r="AA532" s="408">
        <v>0</v>
      </c>
      <c r="AB532" s="408">
        <v>0</v>
      </c>
      <c r="AC532" s="408">
        <v>0</v>
      </c>
      <c r="AD532" s="408">
        <v>8872.7721649272862</v>
      </c>
      <c r="AE532" s="408">
        <v>15394.221366542093</v>
      </c>
      <c r="AF532" s="408"/>
      <c r="AG532" s="408"/>
      <c r="AH532" s="408"/>
      <c r="AI532" s="408">
        <v>0</v>
      </c>
      <c r="AJ532" s="408">
        <v>0</v>
      </c>
      <c r="AK532" s="408">
        <v>0</v>
      </c>
      <c r="AL532" s="408">
        <v>0</v>
      </c>
      <c r="AM532" s="408"/>
      <c r="AN532" s="408">
        <v>0</v>
      </c>
      <c r="AO532" s="408">
        <v>0</v>
      </c>
      <c r="AP532" s="408">
        <v>0</v>
      </c>
      <c r="AQ532" s="408">
        <v>0</v>
      </c>
      <c r="AR532" s="408">
        <v>0</v>
      </c>
      <c r="AS532" s="408"/>
      <c r="AT532" s="408"/>
      <c r="AU532" s="408">
        <v>0</v>
      </c>
      <c r="AV532" s="408">
        <v>0</v>
      </c>
      <c r="AW532" s="408">
        <v>0</v>
      </c>
      <c r="AX532" s="408"/>
      <c r="AY532" s="408"/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0</v>
      </c>
      <c r="BF532" s="408"/>
      <c r="BG532" s="408">
        <v>0</v>
      </c>
      <c r="BH532" s="408">
        <v>0</v>
      </c>
      <c r="BI532" s="408">
        <v>0</v>
      </c>
      <c r="BJ532" s="408">
        <v>0</v>
      </c>
      <c r="BK532" s="408">
        <v>18102.169999999998</v>
      </c>
      <c r="BL532" s="408">
        <v>2</v>
      </c>
      <c r="BM532" s="408"/>
      <c r="BN532" s="408"/>
      <c r="BO532" s="408"/>
      <c r="BP532" s="408"/>
      <c r="BQ532" s="408"/>
      <c r="BR532" s="408"/>
      <c r="BS532" s="408"/>
      <c r="BT532" s="408"/>
      <c r="BU532" s="408"/>
      <c r="BV532" s="408">
        <v>0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14806.92</v>
      </c>
      <c r="CJ532" s="408">
        <v>-9460.5499999999938</v>
      </c>
      <c r="CK532" s="408"/>
      <c r="CL532" s="408"/>
      <c r="CM532" s="408"/>
      <c r="CN532" s="408"/>
      <c r="CO532" s="408">
        <v>-9460.5199999999986</v>
      </c>
      <c r="CP532" s="408">
        <v>0</v>
      </c>
      <c r="CQ532" s="408">
        <v>31</v>
      </c>
      <c r="CR532" s="408">
        <v>-22.803805817349712</v>
      </c>
      <c r="CS532" s="408">
        <v>0</v>
      </c>
      <c r="CT532" s="408">
        <v>0</v>
      </c>
      <c r="CU532" s="408">
        <v>0</v>
      </c>
      <c r="CV532" s="408">
        <v>0</v>
      </c>
      <c r="CW532" s="408"/>
      <c r="CX532" s="408"/>
      <c r="CY532" s="408"/>
      <c r="CZ532" s="408">
        <v>-22.803805817349712</v>
      </c>
      <c r="DA532" s="408">
        <v>0</v>
      </c>
      <c r="DB532" s="408">
        <v>0</v>
      </c>
      <c r="DC532" s="408"/>
      <c r="DD532" s="408"/>
      <c r="DE532" s="408">
        <v>0</v>
      </c>
      <c r="DF532" s="408">
        <v>0</v>
      </c>
      <c r="DG532" s="408">
        <v>0</v>
      </c>
      <c r="DH532" s="408">
        <v>0</v>
      </c>
      <c r="DI532" s="408">
        <v>0</v>
      </c>
      <c r="DJ532" s="408"/>
      <c r="DK532" s="408">
        <v>0</v>
      </c>
      <c r="DL532" s="408">
        <v>0</v>
      </c>
      <c r="DM532" s="408"/>
      <c r="DN532" s="408">
        <v>0</v>
      </c>
      <c r="DO532" s="408">
        <v>0</v>
      </c>
      <c r="DP532" s="408">
        <v>0</v>
      </c>
      <c r="DQ532" s="408">
        <v>0</v>
      </c>
      <c r="DR532" s="408">
        <v>0</v>
      </c>
      <c r="DS532" s="408"/>
      <c r="DT532" s="408"/>
      <c r="DU532" s="408">
        <v>15394.221366542093</v>
      </c>
      <c r="DV532" s="408"/>
      <c r="DW532" s="408">
        <v>0</v>
      </c>
      <c r="DX532" s="408">
        <v>0</v>
      </c>
      <c r="DY532" s="408">
        <v>-9460.5199999999986</v>
      </c>
      <c r="DZ532" s="408"/>
      <c r="EA532" s="408">
        <v>0</v>
      </c>
      <c r="EB532" s="408"/>
      <c r="EC532" s="408">
        <v>-9438.8917350326483</v>
      </c>
      <c r="ED532" s="408"/>
      <c r="EE532" s="408">
        <v>0</v>
      </c>
      <c r="EF532" s="408">
        <v>0</v>
      </c>
      <c r="EG532" s="408"/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/>
      <c r="EN532" s="408"/>
      <c r="EO532" s="408">
        <v>0</v>
      </c>
      <c r="EP532" s="408">
        <v>0</v>
      </c>
      <c r="EQ532" s="408"/>
      <c r="ER532" s="408">
        <v>0</v>
      </c>
      <c r="ES532" s="408"/>
      <c r="ET532" s="408">
        <v>0</v>
      </c>
      <c r="EU532" s="408"/>
      <c r="EV532" s="408">
        <v>265</v>
      </c>
      <c r="EW532" s="408"/>
      <c r="EX532" s="408"/>
      <c r="EY532" s="408"/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539</v>
      </c>
      <c r="B533" s="408" t="s">
        <v>1031</v>
      </c>
      <c r="C533" s="408" t="s">
        <v>2227</v>
      </c>
      <c r="D533" s="408" t="s">
        <v>2237</v>
      </c>
      <c r="E533" s="408" t="s">
        <v>969</v>
      </c>
      <c r="F533" s="408" t="s">
        <v>1317</v>
      </c>
      <c r="G533" s="408" t="s">
        <v>1317</v>
      </c>
      <c r="H533" s="408" t="s">
        <v>1317</v>
      </c>
      <c r="I533" s="408" t="s">
        <v>1317</v>
      </c>
      <c r="J533" s="408" t="s">
        <v>2228</v>
      </c>
      <c r="K533" s="828">
        <v>44682</v>
      </c>
      <c r="L533" s="408">
        <v>0</v>
      </c>
      <c r="M533" s="408">
        <v>0</v>
      </c>
      <c r="N533" s="408">
        <v>2998.78</v>
      </c>
      <c r="O533" s="408">
        <v>2998.78</v>
      </c>
      <c r="P533" s="408">
        <v>2998.78</v>
      </c>
      <c r="Q533" s="408">
        <v>2998.78</v>
      </c>
      <c r="R533" s="408"/>
      <c r="S533" s="408">
        <v>739.04</v>
      </c>
      <c r="T533" s="408">
        <v>252.22</v>
      </c>
      <c r="U533" s="408"/>
      <c r="V533" s="408">
        <v>2972570.6628</v>
      </c>
      <c r="W533" s="408">
        <v>2972570.6628</v>
      </c>
      <c r="X533" s="408">
        <v>2033082.8766000001</v>
      </c>
      <c r="Y533" s="408">
        <v>0</v>
      </c>
      <c r="Z533" s="408">
        <v>185484.00901913777</v>
      </c>
      <c r="AA533" s="408">
        <v>0</v>
      </c>
      <c r="AB533" s="408">
        <v>0</v>
      </c>
      <c r="AC533" s="408">
        <v>0</v>
      </c>
      <c r="AD533" s="408">
        <v>370342.07564001158</v>
      </c>
      <c r="AE533" s="408">
        <v>1520344.7850811218</v>
      </c>
      <c r="AF533" s="408">
        <v>756360.59065455513</v>
      </c>
      <c r="AG533" s="408">
        <v>0</v>
      </c>
      <c r="AH533" s="408">
        <v>0</v>
      </c>
      <c r="AI533" s="408">
        <v>0</v>
      </c>
      <c r="AJ533" s="408">
        <v>0</v>
      </c>
      <c r="AK533" s="408">
        <v>0</v>
      </c>
      <c r="AL533" s="408">
        <v>28671.423096393333</v>
      </c>
      <c r="AM533" s="408"/>
      <c r="AN533" s="408">
        <v>7027.0367933316165</v>
      </c>
      <c r="AO533" s="408">
        <v>0</v>
      </c>
      <c r="AP533" s="408">
        <v>0</v>
      </c>
      <c r="AQ533" s="408">
        <v>0</v>
      </c>
      <c r="AR533" s="408">
        <v>0</v>
      </c>
      <c r="AS533" s="408">
        <v>0</v>
      </c>
      <c r="AT533" s="408">
        <v>0</v>
      </c>
      <c r="AU533" s="408">
        <v>0</v>
      </c>
      <c r="AV533" s="408">
        <v>0</v>
      </c>
      <c r="AW533" s="408">
        <v>0</v>
      </c>
      <c r="AX533" s="408">
        <v>0</v>
      </c>
      <c r="AY533" s="408">
        <v>0</v>
      </c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>
        <v>0</v>
      </c>
      <c r="BG533" s="408">
        <v>104340.2949021915</v>
      </c>
      <c r="BH533" s="408">
        <v>0</v>
      </c>
      <c r="BI533" s="408">
        <v>0</v>
      </c>
      <c r="BJ533" s="408">
        <v>0</v>
      </c>
      <c r="BK533" s="408">
        <v>103104.28</v>
      </c>
      <c r="BL533" s="408">
        <v>12028</v>
      </c>
      <c r="BM533" s="408"/>
      <c r="BN533" s="408"/>
      <c r="BO533" s="408"/>
      <c r="BP533" s="408"/>
      <c r="BQ533" s="408"/>
      <c r="BR533" s="408">
        <v>243950.75299999991</v>
      </c>
      <c r="BS533" s="408"/>
      <c r="BT533" s="408"/>
      <c r="BU533" s="408"/>
      <c r="BV533" s="408">
        <v>860700.88555674662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1789132.1236</v>
      </c>
      <c r="CJ533" s="408">
        <v>-826733.68819999974</v>
      </c>
      <c r="CK533" s="408"/>
      <c r="CL533" s="408"/>
      <c r="CM533" s="408"/>
      <c r="CN533" s="408"/>
      <c r="CO533" s="408">
        <v>-939487.78619999997</v>
      </c>
      <c r="CP533" s="408">
        <v>0</v>
      </c>
      <c r="CQ533" s="408">
        <v>31</v>
      </c>
      <c r="CR533" s="408">
        <v>-7293.6235097742174</v>
      </c>
      <c r="CS533" s="408">
        <v>0</v>
      </c>
      <c r="CT533" s="408">
        <v>0</v>
      </c>
      <c r="CU533" s="408">
        <v>0</v>
      </c>
      <c r="CV533" s="408">
        <v>0</v>
      </c>
      <c r="CW533" s="408">
        <v>0</v>
      </c>
      <c r="CX533" s="408">
        <v>0</v>
      </c>
      <c r="CY533" s="408">
        <v>0</v>
      </c>
      <c r="CZ533" s="408">
        <v>-951.81174743379233</v>
      </c>
      <c r="DA533" s="408">
        <v>0</v>
      </c>
      <c r="DB533" s="408">
        <v>0</v>
      </c>
      <c r="DC533" s="408">
        <v>-1.0603689588606358E-4</v>
      </c>
      <c r="DD533" s="408">
        <v>0</v>
      </c>
      <c r="DE533" s="408">
        <v>0</v>
      </c>
      <c r="DF533" s="408">
        <v>0</v>
      </c>
      <c r="DG533" s="408">
        <v>-1.46277598105371E-5</v>
      </c>
      <c r="DH533" s="408">
        <v>0</v>
      </c>
      <c r="DI533" s="408">
        <v>-5393.3350452102022</v>
      </c>
      <c r="DJ533" s="408"/>
      <c r="DK533" s="408">
        <v>0</v>
      </c>
      <c r="DL533" s="408">
        <v>0</v>
      </c>
      <c r="DM533" s="408">
        <v>0</v>
      </c>
      <c r="DN533" s="408">
        <v>0</v>
      </c>
      <c r="DO533" s="408">
        <v>-720.2867623576567</v>
      </c>
      <c r="DP533" s="408">
        <v>-228.18983410806504</v>
      </c>
      <c r="DQ533" s="408">
        <v>0</v>
      </c>
      <c r="DR533" s="408">
        <v>0</v>
      </c>
      <c r="DS533" s="408"/>
      <c r="DT533" s="408"/>
      <c r="DU533" s="408"/>
      <c r="DV533" s="408">
        <v>1520344.7850811218</v>
      </c>
      <c r="DW533" s="408">
        <v>0</v>
      </c>
      <c r="DX533" s="408">
        <v>0</v>
      </c>
      <c r="DY533" s="408">
        <v>-939487.78619999974</v>
      </c>
      <c r="DZ533" s="408">
        <v>0</v>
      </c>
      <c r="EA533" s="408">
        <v>0</v>
      </c>
      <c r="EB533" s="408">
        <v>0</v>
      </c>
      <c r="EC533" s="408">
        <v>-932191.98844907875</v>
      </c>
      <c r="ED533" s="408">
        <v>0</v>
      </c>
      <c r="EE533" s="408">
        <v>0</v>
      </c>
      <c r="EF533" s="408">
        <v>0</v>
      </c>
      <c r="EG533" s="408">
        <v>0</v>
      </c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>
        <v>0</v>
      </c>
      <c r="EN533" s="408">
        <v>0</v>
      </c>
      <c r="EO533" s="408">
        <v>0</v>
      </c>
      <c r="EP533" s="408">
        <v>0</v>
      </c>
      <c r="EQ533" s="408">
        <v>0</v>
      </c>
      <c r="ER533" s="408">
        <v>0</v>
      </c>
      <c r="ES533" s="408">
        <v>0</v>
      </c>
      <c r="ET533" s="408">
        <v>0</v>
      </c>
      <c r="EU533" s="408">
        <v>0</v>
      </c>
      <c r="EV533" s="408">
        <v>265</v>
      </c>
      <c r="EW533" s="408">
        <v>0</v>
      </c>
      <c r="EX533" s="408">
        <v>0</v>
      </c>
      <c r="EY533" s="408">
        <v>0</v>
      </c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540</v>
      </c>
      <c r="B534" s="408" t="s">
        <v>2229</v>
      </c>
      <c r="C534" s="408" t="s">
        <v>2227</v>
      </c>
      <c r="D534" s="408" t="s">
        <v>2237</v>
      </c>
      <c r="E534" s="408" t="s">
        <v>969</v>
      </c>
      <c r="F534" s="408" t="s">
        <v>1317</v>
      </c>
      <c r="G534" s="408" t="s">
        <v>1317</v>
      </c>
      <c r="H534" s="408" t="s">
        <v>1317</v>
      </c>
      <c r="I534" s="408" t="s">
        <v>1317</v>
      </c>
      <c r="J534" s="408" t="s">
        <v>2228</v>
      </c>
      <c r="K534" s="828">
        <v>44682</v>
      </c>
      <c r="L534" s="408">
        <v>0</v>
      </c>
      <c r="M534" s="408">
        <v>0</v>
      </c>
      <c r="N534" s="408">
        <v>-3.1880000000000002</v>
      </c>
      <c r="O534" s="408">
        <v>-3.1880000000000002</v>
      </c>
      <c r="P534" s="408">
        <v>-3.1880000000000002</v>
      </c>
      <c r="Q534" s="408">
        <v>-3.1880000000000002</v>
      </c>
      <c r="R534" s="408"/>
      <c r="S534" s="408">
        <v>739.04</v>
      </c>
      <c r="T534" s="408">
        <v>252.22</v>
      </c>
      <c r="U534" s="408"/>
      <c r="V534" s="408">
        <v>-3160.13688</v>
      </c>
      <c r="W534" s="408">
        <v>-3160.13688</v>
      </c>
      <c r="X534" s="408">
        <v>-2161.3683600000004</v>
      </c>
      <c r="Y534" s="408">
        <v>0</v>
      </c>
      <c r="Z534" s="408">
        <v>-197.18786331541867</v>
      </c>
      <c r="AA534" s="408">
        <v>0</v>
      </c>
      <c r="AB534" s="408">
        <v>0</v>
      </c>
      <c r="AC534" s="408">
        <v>0</v>
      </c>
      <c r="AD534" s="408">
        <v>-393.71028789719719</v>
      </c>
      <c r="AE534" s="408">
        <v>-1616.2770109306505</v>
      </c>
      <c r="AF534" s="408">
        <v>-804.08618271654541</v>
      </c>
      <c r="AG534" s="408">
        <v>0</v>
      </c>
      <c r="AH534" s="408">
        <v>0</v>
      </c>
      <c r="AI534" s="408">
        <v>0</v>
      </c>
      <c r="AJ534" s="408">
        <v>0</v>
      </c>
      <c r="AK534" s="408">
        <v>0</v>
      </c>
      <c r="AL534" s="408">
        <v>-30.480561038589677</v>
      </c>
      <c r="AM534" s="408"/>
      <c r="AN534" s="408">
        <v>-7.4704357429158499</v>
      </c>
      <c r="AO534" s="408">
        <v>0</v>
      </c>
      <c r="AP534" s="408">
        <v>0</v>
      </c>
      <c r="AQ534" s="408">
        <v>0</v>
      </c>
      <c r="AR534" s="408">
        <v>0</v>
      </c>
      <c r="AS534" s="408">
        <v>0</v>
      </c>
      <c r="AT534" s="408">
        <v>0</v>
      </c>
      <c r="AU534" s="408">
        <v>0</v>
      </c>
      <c r="AV534" s="408">
        <v>0</v>
      </c>
      <c r="AW534" s="408">
        <v>0</v>
      </c>
      <c r="AX534" s="408">
        <v>0</v>
      </c>
      <c r="AY534" s="408">
        <v>0</v>
      </c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>
        <v>0</v>
      </c>
      <c r="BG534" s="408">
        <v>-110.92406250147944</v>
      </c>
      <c r="BH534" s="408">
        <v>0</v>
      </c>
      <c r="BI534" s="408">
        <v>0</v>
      </c>
      <c r="BJ534" s="408">
        <v>0</v>
      </c>
      <c r="BK534" s="408">
        <v>-31.06</v>
      </c>
      <c r="BL534" s="408">
        <v>0</v>
      </c>
      <c r="BM534" s="408"/>
      <c r="BN534" s="408"/>
      <c r="BO534" s="408"/>
      <c r="BP534" s="408"/>
      <c r="BQ534" s="408"/>
      <c r="BR534" s="408">
        <v>-259.34379999999987</v>
      </c>
      <c r="BS534" s="408"/>
      <c r="BT534" s="408"/>
      <c r="BU534" s="408"/>
      <c r="BV534" s="408">
        <v>-915.01024521802481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-1903.2178000000001</v>
      </c>
      <c r="CJ534" s="408">
        <v>877.6764799999994</v>
      </c>
      <c r="CK534" s="408"/>
      <c r="CL534" s="408"/>
      <c r="CM534" s="408"/>
      <c r="CN534" s="408"/>
      <c r="CO534" s="408">
        <v>998.76851999999997</v>
      </c>
      <c r="CP534" s="408">
        <v>0</v>
      </c>
      <c r="CQ534" s="408">
        <v>31</v>
      </c>
      <c r="CR534" s="408">
        <v>7.7538438128710823</v>
      </c>
      <c r="CS534" s="408">
        <v>0</v>
      </c>
      <c r="CT534" s="408">
        <v>0</v>
      </c>
      <c r="CU534" s="408">
        <v>0</v>
      </c>
      <c r="CV534" s="408">
        <v>0</v>
      </c>
      <c r="CW534" s="408">
        <v>0</v>
      </c>
      <c r="CX534" s="408">
        <v>0</v>
      </c>
      <c r="CY534" s="408">
        <v>0</v>
      </c>
      <c r="CZ534" s="408">
        <v>1.0118701107847414</v>
      </c>
      <c r="DA534" s="408">
        <v>0</v>
      </c>
      <c r="DB534" s="408">
        <v>0</v>
      </c>
      <c r="DC534" s="408">
        <v>1.1272777555859648E-7</v>
      </c>
      <c r="DD534" s="408">
        <v>0</v>
      </c>
      <c r="DE534" s="408">
        <v>0</v>
      </c>
      <c r="DF534" s="408">
        <v>0</v>
      </c>
      <c r="DG534" s="408">
        <v>1.555076778458897E-8</v>
      </c>
      <c r="DH534" s="408">
        <v>0</v>
      </c>
      <c r="DI534" s="408">
        <v>5.7336490586605748</v>
      </c>
      <c r="DJ534" s="408"/>
      <c r="DK534" s="408">
        <v>0</v>
      </c>
      <c r="DL534" s="408">
        <v>0</v>
      </c>
      <c r="DM534" s="408">
        <v>0</v>
      </c>
      <c r="DN534" s="408">
        <v>0</v>
      </c>
      <c r="DO534" s="408">
        <v>0.76573613215914804</v>
      </c>
      <c r="DP534" s="408">
        <v>0.24258838298791918</v>
      </c>
      <c r="DQ534" s="408">
        <v>0</v>
      </c>
      <c r="DR534" s="408">
        <v>0</v>
      </c>
      <c r="DS534" s="408"/>
      <c r="DT534" s="408"/>
      <c r="DU534" s="408"/>
      <c r="DV534" s="408">
        <v>-1616.2770109306505</v>
      </c>
      <c r="DW534" s="408">
        <v>0</v>
      </c>
      <c r="DX534" s="408">
        <v>0</v>
      </c>
      <c r="DY534" s="408">
        <v>998.76851999999963</v>
      </c>
      <c r="DZ534" s="408">
        <v>0</v>
      </c>
      <c r="EA534" s="408">
        <v>0</v>
      </c>
      <c r="EB534" s="408">
        <v>0</v>
      </c>
      <c r="EC534" s="408">
        <v>991.01236475355404</v>
      </c>
      <c r="ED534" s="408">
        <v>0</v>
      </c>
      <c r="EE534" s="408">
        <v>0</v>
      </c>
      <c r="EF534" s="408">
        <v>0</v>
      </c>
      <c r="EG534" s="408">
        <v>0</v>
      </c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>
        <v>0</v>
      </c>
      <c r="EN534" s="408">
        <v>0</v>
      </c>
      <c r="EO534" s="408">
        <v>0</v>
      </c>
      <c r="EP534" s="408">
        <v>0</v>
      </c>
      <c r="EQ534" s="408">
        <v>0</v>
      </c>
      <c r="ER534" s="408">
        <v>0</v>
      </c>
      <c r="ES534" s="408">
        <v>0</v>
      </c>
      <c r="ET534" s="408">
        <v>0</v>
      </c>
      <c r="EU534" s="408">
        <v>0</v>
      </c>
      <c r="EV534" s="408">
        <v>265</v>
      </c>
      <c r="EW534" s="408">
        <v>0</v>
      </c>
      <c r="EX534" s="408">
        <v>0</v>
      </c>
      <c r="EY534" s="408">
        <v>0</v>
      </c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541</v>
      </c>
      <c r="B535" s="408" t="s">
        <v>2230</v>
      </c>
      <c r="C535" s="408" t="s">
        <v>2227</v>
      </c>
      <c r="D535" s="408" t="s">
        <v>2237</v>
      </c>
      <c r="E535" s="408" t="s">
        <v>969</v>
      </c>
      <c r="F535" s="408" t="s">
        <v>1317</v>
      </c>
      <c r="G535" s="408" t="s">
        <v>1317</v>
      </c>
      <c r="H535" s="408" t="s">
        <v>1317</v>
      </c>
      <c r="I535" s="408" t="s">
        <v>1317</v>
      </c>
      <c r="J535" s="408" t="s">
        <v>2228</v>
      </c>
      <c r="K535" s="828">
        <v>44682</v>
      </c>
      <c r="L535" s="408">
        <v>0</v>
      </c>
      <c r="M535" s="408">
        <v>0</v>
      </c>
      <c r="N535" s="408">
        <v>168.28399999999999</v>
      </c>
      <c r="O535" s="408">
        <v>168.28399999999999</v>
      </c>
      <c r="P535" s="408">
        <v>168.28399999999999</v>
      </c>
      <c r="Q535" s="408">
        <v>168.28399999999999</v>
      </c>
      <c r="R535" s="408"/>
      <c r="S535" s="408">
        <v>739.04</v>
      </c>
      <c r="T535" s="408">
        <v>252.22</v>
      </c>
      <c r="U535" s="408"/>
      <c r="V535" s="408">
        <v>166813.19783999998</v>
      </c>
      <c r="W535" s="408">
        <v>166813.19783999998</v>
      </c>
      <c r="X535" s="408">
        <v>114091.50348</v>
      </c>
      <c r="Y535" s="408">
        <v>0</v>
      </c>
      <c r="Z535" s="408">
        <v>10408.896609213272</v>
      </c>
      <c r="AA535" s="408">
        <v>0</v>
      </c>
      <c r="AB535" s="408">
        <v>0</v>
      </c>
      <c r="AC535" s="408">
        <v>0</v>
      </c>
      <c r="AD535" s="408">
        <v>20782.666903542009</v>
      </c>
      <c r="AE535" s="408">
        <v>85317.929895688067</v>
      </c>
      <c r="AF535" s="408">
        <v>42445.056202092564</v>
      </c>
      <c r="AG535" s="408">
        <v>0</v>
      </c>
      <c r="AH535" s="408">
        <v>0</v>
      </c>
      <c r="AI535" s="408">
        <v>0</v>
      </c>
      <c r="AJ535" s="408">
        <v>0</v>
      </c>
      <c r="AK535" s="408">
        <v>0</v>
      </c>
      <c r="AL535" s="408">
        <v>1608.9682352001332</v>
      </c>
      <c r="AM535" s="408"/>
      <c r="AN535" s="408">
        <v>394.3396513678955</v>
      </c>
      <c r="AO535" s="408">
        <v>0</v>
      </c>
      <c r="AP535" s="408">
        <v>0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>
        <v>0</v>
      </c>
      <c r="BG535" s="408">
        <v>5855.3152239645433</v>
      </c>
      <c r="BH535" s="408">
        <v>0</v>
      </c>
      <c r="BI535" s="408">
        <v>0</v>
      </c>
      <c r="BJ535" s="408">
        <v>0</v>
      </c>
      <c r="BK535" s="408">
        <v>7901.85</v>
      </c>
      <c r="BL535" s="408">
        <v>954</v>
      </c>
      <c r="BM535" s="408"/>
      <c r="BN535" s="408"/>
      <c r="BO535" s="408"/>
      <c r="BP535" s="408"/>
      <c r="BQ535" s="408"/>
      <c r="BR535" s="408">
        <v>13689.903399999994</v>
      </c>
      <c r="BS535" s="408"/>
      <c r="BT535" s="408"/>
      <c r="BU535" s="408"/>
      <c r="BV535" s="408">
        <v>48300.371426057107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100399.2136</v>
      </c>
      <c r="CJ535" s="408">
        <v>-46396.632440000001</v>
      </c>
      <c r="CK535" s="408"/>
      <c r="CL535" s="408"/>
      <c r="CM535" s="408"/>
      <c r="CN535" s="408"/>
      <c r="CO535" s="408">
        <v>-52721.694359999994</v>
      </c>
      <c r="CP535" s="408">
        <v>0</v>
      </c>
      <c r="CQ535" s="408">
        <v>31</v>
      </c>
      <c r="CR535" s="408">
        <v>-409.29982816975098</v>
      </c>
      <c r="CS535" s="408">
        <v>0</v>
      </c>
      <c r="CT535" s="408">
        <v>0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-53.413284103920887</v>
      </c>
      <c r="DA535" s="408">
        <v>0</v>
      </c>
      <c r="DB535" s="408">
        <v>0</v>
      </c>
      <c r="DC535" s="408">
        <v>-5.9505255194380879E-6</v>
      </c>
      <c r="DD535" s="408">
        <v>0</v>
      </c>
      <c r="DE535" s="408">
        <v>0</v>
      </c>
      <c r="DF535" s="408">
        <v>0</v>
      </c>
      <c r="DG535" s="408">
        <v>-8.2087353803217411E-7</v>
      </c>
      <c r="DH535" s="408">
        <v>0</v>
      </c>
      <c r="DI535" s="408">
        <v>-302.66041348420185</v>
      </c>
      <c r="DJ535" s="408"/>
      <c r="DK535" s="408">
        <v>0</v>
      </c>
      <c r="DL535" s="408">
        <v>0</v>
      </c>
      <c r="DM535" s="408">
        <v>0</v>
      </c>
      <c r="DN535" s="408">
        <v>0</v>
      </c>
      <c r="DO535" s="408">
        <v>-40.420683583522532</v>
      </c>
      <c r="DP535" s="408">
        <v>-12.805440226706082</v>
      </c>
      <c r="DQ535" s="408">
        <v>0</v>
      </c>
      <c r="DR535" s="408">
        <v>0</v>
      </c>
      <c r="DS535" s="408"/>
      <c r="DT535" s="408"/>
      <c r="DU535" s="408"/>
      <c r="DV535" s="408">
        <v>85317.929895688067</v>
      </c>
      <c r="DW535" s="408">
        <v>0</v>
      </c>
      <c r="DX535" s="408">
        <v>0</v>
      </c>
      <c r="DY535" s="408">
        <v>-52721.694359999994</v>
      </c>
      <c r="DZ535" s="408">
        <v>0</v>
      </c>
      <c r="EA535" s="408">
        <v>0</v>
      </c>
      <c r="EB535" s="408">
        <v>0</v>
      </c>
      <c r="EC535" s="408">
        <v>-52312.272518879261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0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265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542</v>
      </c>
      <c r="B536" s="408" t="s">
        <v>2230</v>
      </c>
      <c r="C536" s="408" t="s">
        <v>2227</v>
      </c>
      <c r="D536" s="408" t="s">
        <v>2237</v>
      </c>
      <c r="E536" s="408" t="s">
        <v>969</v>
      </c>
      <c r="F536" s="408" t="s">
        <v>1317</v>
      </c>
      <c r="G536" s="408" t="s">
        <v>1317</v>
      </c>
      <c r="H536" s="408" t="s">
        <v>1317</v>
      </c>
      <c r="I536" s="408" t="s">
        <v>1317</v>
      </c>
      <c r="J536" s="408" t="s">
        <v>2228</v>
      </c>
      <c r="K536" s="828">
        <v>44682</v>
      </c>
      <c r="L536" s="408">
        <v>0</v>
      </c>
      <c r="M536" s="408">
        <v>0</v>
      </c>
      <c r="N536" s="408">
        <v>-0.61499999999999999</v>
      </c>
      <c r="O536" s="408">
        <v>-0.61499999999999999</v>
      </c>
      <c r="P536" s="408">
        <v>-0.61499999999999999</v>
      </c>
      <c r="Q536" s="408">
        <v>-0.61499999999999999</v>
      </c>
      <c r="R536" s="408"/>
      <c r="S536" s="408">
        <v>739.04</v>
      </c>
      <c r="T536" s="408">
        <v>252.22</v>
      </c>
      <c r="U536" s="408"/>
      <c r="V536" s="408">
        <v>-609.62490000000003</v>
      </c>
      <c r="W536" s="408">
        <v>-609.62490000000003</v>
      </c>
      <c r="X536" s="408">
        <v>-416.95155</v>
      </c>
      <c r="Y536" s="408">
        <v>0</v>
      </c>
      <c r="Z536" s="408">
        <v>-38.039691323394749</v>
      </c>
      <c r="AA536" s="408">
        <v>0</v>
      </c>
      <c r="AB536" s="408">
        <v>0</v>
      </c>
      <c r="AC536" s="408">
        <v>0</v>
      </c>
      <c r="AD536" s="408">
        <v>-75.951012251184522</v>
      </c>
      <c r="AE536" s="408">
        <v>-311.79747858292035</v>
      </c>
      <c r="AF536" s="408">
        <v>-155.11700199832978</v>
      </c>
      <c r="AG536" s="408">
        <v>0</v>
      </c>
      <c r="AH536" s="408">
        <v>0</v>
      </c>
      <c r="AI536" s="408">
        <v>0</v>
      </c>
      <c r="AJ536" s="408">
        <v>0</v>
      </c>
      <c r="AK536" s="408">
        <v>0</v>
      </c>
      <c r="AL536" s="408">
        <v>-5.8800329481595517</v>
      </c>
      <c r="AM536" s="408"/>
      <c r="AN536" s="408">
        <v>-1.441128601597631</v>
      </c>
      <c r="AO536" s="408">
        <v>0</v>
      </c>
      <c r="AP536" s="408">
        <v>0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0</v>
      </c>
      <c r="BF536" s="408">
        <v>0</v>
      </c>
      <c r="BG536" s="408">
        <v>-21.398462496364445</v>
      </c>
      <c r="BH536" s="408">
        <v>0</v>
      </c>
      <c r="BI536" s="408">
        <v>0</v>
      </c>
      <c r="BJ536" s="408">
        <v>0</v>
      </c>
      <c r="BK536" s="408">
        <v>-7.52</v>
      </c>
      <c r="BL536" s="408">
        <v>6</v>
      </c>
      <c r="BM536" s="408"/>
      <c r="BN536" s="408"/>
      <c r="BO536" s="408"/>
      <c r="BP536" s="408"/>
      <c r="BQ536" s="408"/>
      <c r="BR536" s="408">
        <v>-50.030249999999981</v>
      </c>
      <c r="BS536" s="408"/>
      <c r="BT536" s="408"/>
      <c r="BU536" s="408"/>
      <c r="BV536" s="408">
        <v>-176.51546449469424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-369.90440000000001</v>
      </c>
      <c r="CJ536" s="408">
        <v>166.53625</v>
      </c>
      <c r="CK536" s="408"/>
      <c r="CL536" s="408"/>
      <c r="CM536" s="408"/>
      <c r="CN536" s="408"/>
      <c r="CO536" s="408">
        <v>192.67334999999997</v>
      </c>
      <c r="CP536" s="408">
        <v>0</v>
      </c>
      <c r="CQ536" s="408">
        <v>31</v>
      </c>
      <c r="CR536" s="408">
        <v>1.4958011119559274</v>
      </c>
      <c r="CS536" s="408">
        <v>0</v>
      </c>
      <c r="CT536" s="408">
        <v>0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0.19520078987848422</v>
      </c>
      <c r="DA536" s="408">
        <v>0</v>
      </c>
      <c r="DB536" s="408">
        <v>0</v>
      </c>
      <c r="DC536" s="408">
        <v>2.174641622332274E-8</v>
      </c>
      <c r="DD536" s="408">
        <v>0</v>
      </c>
      <c r="DE536" s="408">
        <v>0</v>
      </c>
      <c r="DF536" s="408">
        <v>0</v>
      </c>
      <c r="DG536" s="408">
        <v>2.999911430379143E-9</v>
      </c>
      <c r="DH536" s="408">
        <v>0</v>
      </c>
      <c r="DI536" s="408">
        <v>1.1060834915546565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0.14771885861915823</v>
      </c>
      <c r="DP536" s="408">
        <v>4.6797947157330766E-2</v>
      </c>
      <c r="DQ536" s="408">
        <v>0</v>
      </c>
      <c r="DR536" s="408">
        <v>0</v>
      </c>
      <c r="DS536" s="408"/>
      <c r="DT536" s="408"/>
      <c r="DU536" s="408"/>
      <c r="DV536" s="408">
        <v>-311.79747858292035</v>
      </c>
      <c r="DW536" s="408">
        <v>0</v>
      </c>
      <c r="DX536" s="408">
        <v>0</v>
      </c>
      <c r="DY536" s="408">
        <v>192.67334999999997</v>
      </c>
      <c r="DZ536" s="408">
        <v>0</v>
      </c>
      <c r="EA536" s="408">
        <v>0</v>
      </c>
      <c r="EB536" s="408">
        <v>0</v>
      </c>
      <c r="EC536" s="408">
        <v>191.17710298727599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265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543</v>
      </c>
      <c r="B537" s="408" t="s">
        <v>2230</v>
      </c>
      <c r="C537" s="408" t="s">
        <v>2239</v>
      </c>
      <c r="D537" s="408" t="s">
        <v>596</v>
      </c>
      <c r="E537" s="408" t="s">
        <v>969</v>
      </c>
      <c r="F537" s="408" t="s">
        <v>1317</v>
      </c>
      <c r="G537" s="408" t="s">
        <v>1317</v>
      </c>
      <c r="H537" s="408" t="s">
        <v>1317</v>
      </c>
      <c r="I537" s="408" t="s">
        <v>968</v>
      </c>
      <c r="J537" s="408" t="s">
        <v>2228</v>
      </c>
      <c r="K537" s="828">
        <v>44682</v>
      </c>
      <c r="L537" s="408">
        <v>80</v>
      </c>
      <c r="M537" s="408">
        <v>76.8</v>
      </c>
      <c r="N537" s="408">
        <v>1.125</v>
      </c>
      <c r="O537" s="408">
        <v>1.08</v>
      </c>
      <c r="P537" s="408">
        <v>1.125</v>
      </c>
      <c r="Q537" s="408">
        <v>1.08</v>
      </c>
      <c r="R537" s="408">
        <v>106.38</v>
      </c>
      <c r="S537" s="408">
        <v>81.2</v>
      </c>
      <c r="T537" s="408">
        <v>252.22</v>
      </c>
      <c r="U537" s="408">
        <v>8510.4</v>
      </c>
      <c r="V537" s="408">
        <v>375.09750000000003</v>
      </c>
      <c r="W537" s="408">
        <v>8885.4974999999995</v>
      </c>
      <c r="X537" s="408">
        <v>4977.7825000000003</v>
      </c>
      <c r="Y537" s="408">
        <v>0</v>
      </c>
      <c r="Z537" s="408">
        <v>60.538777045158717</v>
      </c>
      <c r="AA537" s="408">
        <v>0</v>
      </c>
      <c r="AB537" s="408">
        <v>0</v>
      </c>
      <c r="AC537" s="408">
        <v>0</v>
      </c>
      <c r="AD537" s="408">
        <v>2150.1532691333118</v>
      </c>
      <c r="AE537" s="408">
        <v>6360.4001695067918</v>
      </c>
      <c r="AF537" s="408">
        <v>283.75061341157891</v>
      </c>
      <c r="AG537" s="408">
        <v>0</v>
      </c>
      <c r="AH537" s="408">
        <v>0</v>
      </c>
      <c r="AI537" s="408">
        <v>0</v>
      </c>
      <c r="AJ537" s="408">
        <v>0</v>
      </c>
      <c r="AK537" s="408">
        <v>0</v>
      </c>
      <c r="AL537" s="408">
        <v>10.756157831999179</v>
      </c>
      <c r="AM537" s="408"/>
      <c r="AN537" s="408">
        <v>2.7066444048438187</v>
      </c>
      <c r="AO537" s="408">
        <v>0</v>
      </c>
      <c r="AP537" s="408">
        <v>0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0</v>
      </c>
      <c r="BF537" s="408">
        <v>0</v>
      </c>
      <c r="BG537" s="408">
        <v>17.350696431491851</v>
      </c>
      <c r="BH537" s="408">
        <v>0</v>
      </c>
      <c r="BI537" s="408">
        <v>0</v>
      </c>
      <c r="BJ537" s="408">
        <v>0</v>
      </c>
      <c r="BK537" s="408">
        <v>0</v>
      </c>
      <c r="BL537" s="408">
        <v>0</v>
      </c>
      <c r="BM537" s="408"/>
      <c r="BN537" s="408"/>
      <c r="BO537" s="408"/>
      <c r="BP537" s="408"/>
      <c r="BQ537" s="408"/>
      <c r="BR537" s="408">
        <v>199.11130000000017</v>
      </c>
      <c r="BS537" s="408"/>
      <c r="BT537" s="408"/>
      <c r="BU537" s="408"/>
      <c r="BV537" s="408">
        <v>301.10130984307074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4778.6712000000007</v>
      </c>
      <c r="CJ537" s="408">
        <v>-3751.4364000000005</v>
      </c>
      <c r="CK537" s="408"/>
      <c r="CL537" s="408"/>
      <c r="CM537" s="408"/>
      <c r="CN537" s="408"/>
      <c r="CO537" s="408">
        <v>-3907.7149999999997</v>
      </c>
      <c r="CP537" s="408">
        <v>0</v>
      </c>
      <c r="CQ537" s="408">
        <v>31</v>
      </c>
      <c r="CR537" s="408">
        <v>-7.6444853233970207</v>
      </c>
      <c r="CS537" s="408">
        <v>0</v>
      </c>
      <c r="CT537" s="408">
        <v>0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-5.5260832483277227</v>
      </c>
      <c r="DA537" s="408">
        <v>0</v>
      </c>
      <c r="DB537" s="408">
        <v>0</v>
      </c>
      <c r="DC537" s="408">
        <v>-3.9780047700332943E-8</v>
      </c>
      <c r="DD537" s="408">
        <v>0</v>
      </c>
      <c r="DE537" s="408">
        <v>0</v>
      </c>
      <c r="DF537" s="408">
        <v>0</v>
      </c>
      <c r="DG537" s="408">
        <v>-2.4324755543148058E-9</v>
      </c>
      <c r="DH537" s="408">
        <v>0</v>
      </c>
      <c r="DI537" s="408">
        <v>-1.7602914103400309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-0.27021742430333795</v>
      </c>
      <c r="DP537" s="408">
        <v>-8.7893198213647494E-2</v>
      </c>
      <c r="DQ537" s="408">
        <v>0</v>
      </c>
      <c r="DR537" s="408">
        <v>0</v>
      </c>
      <c r="DS537" s="408"/>
      <c r="DT537" s="408"/>
      <c r="DU537" s="408">
        <v>6360.4001695067918</v>
      </c>
      <c r="DV537" s="408">
        <v>0</v>
      </c>
      <c r="DW537" s="408">
        <v>0</v>
      </c>
      <c r="DX537" s="408">
        <v>0</v>
      </c>
      <c r="DY537" s="408">
        <v>-3907.7150000000001</v>
      </c>
      <c r="DZ537" s="408">
        <v>0</v>
      </c>
      <c r="EA537" s="408">
        <v>0</v>
      </c>
      <c r="EB537" s="408">
        <v>0</v>
      </c>
      <c r="EC537" s="408">
        <v>-3899.848336723192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265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544</v>
      </c>
      <c r="B538" s="408" t="s">
        <v>2230</v>
      </c>
      <c r="C538" s="408" t="s">
        <v>2239</v>
      </c>
      <c r="D538" s="408" t="s">
        <v>596</v>
      </c>
      <c r="E538" s="408" t="s">
        <v>969</v>
      </c>
      <c r="F538" s="408" t="s">
        <v>1317</v>
      </c>
      <c r="G538" s="408" t="s">
        <v>1317</v>
      </c>
      <c r="H538" s="408" t="s">
        <v>1317</v>
      </c>
      <c r="I538" s="408" t="s">
        <v>2236</v>
      </c>
      <c r="J538" s="408" t="s">
        <v>2228</v>
      </c>
      <c r="K538" s="828">
        <v>44682</v>
      </c>
      <c r="L538" s="408">
        <v>93</v>
      </c>
      <c r="M538" s="408">
        <v>89.28</v>
      </c>
      <c r="N538" s="408">
        <v>10.872999999999999</v>
      </c>
      <c r="O538" s="408">
        <v>10.438079999999999</v>
      </c>
      <c r="P538" s="408">
        <v>10.872999999999999</v>
      </c>
      <c r="Q538" s="408">
        <v>10.438079999999999</v>
      </c>
      <c r="R538" s="408">
        <v>74.44</v>
      </c>
      <c r="S538" s="408">
        <v>81.2</v>
      </c>
      <c r="T538" s="408">
        <v>252.22</v>
      </c>
      <c r="U538" s="408">
        <v>6922.92</v>
      </c>
      <c r="V538" s="408">
        <v>3625.2756599999998</v>
      </c>
      <c r="W538" s="408">
        <v>10548.195659999999</v>
      </c>
      <c r="X538" s="408">
        <v>7828.8944200000005</v>
      </c>
      <c r="Y538" s="408">
        <v>0</v>
      </c>
      <c r="Z538" s="408">
        <v>585.10055361067612</v>
      </c>
      <c r="AA538" s="408">
        <v>0</v>
      </c>
      <c r="AB538" s="408">
        <v>0</v>
      </c>
      <c r="AC538" s="408">
        <v>0</v>
      </c>
      <c r="AD538" s="408">
        <v>2531.1896053320174</v>
      </c>
      <c r="AE538" s="408">
        <v>4391.6030278785729</v>
      </c>
      <c r="AF538" s="408">
        <v>2742.4181507769749</v>
      </c>
      <c r="AG538" s="408">
        <v>0</v>
      </c>
      <c r="AH538" s="408">
        <v>0</v>
      </c>
      <c r="AI538" s="408">
        <v>0</v>
      </c>
      <c r="AJ538" s="408">
        <v>0</v>
      </c>
      <c r="AK538" s="408">
        <v>0</v>
      </c>
      <c r="AL538" s="408">
        <v>103.95707031762406</v>
      </c>
      <c r="AM538" s="408"/>
      <c r="AN538" s="408">
        <v>26.159417434548299</v>
      </c>
      <c r="AO538" s="408">
        <v>0</v>
      </c>
      <c r="AP538" s="408">
        <v>0</v>
      </c>
      <c r="AQ538" s="408">
        <v>0</v>
      </c>
      <c r="AR538" s="408">
        <v>0</v>
      </c>
      <c r="AS538" s="408">
        <v>0</v>
      </c>
      <c r="AT538" s="408">
        <v>0</v>
      </c>
      <c r="AU538" s="408">
        <v>0</v>
      </c>
      <c r="AV538" s="408">
        <v>0</v>
      </c>
      <c r="AW538" s="408">
        <v>0</v>
      </c>
      <c r="AX538" s="408">
        <v>0</v>
      </c>
      <c r="AY538" s="408">
        <v>0</v>
      </c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0</v>
      </c>
      <c r="BF538" s="408">
        <v>0</v>
      </c>
      <c r="BG538" s="408">
        <v>167.69255315520965</v>
      </c>
      <c r="BH538" s="408">
        <v>0</v>
      </c>
      <c r="BI538" s="408">
        <v>0</v>
      </c>
      <c r="BJ538" s="408">
        <v>0</v>
      </c>
      <c r="BK538" s="408">
        <v>0</v>
      </c>
      <c r="BL538" s="408">
        <v>0</v>
      </c>
      <c r="BM538" s="408"/>
      <c r="BN538" s="408"/>
      <c r="BO538" s="408"/>
      <c r="BP538" s="408"/>
      <c r="BQ538" s="408"/>
      <c r="BR538" s="408">
        <v>313.15577679999996</v>
      </c>
      <c r="BS538" s="408"/>
      <c r="BT538" s="408"/>
      <c r="BU538" s="408"/>
      <c r="BV538" s="408">
        <v>2910.1107039321846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7516.3752000000004</v>
      </c>
      <c r="CJ538" s="408">
        <v>-2609.9226335999992</v>
      </c>
      <c r="CK538" s="408"/>
      <c r="CL538" s="408"/>
      <c r="CM538" s="408"/>
      <c r="CN538" s="408"/>
      <c r="CO538" s="408">
        <v>-2719.3012399999998</v>
      </c>
      <c r="CP538" s="408">
        <v>0</v>
      </c>
      <c r="CQ538" s="408">
        <v>31</v>
      </c>
      <c r="CR538" s="408">
        <v>-26.979500864697002</v>
      </c>
      <c r="CS538" s="408">
        <v>0</v>
      </c>
      <c r="CT538" s="408">
        <v>0</v>
      </c>
      <c r="CU538" s="408">
        <v>0</v>
      </c>
      <c r="CV538" s="408">
        <v>0</v>
      </c>
      <c r="CW538" s="408">
        <v>0</v>
      </c>
      <c r="CX538" s="408">
        <v>0</v>
      </c>
      <c r="CY538" s="408">
        <v>0</v>
      </c>
      <c r="CZ538" s="408">
        <v>-6.5053801871586074</v>
      </c>
      <c r="DA538" s="408">
        <v>0</v>
      </c>
      <c r="DB538" s="408">
        <v>0</v>
      </c>
      <c r="DC538" s="408">
        <v>-3.8446933103841729E-7</v>
      </c>
      <c r="DD538" s="408">
        <v>0</v>
      </c>
      <c r="DE538" s="408">
        <v>0</v>
      </c>
      <c r="DF538" s="408">
        <v>0</v>
      </c>
      <c r="DG538" s="408">
        <v>-2.3509585389547283E-8</v>
      </c>
      <c r="DH538" s="408">
        <v>0</v>
      </c>
      <c r="DI538" s="408">
        <v>-17.013020893001908</v>
      </c>
      <c r="DJ538" s="408"/>
      <c r="DK538" s="408">
        <v>0</v>
      </c>
      <c r="DL538" s="408">
        <v>0</v>
      </c>
      <c r="DM538" s="408">
        <v>0</v>
      </c>
      <c r="DN538" s="408">
        <v>0</v>
      </c>
      <c r="DO538" s="408">
        <v>-2.6116213817334994</v>
      </c>
      <c r="DP538" s="408">
        <v>-0.84947799482398523</v>
      </c>
      <c r="DQ538" s="408">
        <v>0</v>
      </c>
      <c r="DR538" s="408">
        <v>0</v>
      </c>
      <c r="DS538" s="408"/>
      <c r="DT538" s="408"/>
      <c r="DU538" s="408">
        <v>4391.6030278785729</v>
      </c>
      <c r="DV538" s="408">
        <v>0</v>
      </c>
      <c r="DW538" s="408">
        <v>0</v>
      </c>
      <c r="DX538" s="408">
        <v>0</v>
      </c>
      <c r="DY538" s="408">
        <v>-2719.3012399999998</v>
      </c>
      <c r="DZ538" s="408">
        <v>0</v>
      </c>
      <c r="EA538" s="408">
        <v>0</v>
      </c>
      <c r="EB538" s="408">
        <v>0</v>
      </c>
      <c r="EC538" s="408">
        <v>-2692.6899734909089</v>
      </c>
      <c r="ED538" s="408">
        <v>0</v>
      </c>
      <c r="EE538" s="408">
        <v>0</v>
      </c>
      <c r="EF538" s="408">
        <v>0</v>
      </c>
      <c r="EG538" s="408">
        <v>0</v>
      </c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>
        <v>0</v>
      </c>
      <c r="EN538" s="408">
        <v>0</v>
      </c>
      <c r="EO538" s="408">
        <v>0</v>
      </c>
      <c r="EP538" s="408">
        <v>0</v>
      </c>
      <c r="EQ538" s="408">
        <v>0</v>
      </c>
      <c r="ER538" s="408">
        <v>0</v>
      </c>
      <c r="ES538" s="408">
        <v>0</v>
      </c>
      <c r="ET538" s="408">
        <v>0</v>
      </c>
      <c r="EU538" s="408">
        <v>0</v>
      </c>
      <c r="EV538" s="408">
        <v>265</v>
      </c>
      <c r="EW538" s="408">
        <v>0</v>
      </c>
      <c r="EX538" s="408">
        <v>0</v>
      </c>
      <c r="EY538" s="408">
        <v>0</v>
      </c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545</v>
      </c>
      <c r="B539" s="408" t="s">
        <v>2230</v>
      </c>
      <c r="C539" s="408" t="s">
        <v>2239</v>
      </c>
      <c r="D539" s="408" t="s">
        <v>596</v>
      </c>
      <c r="E539" s="408" t="s">
        <v>969</v>
      </c>
      <c r="F539" s="408" t="s">
        <v>1317</v>
      </c>
      <c r="G539" s="408" t="s">
        <v>1317</v>
      </c>
      <c r="H539" s="408" t="s">
        <v>1317</v>
      </c>
      <c r="I539" s="408" t="s">
        <v>1317</v>
      </c>
      <c r="J539" s="408" t="s">
        <v>2228</v>
      </c>
      <c r="K539" s="828">
        <v>44682</v>
      </c>
      <c r="L539" s="408">
        <v>0</v>
      </c>
      <c r="M539" s="408">
        <v>0</v>
      </c>
      <c r="N539" s="408">
        <v>0</v>
      </c>
      <c r="O539" s="408">
        <v>0</v>
      </c>
      <c r="P539" s="408">
        <v>0</v>
      </c>
      <c r="Q539" s="408">
        <v>0</v>
      </c>
      <c r="R539" s="408"/>
      <c r="S539" s="408"/>
      <c r="T539" s="408"/>
      <c r="U539" s="408"/>
      <c r="V539" s="408"/>
      <c r="W539" s="408"/>
      <c r="X539" s="408"/>
      <c r="Y539" s="408"/>
      <c r="Z539" s="408"/>
      <c r="AA539" s="408">
        <v>0</v>
      </c>
      <c r="AB539" s="408"/>
      <c r="AC539" s="408"/>
      <c r="AD539" s="408"/>
      <c r="AE539" s="408"/>
      <c r="AF539" s="408"/>
      <c r="AG539" s="408"/>
      <c r="AH539" s="408"/>
      <c r="AI539" s="408"/>
      <c r="AJ539" s="408"/>
      <c r="AK539" s="408"/>
      <c r="AL539" s="408"/>
      <c r="AM539" s="408"/>
      <c r="AN539" s="408"/>
      <c r="AO539" s="408"/>
      <c r="AP539" s="408"/>
      <c r="AQ539" s="408"/>
      <c r="AR539" s="408"/>
      <c r="AS539" s="408"/>
      <c r="AT539" s="408"/>
      <c r="AU539" s="408"/>
      <c r="AV539" s="408"/>
      <c r="AW539" s="408"/>
      <c r="AX539" s="408"/>
      <c r="AY539" s="408"/>
      <c r="AZ539" s="408">
        <v>0</v>
      </c>
      <c r="BA539" s="408"/>
      <c r="BB539" s="408"/>
      <c r="BC539" s="408"/>
      <c r="BD539" s="408"/>
      <c r="BE539" s="408"/>
      <c r="BF539" s="408"/>
      <c r="BG539" s="408"/>
      <c r="BH539" s="408"/>
      <c r="BI539" s="408">
        <v>0</v>
      </c>
      <c r="BJ539" s="408">
        <v>0</v>
      </c>
      <c r="BK539" s="408">
        <v>544.36</v>
      </c>
      <c r="BL539" s="408">
        <v>1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/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/>
      <c r="CJ539" s="408">
        <v>-0.03</v>
      </c>
      <c r="CK539" s="408"/>
      <c r="CL539" s="408"/>
      <c r="CM539" s="408"/>
      <c r="CN539" s="408"/>
      <c r="CO539" s="408">
        <v>0</v>
      </c>
      <c r="CP539" s="408">
        <v>0</v>
      </c>
      <c r="CQ539" s="408">
        <v>31</v>
      </c>
      <c r="CR539" s="408"/>
      <c r="CS539" s="408"/>
      <c r="CT539" s="408"/>
      <c r="CU539" s="408"/>
      <c r="CV539" s="408"/>
      <c r="CW539" s="408"/>
      <c r="CX539" s="408"/>
      <c r="CY539" s="408"/>
      <c r="CZ539" s="408"/>
      <c r="DA539" s="408"/>
      <c r="DB539" s="408"/>
      <c r="DC539" s="408"/>
      <c r="DD539" s="408"/>
      <c r="DE539" s="408"/>
      <c r="DF539" s="408"/>
      <c r="DG539" s="408"/>
      <c r="DH539" s="408"/>
      <c r="DI539" s="408"/>
      <c r="DJ539" s="408"/>
      <c r="DK539" s="408">
        <v>0</v>
      </c>
      <c r="DL539" s="408"/>
      <c r="DM539" s="408"/>
      <c r="DN539" s="408"/>
      <c r="DO539" s="408"/>
      <c r="DP539" s="408"/>
      <c r="DQ539" s="408"/>
      <c r="DR539" s="408"/>
      <c r="DS539" s="408"/>
      <c r="DT539" s="408"/>
      <c r="DU539" s="408"/>
      <c r="DV539" s="408"/>
      <c r="DW539" s="408"/>
      <c r="DX539" s="408"/>
      <c r="DY539" s="408"/>
      <c r="DZ539" s="408"/>
      <c r="EA539" s="408"/>
      <c r="EB539" s="408"/>
      <c r="EC539" s="408"/>
      <c r="ED539" s="408"/>
      <c r="EE539" s="408"/>
      <c r="EF539" s="408"/>
      <c r="EG539" s="408"/>
      <c r="EH539" s="408"/>
      <c r="EI539" s="408"/>
      <c r="EJ539" s="408"/>
      <c r="EK539" s="408"/>
      <c r="EL539" s="408"/>
      <c r="EM539" s="408"/>
      <c r="EN539" s="408"/>
      <c r="EO539" s="408"/>
      <c r="EP539" s="408"/>
      <c r="EQ539" s="408"/>
      <c r="ER539" s="408"/>
      <c r="ES539" s="408"/>
      <c r="ET539" s="408"/>
      <c r="EU539" s="408"/>
      <c r="EV539" s="408">
        <v>265</v>
      </c>
      <c r="EW539" s="408"/>
      <c r="EX539" s="408"/>
      <c r="EY539" s="408"/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546</v>
      </c>
      <c r="B540" s="408" t="s">
        <v>1031</v>
      </c>
      <c r="C540" s="408" t="s">
        <v>2235</v>
      </c>
      <c r="D540" s="408" t="s">
        <v>596</v>
      </c>
      <c r="E540" s="408" t="s">
        <v>969</v>
      </c>
      <c r="F540" s="408" t="s">
        <v>1317</v>
      </c>
      <c r="G540" s="408" t="s">
        <v>1317</v>
      </c>
      <c r="H540" s="408" t="s">
        <v>1317</v>
      </c>
      <c r="I540" s="408" t="s">
        <v>968</v>
      </c>
      <c r="J540" s="408" t="s">
        <v>2228</v>
      </c>
      <c r="K540" s="828">
        <v>44682</v>
      </c>
      <c r="L540" s="408">
        <v>0</v>
      </c>
      <c r="M540" s="408">
        <v>0</v>
      </c>
      <c r="N540" s="408">
        <v>5.03</v>
      </c>
      <c r="O540" s="408">
        <v>4.8288000000000002</v>
      </c>
      <c r="P540" s="408">
        <v>5.03</v>
      </c>
      <c r="Q540" s="408">
        <v>4.8288000000000002</v>
      </c>
      <c r="R540" s="408"/>
      <c r="S540" s="408">
        <v>2641.06</v>
      </c>
      <c r="T540" s="408">
        <v>252.22</v>
      </c>
      <c r="U540" s="408"/>
      <c r="V540" s="408">
        <v>14553.198400000001</v>
      </c>
      <c r="W540" s="408">
        <v>14553.198400000001</v>
      </c>
      <c r="X540" s="408">
        <v>8638.2201999999997</v>
      </c>
      <c r="Y540" s="408">
        <v>0</v>
      </c>
      <c r="Z540" s="408">
        <v>270.67559869968744</v>
      </c>
      <c r="AA540" s="408">
        <v>0</v>
      </c>
      <c r="AB540" s="408">
        <v>0</v>
      </c>
      <c r="AC540" s="408">
        <v>0</v>
      </c>
      <c r="AD540" s="408">
        <v>3258.2679624123621</v>
      </c>
      <c r="AE540" s="408">
        <v>9617.814413722208</v>
      </c>
      <c r="AF540" s="408">
        <v>1268.6805204091038</v>
      </c>
      <c r="AG540" s="408">
        <v>0</v>
      </c>
      <c r="AH540" s="408">
        <v>0</v>
      </c>
      <c r="AI540" s="408">
        <v>0</v>
      </c>
      <c r="AJ540" s="408">
        <v>0</v>
      </c>
      <c r="AK540" s="408">
        <v>0</v>
      </c>
      <c r="AL540" s="408">
        <v>48.091976795516331</v>
      </c>
      <c r="AM540" s="408"/>
      <c r="AN540" s="408">
        <v>12.101707872323919</v>
      </c>
      <c r="AO540" s="408">
        <v>0</v>
      </c>
      <c r="AP540" s="408">
        <v>0</v>
      </c>
      <c r="AQ540" s="408">
        <v>0</v>
      </c>
      <c r="AR540" s="408">
        <v>0</v>
      </c>
      <c r="AS540" s="408">
        <v>0</v>
      </c>
      <c r="AT540" s="408">
        <v>0</v>
      </c>
      <c r="AU540" s="408">
        <v>0</v>
      </c>
      <c r="AV540" s="408">
        <v>0</v>
      </c>
      <c r="AW540" s="408">
        <v>0</v>
      </c>
      <c r="AX540" s="408">
        <v>0</v>
      </c>
      <c r="AY540" s="408">
        <v>0</v>
      </c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0</v>
      </c>
      <c r="BF540" s="408">
        <v>0</v>
      </c>
      <c r="BG540" s="408">
        <v>77.576891600359119</v>
      </c>
      <c r="BH540" s="408">
        <v>0</v>
      </c>
      <c r="BI540" s="408">
        <v>0</v>
      </c>
      <c r="BJ540" s="408">
        <v>0</v>
      </c>
      <c r="BK540" s="408">
        <v>0</v>
      </c>
      <c r="BL540" s="408">
        <v>0</v>
      </c>
      <c r="BM540" s="408"/>
      <c r="BN540" s="408"/>
      <c r="BO540" s="408"/>
      <c r="BP540" s="408"/>
      <c r="BQ540" s="408"/>
      <c r="BR540" s="408">
        <v>345.52880800000003</v>
      </c>
      <c r="BS540" s="408"/>
      <c r="BT540" s="408"/>
      <c r="BU540" s="408"/>
      <c r="BV540" s="408">
        <v>1346.257412009463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8294.752199999999</v>
      </c>
      <c r="CJ540" s="408">
        <v>-5676.348264000002</v>
      </c>
      <c r="CK540" s="408"/>
      <c r="CL540" s="408"/>
      <c r="CM540" s="408"/>
      <c r="CN540" s="408"/>
      <c r="CO540" s="408">
        <v>-5914.9782000000005</v>
      </c>
      <c r="CP540" s="408">
        <v>0</v>
      </c>
      <c r="CQ540" s="408">
        <v>31</v>
      </c>
      <c r="CR540" s="408">
        <v>-17.845646648428556</v>
      </c>
      <c r="CS540" s="408">
        <v>0</v>
      </c>
      <c r="CT540" s="408">
        <v>0</v>
      </c>
      <c r="CU540" s="408">
        <v>0</v>
      </c>
      <c r="CV540" s="408">
        <v>0</v>
      </c>
      <c r="CW540" s="408">
        <v>0</v>
      </c>
      <c r="CX540" s="408">
        <v>0</v>
      </c>
      <c r="CY540" s="408">
        <v>0</v>
      </c>
      <c r="CZ540" s="408">
        <v>-8.3740355927839119</v>
      </c>
      <c r="DA540" s="408">
        <v>0</v>
      </c>
      <c r="DB540" s="408">
        <v>0</v>
      </c>
      <c r="DC540" s="408">
        <v>-1.7786078387871385E-7</v>
      </c>
      <c r="DD540" s="408">
        <v>0</v>
      </c>
      <c r="DE540" s="408">
        <v>0</v>
      </c>
      <c r="DF540" s="408">
        <v>0</v>
      </c>
      <c r="DG540" s="408">
        <v>-1.0875865541493113E-8</v>
      </c>
      <c r="DH540" s="408">
        <v>0</v>
      </c>
      <c r="DI540" s="408">
        <v>-7.8704584835647893</v>
      </c>
      <c r="DJ540" s="408"/>
      <c r="DK540" s="408">
        <v>0</v>
      </c>
      <c r="DL540" s="408">
        <v>0</v>
      </c>
      <c r="DM540" s="408">
        <v>0</v>
      </c>
      <c r="DN540" s="408">
        <v>0</v>
      </c>
      <c r="DO540" s="408">
        <v>-1.2081721282184787</v>
      </c>
      <c r="DP540" s="408">
        <v>-0.39298025512412949</v>
      </c>
      <c r="DQ540" s="408">
        <v>0</v>
      </c>
      <c r="DR540" s="408">
        <v>0</v>
      </c>
      <c r="DS540" s="408"/>
      <c r="DT540" s="408"/>
      <c r="DU540" s="408"/>
      <c r="DV540" s="408">
        <v>9617.814413722208</v>
      </c>
      <c r="DW540" s="408">
        <v>0</v>
      </c>
      <c r="DX540" s="408">
        <v>0</v>
      </c>
      <c r="DY540" s="408">
        <v>-5914.9782000000005</v>
      </c>
      <c r="DZ540" s="408">
        <v>0</v>
      </c>
      <c r="EA540" s="408">
        <v>0</v>
      </c>
      <c r="EB540" s="408">
        <v>0</v>
      </c>
      <c r="EC540" s="408">
        <v>-5897.115990293958</v>
      </c>
      <c r="ED540" s="408">
        <v>0</v>
      </c>
      <c r="EE540" s="408">
        <v>0</v>
      </c>
      <c r="EF540" s="408">
        <v>0</v>
      </c>
      <c r="EG540" s="408">
        <v>0</v>
      </c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>
        <v>0</v>
      </c>
      <c r="EN540" s="408">
        <v>0</v>
      </c>
      <c r="EO540" s="408">
        <v>0</v>
      </c>
      <c r="EP540" s="408">
        <v>0</v>
      </c>
      <c r="EQ540" s="408">
        <v>0</v>
      </c>
      <c r="ER540" s="408">
        <v>0</v>
      </c>
      <c r="ES540" s="408">
        <v>0</v>
      </c>
      <c r="ET540" s="408">
        <v>0</v>
      </c>
      <c r="EU540" s="408">
        <v>0</v>
      </c>
      <c r="EV540" s="408">
        <v>265</v>
      </c>
      <c r="EW540" s="408">
        <v>0</v>
      </c>
      <c r="EX540" s="408">
        <v>0</v>
      </c>
      <c r="EY540" s="408">
        <v>0</v>
      </c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547</v>
      </c>
      <c r="B541" s="408" t="s">
        <v>2230</v>
      </c>
      <c r="C541" s="408" t="s">
        <v>2235</v>
      </c>
      <c r="D541" s="408" t="s">
        <v>596</v>
      </c>
      <c r="E541" s="408" t="s">
        <v>969</v>
      </c>
      <c r="F541" s="408" t="s">
        <v>1317</v>
      </c>
      <c r="G541" s="408" t="s">
        <v>1317</v>
      </c>
      <c r="H541" s="408" t="s">
        <v>1317</v>
      </c>
      <c r="I541" s="408" t="s">
        <v>968</v>
      </c>
      <c r="J541" s="408" t="s">
        <v>2228</v>
      </c>
      <c r="K541" s="828">
        <v>44682</v>
      </c>
      <c r="L541" s="408">
        <v>0</v>
      </c>
      <c r="M541" s="408">
        <v>0</v>
      </c>
      <c r="N541" s="408">
        <v>2.157</v>
      </c>
      <c r="O541" s="408">
        <v>2.0707200000000001</v>
      </c>
      <c r="P541" s="408">
        <v>2.157</v>
      </c>
      <c r="Q541" s="408">
        <v>2.0707200000000001</v>
      </c>
      <c r="R541" s="408"/>
      <c r="S541" s="408">
        <v>2641.06</v>
      </c>
      <c r="T541" s="408">
        <v>252.22</v>
      </c>
      <c r="U541" s="408"/>
      <c r="V541" s="408">
        <v>6240.8049599999995</v>
      </c>
      <c r="W541" s="408">
        <v>6240.8049599999995</v>
      </c>
      <c r="X541" s="408">
        <v>3704.3023799999996</v>
      </c>
      <c r="Y541" s="408">
        <v>0</v>
      </c>
      <c r="Z541" s="408">
        <v>116.07301518791765</v>
      </c>
      <c r="AA541" s="408">
        <v>0</v>
      </c>
      <c r="AB541" s="408">
        <v>0</v>
      </c>
      <c r="AC541" s="408">
        <v>0</v>
      </c>
      <c r="AD541" s="408">
        <v>1397.2333985931341</v>
      </c>
      <c r="AE541" s="408">
        <v>4124.3788648904174</v>
      </c>
      <c r="AF541" s="408">
        <v>544.04450944780058</v>
      </c>
      <c r="AG541" s="408">
        <v>0</v>
      </c>
      <c r="AH541" s="408">
        <v>0</v>
      </c>
      <c r="AI541" s="408">
        <v>0</v>
      </c>
      <c r="AJ541" s="408">
        <v>0</v>
      </c>
      <c r="AK541" s="408">
        <v>0</v>
      </c>
      <c r="AL541" s="408">
        <v>20.623139949886426</v>
      </c>
      <c r="AM541" s="408"/>
      <c r="AN541" s="408">
        <v>5.1895395388872148</v>
      </c>
      <c r="AO541" s="408">
        <v>0</v>
      </c>
      <c r="AP541" s="408">
        <v>0</v>
      </c>
      <c r="AQ541" s="408">
        <v>0</v>
      </c>
      <c r="AR541" s="408">
        <v>0</v>
      </c>
      <c r="AS541" s="408">
        <v>0</v>
      </c>
      <c r="AT541" s="408">
        <v>0</v>
      </c>
      <c r="AU541" s="408">
        <v>0</v>
      </c>
      <c r="AV541" s="408">
        <v>0</v>
      </c>
      <c r="AW541" s="408">
        <v>0</v>
      </c>
      <c r="AX541" s="408">
        <v>0</v>
      </c>
      <c r="AY541" s="408">
        <v>0</v>
      </c>
      <c r="AZ541" s="408">
        <v>0</v>
      </c>
      <c r="BA541" s="408"/>
      <c r="BB541" s="408">
        <v>0</v>
      </c>
      <c r="BC541" s="408">
        <v>0</v>
      </c>
      <c r="BD541" s="408">
        <v>0</v>
      </c>
      <c r="BE541" s="408">
        <v>0</v>
      </c>
      <c r="BF541" s="408">
        <v>0</v>
      </c>
      <c r="BG541" s="408">
        <v>33.267068624647038</v>
      </c>
      <c r="BH541" s="408">
        <v>0</v>
      </c>
      <c r="BI541" s="408">
        <v>0</v>
      </c>
      <c r="BJ541" s="408">
        <v>0</v>
      </c>
      <c r="BK541" s="408">
        <v>0</v>
      </c>
      <c r="BL541" s="408">
        <v>0</v>
      </c>
      <c r="BM541" s="408"/>
      <c r="BN541" s="408"/>
      <c r="BO541" s="408"/>
      <c r="BP541" s="408"/>
      <c r="BQ541" s="408"/>
      <c r="BR541" s="408">
        <v>148.17209519999983</v>
      </c>
      <c r="BS541" s="408"/>
      <c r="BT541" s="408"/>
      <c r="BU541" s="408"/>
      <c r="BV541" s="408">
        <v>577.31157807244767</v>
      </c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>
        <v>3554.8937999999998</v>
      </c>
      <c r="CJ541" s="408">
        <v>-2436.3089616000007</v>
      </c>
      <c r="CK541" s="408"/>
      <c r="CL541" s="408"/>
      <c r="CM541" s="408"/>
      <c r="CN541" s="408"/>
      <c r="CO541" s="408">
        <v>-2536.5025800000003</v>
      </c>
      <c r="CP541" s="408">
        <v>0</v>
      </c>
      <c r="CQ541" s="408">
        <v>31</v>
      </c>
      <c r="CR541" s="408">
        <v>-7.652695789396148</v>
      </c>
      <c r="CS541" s="408">
        <v>0</v>
      </c>
      <c r="CT541" s="408">
        <v>0</v>
      </c>
      <c r="CU541" s="408">
        <v>0</v>
      </c>
      <c r="CV541" s="408">
        <v>0</v>
      </c>
      <c r="CW541" s="408">
        <v>0</v>
      </c>
      <c r="CX541" s="408">
        <v>0</v>
      </c>
      <c r="CY541" s="408">
        <v>0</v>
      </c>
      <c r="CZ541" s="408">
        <v>-3.5910128774621626</v>
      </c>
      <c r="DA541" s="408">
        <v>0</v>
      </c>
      <c r="DB541" s="408">
        <v>0</v>
      </c>
      <c r="DC541" s="408">
        <v>-7.6271589932730421E-8</v>
      </c>
      <c r="DD541" s="408">
        <v>0</v>
      </c>
      <c r="DE541" s="408">
        <v>0</v>
      </c>
      <c r="DF541" s="408">
        <v>0</v>
      </c>
      <c r="DG541" s="408">
        <v>-4.6638604089821456E-9</v>
      </c>
      <c r="DH541" s="408">
        <v>0</v>
      </c>
      <c r="DI541" s="408">
        <v>-3.3750653974252884</v>
      </c>
      <c r="DJ541" s="408"/>
      <c r="DK541" s="408">
        <v>0</v>
      </c>
      <c r="DL541" s="408">
        <v>0</v>
      </c>
      <c r="DM541" s="408">
        <v>0</v>
      </c>
      <c r="DN541" s="408">
        <v>0</v>
      </c>
      <c r="DO541" s="408">
        <v>-0.51809687486426625</v>
      </c>
      <c r="DP541" s="408">
        <v>-0.16852055870829918</v>
      </c>
      <c r="DQ541" s="408">
        <v>0</v>
      </c>
      <c r="DR541" s="408">
        <v>0</v>
      </c>
      <c r="DS541" s="408"/>
      <c r="DT541" s="408"/>
      <c r="DU541" s="408"/>
      <c r="DV541" s="408">
        <v>4124.3788648904174</v>
      </c>
      <c r="DW541" s="408">
        <v>0</v>
      </c>
      <c r="DX541" s="408">
        <v>0</v>
      </c>
      <c r="DY541" s="408">
        <v>-2536.5025800000003</v>
      </c>
      <c r="DZ541" s="408">
        <v>0</v>
      </c>
      <c r="EA541" s="408">
        <v>0</v>
      </c>
      <c r="EB541" s="408">
        <v>0</v>
      </c>
      <c r="EC541" s="408">
        <v>-2528.842781523671</v>
      </c>
      <c r="ED541" s="408">
        <v>0</v>
      </c>
      <c r="EE541" s="408">
        <v>0</v>
      </c>
      <c r="EF541" s="408">
        <v>0</v>
      </c>
      <c r="EG541" s="408">
        <v>0</v>
      </c>
      <c r="EH541" s="408">
        <v>0</v>
      </c>
      <c r="EI541" s="408">
        <v>0</v>
      </c>
      <c r="EJ541" s="408">
        <v>0</v>
      </c>
      <c r="EK541" s="408">
        <v>0</v>
      </c>
      <c r="EL541" s="408">
        <v>0</v>
      </c>
      <c r="EM541" s="408">
        <v>0</v>
      </c>
      <c r="EN541" s="408">
        <v>0</v>
      </c>
      <c r="EO541" s="408">
        <v>0</v>
      </c>
      <c r="EP541" s="408">
        <v>0</v>
      </c>
      <c r="EQ541" s="408">
        <v>0</v>
      </c>
      <c r="ER541" s="408">
        <v>0</v>
      </c>
      <c r="ES541" s="408">
        <v>0</v>
      </c>
      <c r="ET541" s="408">
        <v>0</v>
      </c>
      <c r="EU541" s="408">
        <v>0</v>
      </c>
      <c r="EV541" s="408">
        <v>265</v>
      </c>
      <c r="EW541" s="408">
        <v>0</v>
      </c>
      <c r="EX541" s="408">
        <v>0</v>
      </c>
      <c r="EY541" s="408">
        <v>0</v>
      </c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548</v>
      </c>
      <c r="B542" s="408" t="s">
        <v>1031</v>
      </c>
      <c r="C542" s="408" t="s">
        <v>2235</v>
      </c>
      <c r="D542" s="408" t="s">
        <v>596</v>
      </c>
      <c r="E542" s="408" t="s">
        <v>969</v>
      </c>
      <c r="F542" s="408" t="s">
        <v>1317</v>
      </c>
      <c r="G542" s="408" t="s">
        <v>1317</v>
      </c>
      <c r="H542" s="408" t="s">
        <v>1317</v>
      </c>
      <c r="I542" s="408" t="s">
        <v>2236</v>
      </c>
      <c r="J542" s="408" t="s">
        <v>2228</v>
      </c>
      <c r="K542" s="828">
        <v>44682</v>
      </c>
      <c r="L542" s="408">
        <v>0</v>
      </c>
      <c r="M542" s="408">
        <v>0</v>
      </c>
      <c r="N542" s="408">
        <v>51.518000000000001</v>
      </c>
      <c r="O542" s="408">
        <v>49.457279999999997</v>
      </c>
      <c r="P542" s="408">
        <v>51.518000000000001</v>
      </c>
      <c r="Q542" s="408">
        <v>49.457279999999997</v>
      </c>
      <c r="R542" s="408"/>
      <c r="S542" s="408">
        <v>81.2</v>
      </c>
      <c r="T542" s="408">
        <v>252.22</v>
      </c>
      <c r="U542" s="408"/>
      <c r="V542" s="408">
        <v>17177.131560000002</v>
      </c>
      <c r="W542" s="408">
        <v>17177.131560000002</v>
      </c>
      <c r="X542" s="408">
        <v>17080.277719999998</v>
      </c>
      <c r="Y542" s="408">
        <v>0</v>
      </c>
      <c r="Z542" s="408">
        <v>2772.2993029444328</v>
      </c>
      <c r="AA542" s="408">
        <v>0</v>
      </c>
      <c r="AB542" s="408">
        <v>0</v>
      </c>
      <c r="AC542" s="408">
        <v>0</v>
      </c>
      <c r="AD542" s="408">
        <v>0</v>
      </c>
      <c r="AE542" s="408">
        <v>0</v>
      </c>
      <c r="AF542" s="408">
        <v>12994.012534877975</v>
      </c>
      <c r="AG542" s="408">
        <v>0</v>
      </c>
      <c r="AH542" s="408">
        <v>0</v>
      </c>
      <c r="AI542" s="408">
        <v>0</v>
      </c>
      <c r="AJ542" s="408">
        <v>0</v>
      </c>
      <c r="AK542" s="408">
        <v>0</v>
      </c>
      <c r="AL542" s="408">
        <v>492.5651015012744</v>
      </c>
      <c r="AM542" s="408"/>
      <c r="AN542" s="408">
        <v>123.94747239888342</v>
      </c>
      <c r="AO542" s="408">
        <v>0</v>
      </c>
      <c r="AP542" s="408">
        <v>0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0</v>
      </c>
      <c r="BE542" s="408">
        <v>0</v>
      </c>
      <c r="BF542" s="408">
        <v>0</v>
      </c>
      <c r="BG542" s="408">
        <v>794.55393667341968</v>
      </c>
      <c r="BH542" s="408">
        <v>0</v>
      </c>
      <c r="BI542" s="408">
        <v>0</v>
      </c>
      <c r="BJ542" s="408">
        <v>0</v>
      </c>
      <c r="BK542" s="408">
        <v>0</v>
      </c>
      <c r="BL542" s="408">
        <v>0</v>
      </c>
      <c r="BM542" s="408"/>
      <c r="BN542" s="408"/>
      <c r="BO542" s="408"/>
      <c r="BP542" s="408"/>
      <c r="BQ542" s="408"/>
      <c r="BR542" s="408">
        <v>683.21110880000106</v>
      </c>
      <c r="BS542" s="408"/>
      <c r="BT542" s="408"/>
      <c r="BU542" s="408"/>
      <c r="BV542" s="408">
        <v>13788.566471551394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16397.968399999998</v>
      </c>
      <c r="CJ542" s="408">
        <v>-92.107897599998978</v>
      </c>
      <c r="CK542" s="408"/>
      <c r="CL542" s="408"/>
      <c r="CM542" s="408"/>
      <c r="CN542" s="408"/>
      <c r="CO542" s="408">
        <v>-96.853840000000503</v>
      </c>
      <c r="CP542" s="408">
        <v>0</v>
      </c>
      <c r="CQ542" s="408">
        <v>31</v>
      </c>
      <c r="CR542" s="408">
        <v>-97.009633869718527</v>
      </c>
      <c r="CS542" s="408">
        <v>0</v>
      </c>
      <c r="CT542" s="408">
        <v>0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0</v>
      </c>
      <c r="DA542" s="408">
        <v>0</v>
      </c>
      <c r="DB542" s="408">
        <v>0</v>
      </c>
      <c r="DC542" s="408">
        <v>-1.8216778698842973E-6</v>
      </c>
      <c r="DD542" s="408">
        <v>0</v>
      </c>
      <c r="DE542" s="408">
        <v>0</v>
      </c>
      <c r="DF542" s="408">
        <v>0</v>
      </c>
      <c r="DG542" s="408">
        <v>-1.1139218258904293E-7</v>
      </c>
      <c r="DH542" s="408">
        <v>0</v>
      </c>
      <c r="DI542" s="408">
        <v>-80.610393669242512</v>
      </c>
      <c r="DJ542" s="408"/>
      <c r="DK542" s="408">
        <v>0</v>
      </c>
      <c r="DL542" s="408">
        <v>0</v>
      </c>
      <c r="DM542" s="408">
        <v>0</v>
      </c>
      <c r="DN542" s="408">
        <v>0</v>
      </c>
      <c r="DO542" s="408">
        <v>-12.374276680230537</v>
      </c>
      <c r="DP542" s="408">
        <v>-4.0249615871739337</v>
      </c>
      <c r="DQ542" s="408">
        <v>0</v>
      </c>
      <c r="DR542" s="408">
        <v>0</v>
      </c>
      <c r="DS542" s="408"/>
      <c r="DT542" s="408"/>
      <c r="DU542" s="408"/>
      <c r="DV542" s="408">
        <v>0</v>
      </c>
      <c r="DW542" s="408">
        <v>0</v>
      </c>
      <c r="DX542" s="408">
        <v>0</v>
      </c>
      <c r="DY542" s="408">
        <v>-96.853840000000218</v>
      </c>
      <c r="DZ542" s="408">
        <v>0</v>
      </c>
      <c r="EA542" s="408">
        <v>0</v>
      </c>
      <c r="EB542" s="408">
        <v>0</v>
      </c>
      <c r="EC542" s="408">
        <v>0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265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549</v>
      </c>
      <c r="B543" s="408" t="s">
        <v>2230</v>
      </c>
      <c r="C543" s="408" t="s">
        <v>2235</v>
      </c>
      <c r="D543" s="408" t="s">
        <v>596</v>
      </c>
      <c r="E543" s="408" t="s">
        <v>969</v>
      </c>
      <c r="F543" s="408" t="s">
        <v>1317</v>
      </c>
      <c r="G543" s="408" t="s">
        <v>1317</v>
      </c>
      <c r="H543" s="408" t="s">
        <v>1317</v>
      </c>
      <c r="I543" s="408" t="s">
        <v>2236</v>
      </c>
      <c r="J543" s="408" t="s">
        <v>2228</v>
      </c>
      <c r="K543" s="828">
        <v>44682</v>
      </c>
      <c r="L543" s="408">
        <v>0</v>
      </c>
      <c r="M543" s="408">
        <v>0</v>
      </c>
      <c r="N543" s="408">
        <v>11.651</v>
      </c>
      <c r="O543" s="408">
        <v>11.18496</v>
      </c>
      <c r="P543" s="408">
        <v>11.651</v>
      </c>
      <c r="Q543" s="408">
        <v>11.18496</v>
      </c>
      <c r="R543" s="408"/>
      <c r="S543" s="408">
        <v>81.2</v>
      </c>
      <c r="T543" s="408">
        <v>252.22</v>
      </c>
      <c r="U543" s="408"/>
      <c r="V543" s="408">
        <v>3884.6764200000002</v>
      </c>
      <c r="W543" s="408">
        <v>3884.6764200000002</v>
      </c>
      <c r="X543" s="408">
        <v>3862.7725399999999</v>
      </c>
      <c r="Y543" s="408">
        <v>0</v>
      </c>
      <c r="Z543" s="408">
        <v>626.96648120279485</v>
      </c>
      <c r="AA543" s="408">
        <v>0</v>
      </c>
      <c r="AB543" s="408">
        <v>0</v>
      </c>
      <c r="AC543" s="408">
        <v>0</v>
      </c>
      <c r="AD543" s="408">
        <v>0</v>
      </c>
      <c r="AE543" s="408">
        <v>0</v>
      </c>
      <c r="AF543" s="408">
        <v>2938.6474638740492</v>
      </c>
      <c r="AG543" s="408">
        <v>0</v>
      </c>
      <c r="AH543" s="408">
        <v>0</v>
      </c>
      <c r="AI543" s="408">
        <v>0</v>
      </c>
      <c r="AJ543" s="408">
        <v>0</v>
      </c>
      <c r="AK543" s="408">
        <v>0</v>
      </c>
      <c r="AL543" s="408">
        <v>111.39555102277549</v>
      </c>
      <c r="AM543" s="408"/>
      <c r="AN543" s="408">
        <v>28.031212409631404</v>
      </c>
      <c r="AO543" s="408">
        <v>0</v>
      </c>
      <c r="AP543" s="408">
        <v>0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0</v>
      </c>
      <c r="BE543" s="408">
        <v>0</v>
      </c>
      <c r="BF543" s="408">
        <v>0</v>
      </c>
      <c r="BG543" s="408">
        <v>179.69152366516582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/>
      <c r="BR543" s="408">
        <v>154.51090159999984</v>
      </c>
      <c r="BS543" s="408"/>
      <c r="BT543" s="408"/>
      <c r="BU543" s="408"/>
      <c r="BV543" s="408">
        <v>3118.3389875392149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3706.6171999999997</v>
      </c>
      <c r="CJ543" s="408">
        <v>-22.702163200000541</v>
      </c>
      <c r="CK543" s="408"/>
      <c r="CL543" s="408"/>
      <c r="CM543" s="408"/>
      <c r="CN543" s="408"/>
      <c r="CO543" s="408">
        <v>-21.903880000000111</v>
      </c>
      <c r="CP543" s="408">
        <v>0</v>
      </c>
      <c r="CQ543" s="408">
        <v>31</v>
      </c>
      <c r="CR543" s="408">
        <v>-21.939113401452687</v>
      </c>
      <c r="CS543" s="408">
        <v>0</v>
      </c>
      <c r="CT543" s="408">
        <v>0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0</v>
      </c>
      <c r="DA543" s="408">
        <v>0</v>
      </c>
      <c r="DB543" s="408">
        <v>0</v>
      </c>
      <c r="DC543" s="408">
        <v>-4.1197927203029394E-7</v>
      </c>
      <c r="DD543" s="408">
        <v>0</v>
      </c>
      <c r="DE543" s="408">
        <v>0</v>
      </c>
      <c r="DF543" s="408">
        <v>0</v>
      </c>
      <c r="DG543" s="408">
        <v>-2.5191781105604605E-8</v>
      </c>
      <c r="DH543" s="408">
        <v>0</v>
      </c>
      <c r="DI543" s="408">
        <v>-18.230360197219284</v>
      </c>
      <c r="DJ543" s="408"/>
      <c r="DK543" s="408">
        <v>0</v>
      </c>
      <c r="DL543" s="408">
        <v>0</v>
      </c>
      <c r="DM543" s="408">
        <v>0</v>
      </c>
      <c r="DN543" s="408">
        <v>0</v>
      </c>
      <c r="DO543" s="408">
        <v>-2.7984917427183831</v>
      </c>
      <c r="DP543" s="408">
        <v>-0.91026102434418021</v>
      </c>
      <c r="DQ543" s="408">
        <v>0</v>
      </c>
      <c r="DR543" s="408">
        <v>0</v>
      </c>
      <c r="DS543" s="408"/>
      <c r="DT543" s="408"/>
      <c r="DU543" s="408"/>
      <c r="DV543" s="408">
        <v>0</v>
      </c>
      <c r="DW543" s="408">
        <v>0</v>
      </c>
      <c r="DX543" s="408">
        <v>0</v>
      </c>
      <c r="DY543" s="408">
        <v>-21.903880000000072</v>
      </c>
      <c r="DZ543" s="408">
        <v>0</v>
      </c>
      <c r="EA543" s="408">
        <v>0</v>
      </c>
      <c r="EB543" s="408">
        <v>0</v>
      </c>
      <c r="EC543" s="408">
        <v>0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0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265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550</v>
      </c>
      <c r="B544" s="408" t="s">
        <v>1031</v>
      </c>
      <c r="C544" s="408" t="s">
        <v>2235</v>
      </c>
      <c r="D544" s="408" t="s">
        <v>596</v>
      </c>
      <c r="E544" s="408" t="s">
        <v>969</v>
      </c>
      <c r="F544" s="408" t="s">
        <v>1317</v>
      </c>
      <c r="G544" s="408" t="s">
        <v>1317</v>
      </c>
      <c r="H544" s="408" t="s">
        <v>1317</v>
      </c>
      <c r="I544" s="408" t="s">
        <v>1317</v>
      </c>
      <c r="J544" s="408" t="s">
        <v>2228</v>
      </c>
      <c r="K544" s="828">
        <v>44682</v>
      </c>
      <c r="L544" s="408">
        <v>380</v>
      </c>
      <c r="M544" s="408">
        <v>364.8</v>
      </c>
      <c r="N544" s="408">
        <v>0</v>
      </c>
      <c r="O544" s="408">
        <v>0</v>
      </c>
      <c r="P544" s="408">
        <v>0</v>
      </c>
      <c r="Q544" s="408">
        <v>0</v>
      </c>
      <c r="R544" s="408">
        <v>74.44</v>
      </c>
      <c r="S544" s="408"/>
      <c r="T544" s="408"/>
      <c r="U544" s="408">
        <v>28287.200000000001</v>
      </c>
      <c r="V544" s="408"/>
      <c r="W544" s="408">
        <v>28287.200000000001</v>
      </c>
      <c r="X544" s="408">
        <v>17259.600000000002</v>
      </c>
      <c r="Y544" s="408">
        <v>0</v>
      </c>
      <c r="Z544" s="408">
        <v>0</v>
      </c>
      <c r="AA544" s="408">
        <v>0</v>
      </c>
      <c r="AB544" s="408">
        <v>0</v>
      </c>
      <c r="AC544" s="408">
        <v>0</v>
      </c>
      <c r="AD544" s="408">
        <v>10342.495161571684</v>
      </c>
      <c r="AE544" s="408">
        <v>17944.184414987718</v>
      </c>
      <c r="AF544" s="408"/>
      <c r="AG544" s="408"/>
      <c r="AH544" s="408"/>
      <c r="AI544" s="408">
        <v>0</v>
      </c>
      <c r="AJ544" s="408">
        <v>0</v>
      </c>
      <c r="AK544" s="408">
        <v>0</v>
      </c>
      <c r="AL544" s="408">
        <v>0</v>
      </c>
      <c r="AM544" s="408"/>
      <c r="AN544" s="408">
        <v>0</v>
      </c>
      <c r="AO544" s="408">
        <v>0</v>
      </c>
      <c r="AP544" s="408">
        <v>0</v>
      </c>
      <c r="AQ544" s="408">
        <v>0</v>
      </c>
      <c r="AR544" s="408">
        <v>0</v>
      </c>
      <c r="AS544" s="408"/>
      <c r="AT544" s="408"/>
      <c r="AU544" s="408">
        <v>0</v>
      </c>
      <c r="AV544" s="408">
        <v>0</v>
      </c>
      <c r="AW544" s="408">
        <v>0</v>
      </c>
      <c r="AX544" s="408"/>
      <c r="AY544" s="408"/>
      <c r="AZ544" s="408">
        <v>0</v>
      </c>
      <c r="BA544" s="408"/>
      <c r="BB544" s="408">
        <v>0</v>
      </c>
      <c r="BC544" s="408">
        <v>0</v>
      </c>
      <c r="BD544" s="408">
        <v>0</v>
      </c>
      <c r="BE544" s="408">
        <v>0</v>
      </c>
      <c r="BF544" s="408"/>
      <c r="BG544" s="408">
        <v>0</v>
      </c>
      <c r="BH544" s="408">
        <v>0</v>
      </c>
      <c r="BI544" s="408">
        <v>0</v>
      </c>
      <c r="BJ544" s="408">
        <v>0</v>
      </c>
      <c r="BK544" s="408">
        <v>20.58</v>
      </c>
      <c r="BL544" s="408">
        <v>3</v>
      </c>
      <c r="BM544" s="408"/>
      <c r="BN544" s="408"/>
      <c r="BO544" s="408"/>
      <c r="BP544" s="408"/>
      <c r="BQ544" s="408"/>
      <c r="BR544" s="408">
        <v>690.38399999999956</v>
      </c>
      <c r="BS544" s="408"/>
      <c r="BT544" s="408"/>
      <c r="BU544" s="408"/>
      <c r="BV544" s="408">
        <v>0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16569.216</v>
      </c>
      <c r="CJ544" s="408">
        <v>-10586.525999999994</v>
      </c>
      <c r="CK544" s="408"/>
      <c r="CL544" s="408"/>
      <c r="CM544" s="408"/>
      <c r="CN544" s="408"/>
      <c r="CO544" s="408">
        <v>-11027.599999999999</v>
      </c>
      <c r="CP544" s="408">
        <v>0</v>
      </c>
      <c r="CQ544" s="408">
        <v>31</v>
      </c>
      <c r="CR544" s="408">
        <v>-26.581123345376909</v>
      </c>
      <c r="CS544" s="408">
        <v>0</v>
      </c>
      <c r="CT544" s="408">
        <v>0</v>
      </c>
      <c r="CU544" s="408">
        <v>0</v>
      </c>
      <c r="CV544" s="408">
        <v>0</v>
      </c>
      <c r="CW544" s="408"/>
      <c r="CX544" s="408"/>
      <c r="CY544" s="408"/>
      <c r="CZ544" s="408">
        <v>-26.581123345376909</v>
      </c>
      <c r="DA544" s="408">
        <v>0</v>
      </c>
      <c r="DB544" s="408">
        <v>0</v>
      </c>
      <c r="DC544" s="408"/>
      <c r="DD544" s="408"/>
      <c r="DE544" s="408">
        <v>0</v>
      </c>
      <c r="DF544" s="408">
        <v>0</v>
      </c>
      <c r="DG544" s="408">
        <v>0</v>
      </c>
      <c r="DH544" s="408">
        <v>0</v>
      </c>
      <c r="DI544" s="408">
        <v>0</v>
      </c>
      <c r="DJ544" s="408"/>
      <c r="DK544" s="408">
        <v>0</v>
      </c>
      <c r="DL544" s="408">
        <v>0</v>
      </c>
      <c r="DM544" s="408"/>
      <c r="DN544" s="408">
        <v>0</v>
      </c>
      <c r="DO544" s="408">
        <v>0</v>
      </c>
      <c r="DP544" s="408">
        <v>0</v>
      </c>
      <c r="DQ544" s="408">
        <v>0</v>
      </c>
      <c r="DR544" s="408">
        <v>0</v>
      </c>
      <c r="DS544" s="408"/>
      <c r="DT544" s="408"/>
      <c r="DU544" s="408">
        <v>17944.184414987718</v>
      </c>
      <c r="DV544" s="408"/>
      <c r="DW544" s="408">
        <v>0</v>
      </c>
      <c r="DX544" s="408">
        <v>0</v>
      </c>
      <c r="DY544" s="408">
        <v>-11027.599999999999</v>
      </c>
      <c r="DZ544" s="408"/>
      <c r="EA544" s="408">
        <v>0</v>
      </c>
      <c r="EB544" s="408"/>
      <c r="EC544" s="408">
        <v>-11002.389138995113</v>
      </c>
      <c r="ED544" s="408"/>
      <c r="EE544" s="408">
        <v>0</v>
      </c>
      <c r="EF544" s="408">
        <v>0</v>
      </c>
      <c r="EG544" s="408"/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/>
      <c r="EN544" s="408"/>
      <c r="EO544" s="408">
        <v>0</v>
      </c>
      <c r="EP544" s="408">
        <v>0</v>
      </c>
      <c r="EQ544" s="408"/>
      <c r="ER544" s="408">
        <v>0</v>
      </c>
      <c r="ES544" s="408"/>
      <c r="ET544" s="408">
        <v>0</v>
      </c>
      <c r="EU544" s="408"/>
      <c r="EV544" s="408">
        <v>265</v>
      </c>
      <c r="EW544" s="408"/>
      <c r="EX544" s="408"/>
      <c r="EY544" s="408"/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551</v>
      </c>
      <c r="B545" s="408" t="s">
        <v>2230</v>
      </c>
      <c r="C545" s="408" t="s">
        <v>2235</v>
      </c>
      <c r="D545" s="408" t="s">
        <v>596</v>
      </c>
      <c r="E545" s="408" t="s">
        <v>969</v>
      </c>
      <c r="F545" s="408" t="s">
        <v>1317</v>
      </c>
      <c r="G545" s="408" t="s">
        <v>1317</v>
      </c>
      <c r="H545" s="408" t="s">
        <v>1317</v>
      </c>
      <c r="I545" s="408" t="s">
        <v>1317</v>
      </c>
      <c r="J545" s="408" t="s">
        <v>2228</v>
      </c>
      <c r="K545" s="828">
        <v>44682</v>
      </c>
      <c r="L545" s="408">
        <v>768</v>
      </c>
      <c r="M545" s="408">
        <v>737.28</v>
      </c>
      <c r="N545" s="408">
        <v>0</v>
      </c>
      <c r="O545" s="408">
        <v>0</v>
      </c>
      <c r="P545" s="408">
        <v>0</v>
      </c>
      <c r="Q545" s="408">
        <v>0</v>
      </c>
      <c r="R545" s="408">
        <v>74.44</v>
      </c>
      <c r="S545" s="408"/>
      <c r="T545" s="408"/>
      <c r="U545" s="408">
        <v>57169.919999999998</v>
      </c>
      <c r="V545" s="408"/>
      <c r="W545" s="408">
        <v>57169.919999999998</v>
      </c>
      <c r="X545" s="408">
        <v>34882.559999999998</v>
      </c>
      <c r="Y545" s="408">
        <v>0</v>
      </c>
      <c r="Z545" s="408">
        <v>0</v>
      </c>
      <c r="AA545" s="408">
        <v>0</v>
      </c>
      <c r="AB545" s="408">
        <v>0</v>
      </c>
      <c r="AC545" s="408">
        <v>0</v>
      </c>
      <c r="AD545" s="408">
        <v>20902.727063386985</v>
      </c>
      <c r="AE545" s="408">
        <v>36266.141133448858</v>
      </c>
      <c r="AF545" s="408"/>
      <c r="AG545" s="408"/>
      <c r="AH545" s="408"/>
      <c r="AI545" s="408">
        <v>0</v>
      </c>
      <c r="AJ545" s="408">
        <v>0</v>
      </c>
      <c r="AK545" s="408">
        <v>0</v>
      </c>
      <c r="AL545" s="408">
        <v>0</v>
      </c>
      <c r="AM545" s="408"/>
      <c r="AN545" s="408">
        <v>0</v>
      </c>
      <c r="AO545" s="408">
        <v>0</v>
      </c>
      <c r="AP545" s="408">
        <v>0</v>
      </c>
      <c r="AQ545" s="408">
        <v>0</v>
      </c>
      <c r="AR545" s="408">
        <v>0</v>
      </c>
      <c r="AS545" s="408"/>
      <c r="AT545" s="408"/>
      <c r="AU545" s="408">
        <v>0</v>
      </c>
      <c r="AV545" s="408">
        <v>0</v>
      </c>
      <c r="AW545" s="408">
        <v>0</v>
      </c>
      <c r="AX545" s="408"/>
      <c r="AY545" s="408"/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/>
      <c r="BG545" s="408">
        <v>0</v>
      </c>
      <c r="BH545" s="408">
        <v>0</v>
      </c>
      <c r="BI545" s="408">
        <v>0</v>
      </c>
      <c r="BJ545" s="408">
        <v>0</v>
      </c>
      <c r="BK545" s="408">
        <v>10.6</v>
      </c>
      <c r="BL545" s="408">
        <v>3</v>
      </c>
      <c r="BM545" s="408"/>
      <c r="BN545" s="408"/>
      <c r="BO545" s="408"/>
      <c r="BP545" s="408"/>
      <c r="BQ545" s="408"/>
      <c r="BR545" s="408">
        <v>1395.3024000000014</v>
      </c>
      <c r="BS545" s="408"/>
      <c r="BT545" s="408"/>
      <c r="BU545" s="408"/>
      <c r="BV545" s="408">
        <v>0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33487.257599999997</v>
      </c>
      <c r="CJ545" s="408">
        <v>-21395.895600000003</v>
      </c>
      <c r="CK545" s="408"/>
      <c r="CL545" s="408"/>
      <c r="CM545" s="408"/>
      <c r="CN545" s="408"/>
      <c r="CO545" s="408">
        <v>-22287.359999999997</v>
      </c>
      <c r="CP545" s="408">
        <v>0</v>
      </c>
      <c r="CQ545" s="408">
        <v>31</v>
      </c>
      <c r="CR545" s="408">
        <v>-53.721849287503574</v>
      </c>
      <c r="CS545" s="408">
        <v>0</v>
      </c>
      <c r="CT545" s="408">
        <v>0</v>
      </c>
      <c r="CU545" s="408">
        <v>0</v>
      </c>
      <c r="CV545" s="408">
        <v>0</v>
      </c>
      <c r="CW545" s="408"/>
      <c r="CX545" s="408"/>
      <c r="CY545" s="408"/>
      <c r="CZ545" s="408">
        <v>-53.721849287503574</v>
      </c>
      <c r="DA545" s="408">
        <v>0</v>
      </c>
      <c r="DB545" s="408">
        <v>0</v>
      </c>
      <c r="DC545" s="408"/>
      <c r="DD545" s="408"/>
      <c r="DE545" s="408">
        <v>0</v>
      </c>
      <c r="DF545" s="408">
        <v>0</v>
      </c>
      <c r="DG545" s="408">
        <v>0</v>
      </c>
      <c r="DH545" s="408">
        <v>0</v>
      </c>
      <c r="DI545" s="408">
        <v>0</v>
      </c>
      <c r="DJ545" s="408"/>
      <c r="DK545" s="408">
        <v>0</v>
      </c>
      <c r="DL545" s="408">
        <v>0</v>
      </c>
      <c r="DM545" s="408"/>
      <c r="DN545" s="408">
        <v>0</v>
      </c>
      <c r="DO545" s="408">
        <v>0</v>
      </c>
      <c r="DP545" s="408">
        <v>0</v>
      </c>
      <c r="DQ545" s="408">
        <v>0</v>
      </c>
      <c r="DR545" s="408">
        <v>0</v>
      </c>
      <c r="DS545" s="408"/>
      <c r="DT545" s="408"/>
      <c r="DU545" s="408">
        <v>36266.141133448858</v>
      </c>
      <c r="DV545" s="408"/>
      <c r="DW545" s="408">
        <v>0</v>
      </c>
      <c r="DX545" s="408">
        <v>0</v>
      </c>
      <c r="DY545" s="408">
        <v>-22287.360000000001</v>
      </c>
      <c r="DZ545" s="408"/>
      <c r="EA545" s="408">
        <v>0</v>
      </c>
      <c r="EB545" s="408"/>
      <c r="EC545" s="408">
        <v>-22236.407523021699</v>
      </c>
      <c r="ED545" s="408"/>
      <c r="EE545" s="408">
        <v>0</v>
      </c>
      <c r="EF545" s="408">
        <v>0</v>
      </c>
      <c r="EG545" s="408"/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/>
      <c r="EN545" s="408"/>
      <c r="EO545" s="408">
        <v>0</v>
      </c>
      <c r="EP545" s="408">
        <v>0</v>
      </c>
      <c r="EQ545" s="408"/>
      <c r="ER545" s="408">
        <v>0</v>
      </c>
      <c r="ES545" s="408"/>
      <c r="ET545" s="408">
        <v>0</v>
      </c>
      <c r="EU545" s="408"/>
      <c r="EV545" s="408">
        <v>265</v>
      </c>
      <c r="EW545" s="408"/>
      <c r="EX545" s="408"/>
      <c r="EY545" s="408"/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552</v>
      </c>
      <c r="B546" s="408" t="s">
        <v>1031</v>
      </c>
      <c r="C546" s="408" t="s">
        <v>2227</v>
      </c>
      <c r="D546" s="408" t="s">
        <v>1952</v>
      </c>
      <c r="E546" s="408" t="s">
        <v>2238</v>
      </c>
      <c r="F546" s="408" t="s">
        <v>1317</v>
      </c>
      <c r="G546" s="408" t="s">
        <v>1317</v>
      </c>
      <c r="H546" s="408" t="s">
        <v>1317</v>
      </c>
      <c r="I546" s="408" t="s">
        <v>1317</v>
      </c>
      <c r="J546" s="408" t="s">
        <v>2228</v>
      </c>
      <c r="K546" s="828">
        <v>44682</v>
      </c>
      <c r="L546" s="408">
        <v>0</v>
      </c>
      <c r="M546" s="408">
        <v>0</v>
      </c>
      <c r="N546" s="408">
        <v>200.042</v>
      </c>
      <c r="O546" s="408">
        <v>200.042</v>
      </c>
      <c r="P546" s="408">
        <v>200.042</v>
      </c>
      <c r="Q546" s="408">
        <v>200.042</v>
      </c>
      <c r="R546" s="408"/>
      <c r="S546" s="408">
        <v>739.04</v>
      </c>
      <c r="T546" s="408">
        <v>252.22</v>
      </c>
      <c r="U546" s="408"/>
      <c r="V546" s="408">
        <v>198293.63292</v>
      </c>
      <c r="W546" s="408">
        <v>198293.63292</v>
      </c>
      <c r="X546" s="408">
        <v>135622.47474000001</v>
      </c>
      <c r="Y546" s="408">
        <v>0</v>
      </c>
      <c r="Z546" s="408">
        <v>12373.229157259404</v>
      </c>
      <c r="AA546" s="408">
        <v>0</v>
      </c>
      <c r="AB546" s="408">
        <v>0</v>
      </c>
      <c r="AC546" s="408">
        <v>0</v>
      </c>
      <c r="AD546" s="408">
        <v>24704.703077644641</v>
      </c>
      <c r="AE546" s="408">
        <v>101418.84749704805</v>
      </c>
      <c r="AF546" s="408">
        <v>50455.146851625832</v>
      </c>
      <c r="AG546" s="408">
        <v>0</v>
      </c>
      <c r="AH546" s="408">
        <v>0</v>
      </c>
      <c r="AI546" s="408">
        <v>0</v>
      </c>
      <c r="AJ546" s="408">
        <v>0</v>
      </c>
      <c r="AK546" s="408">
        <v>0</v>
      </c>
      <c r="AL546" s="408">
        <v>1912.6074000255821</v>
      </c>
      <c r="AM546" s="408"/>
      <c r="AN546" s="408">
        <v>468.75812637527366</v>
      </c>
      <c r="AO546" s="408">
        <v>0</v>
      </c>
      <c r="AP546" s="408">
        <v>0</v>
      </c>
      <c r="AQ546" s="408">
        <v>0</v>
      </c>
      <c r="AR546" s="408">
        <v>0</v>
      </c>
      <c r="AS546" s="408">
        <v>0</v>
      </c>
      <c r="AT546" s="408">
        <v>0</v>
      </c>
      <c r="AU546" s="408">
        <v>0</v>
      </c>
      <c r="AV546" s="408">
        <v>0</v>
      </c>
      <c r="AW546" s="408">
        <v>0</v>
      </c>
      <c r="AX546" s="408">
        <v>0</v>
      </c>
      <c r="AY546" s="408">
        <v>0</v>
      </c>
      <c r="AZ546" s="408">
        <v>0</v>
      </c>
      <c r="BA546" s="408"/>
      <c r="BB546" s="408">
        <v>0</v>
      </c>
      <c r="BC546" s="408">
        <v>0</v>
      </c>
      <c r="BD546" s="408">
        <v>0</v>
      </c>
      <c r="BE546" s="408">
        <v>0</v>
      </c>
      <c r="BF546" s="408">
        <v>0</v>
      </c>
      <c r="BG546" s="408">
        <v>6960.3109507280269</v>
      </c>
      <c r="BH546" s="408">
        <v>0</v>
      </c>
      <c r="BI546" s="408">
        <v>0</v>
      </c>
      <c r="BJ546" s="408">
        <v>0</v>
      </c>
      <c r="BK546" s="408">
        <v>42713.32</v>
      </c>
      <c r="BL546" s="408">
        <v>376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>
        <v>57415.457802353856</v>
      </c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>
        <v>135621.1188</v>
      </c>
      <c r="CJ546" s="408">
        <v>-62672.544120000035</v>
      </c>
      <c r="CK546" s="408"/>
      <c r="CL546" s="408"/>
      <c r="CM546" s="408"/>
      <c r="CN546" s="408"/>
      <c r="CO546" s="408">
        <v>-62671.158179999991</v>
      </c>
      <c r="CP546" s="408">
        <v>0</v>
      </c>
      <c r="CQ546" s="408">
        <v>31</v>
      </c>
      <c r="CR546" s="408">
        <v>-486.54153827298433</v>
      </c>
      <c r="CS546" s="408">
        <v>0</v>
      </c>
      <c r="CT546" s="408">
        <v>0</v>
      </c>
      <c r="CU546" s="408">
        <v>0</v>
      </c>
      <c r="CV546" s="408">
        <v>0</v>
      </c>
      <c r="CW546" s="408">
        <v>0</v>
      </c>
      <c r="CX546" s="408">
        <v>0</v>
      </c>
      <c r="CY546" s="408">
        <v>0</v>
      </c>
      <c r="CZ546" s="408">
        <v>-63.493262453448551</v>
      </c>
      <c r="DA546" s="408">
        <v>0</v>
      </c>
      <c r="DB546" s="408">
        <v>0</v>
      </c>
      <c r="DC546" s="408">
        <v>-7.0734895416535437E-6</v>
      </c>
      <c r="DD546" s="408">
        <v>0</v>
      </c>
      <c r="DE546" s="408">
        <v>0</v>
      </c>
      <c r="DF546" s="408">
        <v>0</v>
      </c>
      <c r="DG546" s="408">
        <v>-9.7578595159575343E-7</v>
      </c>
      <c r="DH546" s="408">
        <v>0</v>
      </c>
      <c r="DI546" s="408">
        <v>-359.77748588223949</v>
      </c>
      <c r="DJ546" s="408"/>
      <c r="DK546" s="408">
        <v>0</v>
      </c>
      <c r="DL546" s="408">
        <v>0</v>
      </c>
      <c r="DM546" s="408">
        <v>0</v>
      </c>
      <c r="DN546" s="408">
        <v>0</v>
      </c>
      <c r="DO546" s="408">
        <v>-48.048741326656227</v>
      </c>
      <c r="DP546" s="408">
        <v>-15.222040561376843</v>
      </c>
      <c r="DQ546" s="408">
        <v>0</v>
      </c>
      <c r="DR546" s="408">
        <v>0</v>
      </c>
      <c r="DS546" s="408"/>
      <c r="DT546" s="408"/>
      <c r="DU546" s="408"/>
      <c r="DV546" s="408">
        <v>101418.84749704805</v>
      </c>
      <c r="DW546" s="408">
        <v>0</v>
      </c>
      <c r="DX546" s="408">
        <v>0</v>
      </c>
      <c r="DY546" s="408">
        <v>-62671.158179999984</v>
      </c>
      <c r="DZ546" s="408">
        <v>0</v>
      </c>
      <c r="EA546" s="408">
        <v>0</v>
      </c>
      <c r="EB546" s="408">
        <v>0</v>
      </c>
      <c r="EC546" s="408">
        <v>-62184.471602895377</v>
      </c>
      <c r="ED546" s="408">
        <v>0</v>
      </c>
      <c r="EE546" s="408">
        <v>0</v>
      </c>
      <c r="EF546" s="408">
        <v>0</v>
      </c>
      <c r="EG546" s="408">
        <v>0</v>
      </c>
      <c r="EH546" s="408">
        <v>0</v>
      </c>
      <c r="EI546" s="408">
        <v>0</v>
      </c>
      <c r="EJ546" s="408">
        <v>0</v>
      </c>
      <c r="EK546" s="408">
        <v>0</v>
      </c>
      <c r="EL546" s="408">
        <v>0</v>
      </c>
      <c r="EM546" s="408">
        <v>0</v>
      </c>
      <c r="EN546" s="408">
        <v>0</v>
      </c>
      <c r="EO546" s="408">
        <v>0</v>
      </c>
      <c r="EP546" s="408">
        <v>0</v>
      </c>
      <c r="EQ546" s="408">
        <v>0</v>
      </c>
      <c r="ER546" s="408">
        <v>0</v>
      </c>
      <c r="ES546" s="408">
        <v>0</v>
      </c>
      <c r="ET546" s="408">
        <v>0</v>
      </c>
      <c r="EU546" s="408">
        <v>0</v>
      </c>
      <c r="EV546" s="408">
        <v>265</v>
      </c>
      <c r="EW546" s="408">
        <v>0</v>
      </c>
      <c r="EX546" s="408">
        <v>0</v>
      </c>
      <c r="EY546" s="408">
        <v>0</v>
      </c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553</v>
      </c>
      <c r="B547" s="408" t="s">
        <v>2230</v>
      </c>
      <c r="C547" s="408" t="s">
        <v>2227</v>
      </c>
      <c r="D547" s="408" t="s">
        <v>1952</v>
      </c>
      <c r="E547" s="408" t="s">
        <v>2238</v>
      </c>
      <c r="F547" s="408" t="s">
        <v>1317</v>
      </c>
      <c r="G547" s="408" t="s">
        <v>1317</v>
      </c>
      <c r="H547" s="408" t="s">
        <v>1317</v>
      </c>
      <c r="I547" s="408" t="s">
        <v>1317</v>
      </c>
      <c r="J547" s="408" t="s">
        <v>2228</v>
      </c>
      <c r="K547" s="828">
        <v>44682</v>
      </c>
      <c r="L547" s="408">
        <v>0</v>
      </c>
      <c r="M547" s="408">
        <v>0</v>
      </c>
      <c r="N547" s="408">
        <v>2.14</v>
      </c>
      <c r="O547" s="408">
        <v>2.14</v>
      </c>
      <c r="P547" s="408">
        <v>2.14</v>
      </c>
      <c r="Q547" s="408">
        <v>2.14</v>
      </c>
      <c r="R547" s="408"/>
      <c r="S547" s="408">
        <v>739.04</v>
      </c>
      <c r="T547" s="408">
        <v>252.22</v>
      </c>
      <c r="U547" s="408"/>
      <c r="V547" s="408">
        <v>2121.2964000000002</v>
      </c>
      <c r="W547" s="408">
        <v>2121.2964000000002</v>
      </c>
      <c r="X547" s="408">
        <v>1450.8558</v>
      </c>
      <c r="Y547" s="408">
        <v>0</v>
      </c>
      <c r="Z547" s="408">
        <v>132.36575517408906</v>
      </c>
      <c r="AA547" s="408">
        <v>0</v>
      </c>
      <c r="AB547" s="408">
        <v>0</v>
      </c>
      <c r="AC547" s="408">
        <v>0</v>
      </c>
      <c r="AD547" s="408">
        <v>264.28482311794289</v>
      </c>
      <c r="AE547" s="408">
        <v>1084.9538279145522</v>
      </c>
      <c r="AF547" s="408">
        <v>539.7567224006923</v>
      </c>
      <c r="AG547" s="408">
        <v>0</v>
      </c>
      <c r="AH547" s="408">
        <v>0</v>
      </c>
      <c r="AI547" s="408">
        <v>0</v>
      </c>
      <c r="AJ547" s="408">
        <v>0</v>
      </c>
      <c r="AK547" s="408">
        <v>0</v>
      </c>
      <c r="AL547" s="408">
        <v>20.46060245375844</v>
      </c>
      <c r="AM547" s="408"/>
      <c r="AN547" s="408">
        <v>5.0146588738519196</v>
      </c>
      <c r="AO547" s="408">
        <v>0</v>
      </c>
      <c r="AP547" s="408">
        <v>0</v>
      </c>
      <c r="AQ547" s="408">
        <v>0</v>
      </c>
      <c r="AR547" s="408">
        <v>0</v>
      </c>
      <c r="AS547" s="408">
        <v>0</v>
      </c>
      <c r="AT547" s="408">
        <v>0</v>
      </c>
      <c r="AU547" s="408">
        <v>0</v>
      </c>
      <c r="AV547" s="408">
        <v>0</v>
      </c>
      <c r="AW547" s="408">
        <v>0</v>
      </c>
      <c r="AX547" s="408">
        <v>0</v>
      </c>
      <c r="AY547" s="408">
        <v>0</v>
      </c>
      <c r="AZ547" s="408">
        <v>0</v>
      </c>
      <c r="BA547" s="408"/>
      <c r="BB547" s="408">
        <v>0</v>
      </c>
      <c r="BC547" s="408">
        <v>0</v>
      </c>
      <c r="BD547" s="408">
        <v>0</v>
      </c>
      <c r="BE547" s="408">
        <v>0</v>
      </c>
      <c r="BF547" s="408">
        <v>0</v>
      </c>
      <c r="BG547" s="408">
        <v>74.459690637755955</v>
      </c>
      <c r="BH547" s="408">
        <v>0</v>
      </c>
      <c r="BI547" s="408">
        <v>0</v>
      </c>
      <c r="BJ547" s="408">
        <v>0</v>
      </c>
      <c r="BK547" s="408">
        <v>675.43</v>
      </c>
      <c r="BL547" s="408">
        <v>5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>
        <v>614.21641303844831</v>
      </c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>
        <v>1450.8558</v>
      </c>
      <c r="CJ547" s="408">
        <v>-670.47059999999988</v>
      </c>
      <c r="CK547" s="408"/>
      <c r="CL547" s="408"/>
      <c r="CM547" s="408"/>
      <c r="CN547" s="408"/>
      <c r="CO547" s="408">
        <v>-670.44060000000002</v>
      </c>
      <c r="CP547" s="408">
        <v>0</v>
      </c>
      <c r="CQ547" s="408">
        <v>31</v>
      </c>
      <c r="CR547" s="408">
        <v>-5.204901430220616</v>
      </c>
      <c r="CS547" s="408">
        <v>0</v>
      </c>
      <c r="CT547" s="408">
        <v>0</v>
      </c>
      <c r="CU547" s="408">
        <v>0</v>
      </c>
      <c r="CV547" s="408">
        <v>0</v>
      </c>
      <c r="CW547" s="408">
        <v>0</v>
      </c>
      <c r="CX547" s="408">
        <v>0</v>
      </c>
      <c r="CY547" s="408">
        <v>0</v>
      </c>
      <c r="CZ547" s="408">
        <v>-0.67923526884544572</v>
      </c>
      <c r="DA547" s="408">
        <v>0</v>
      </c>
      <c r="DB547" s="408">
        <v>0</v>
      </c>
      <c r="DC547" s="408">
        <v>-7.5670413934858516E-8</v>
      </c>
      <c r="DD547" s="408">
        <v>0</v>
      </c>
      <c r="DE547" s="408">
        <v>0</v>
      </c>
      <c r="DF547" s="408">
        <v>0</v>
      </c>
      <c r="DG547" s="408">
        <v>-1.0438711228744069E-8</v>
      </c>
      <c r="DH547" s="408">
        <v>0</v>
      </c>
      <c r="DI547" s="408">
        <v>-3.8488108486617421</v>
      </c>
      <c r="DJ547" s="408"/>
      <c r="DK547" s="408">
        <v>0</v>
      </c>
      <c r="DL547" s="408">
        <v>0</v>
      </c>
      <c r="DM547" s="408">
        <v>0</v>
      </c>
      <c r="DN547" s="408">
        <v>0</v>
      </c>
      <c r="DO547" s="408">
        <v>-0.51401358934145946</v>
      </c>
      <c r="DP547" s="408">
        <v>-0.16284163726290668</v>
      </c>
      <c r="DQ547" s="408">
        <v>0</v>
      </c>
      <c r="DR547" s="408">
        <v>0</v>
      </c>
      <c r="DS547" s="408"/>
      <c r="DT547" s="408"/>
      <c r="DU547" s="408"/>
      <c r="DV547" s="408">
        <v>1084.9538279145522</v>
      </c>
      <c r="DW547" s="408">
        <v>0</v>
      </c>
      <c r="DX547" s="408">
        <v>0</v>
      </c>
      <c r="DY547" s="408">
        <v>-670.4405999999999</v>
      </c>
      <c r="DZ547" s="408">
        <v>0</v>
      </c>
      <c r="EA547" s="408">
        <v>0</v>
      </c>
      <c r="EB547" s="408">
        <v>0</v>
      </c>
      <c r="EC547" s="408">
        <v>-665.23414698011493</v>
      </c>
      <c r="ED547" s="408">
        <v>0</v>
      </c>
      <c r="EE547" s="408">
        <v>0</v>
      </c>
      <c r="EF547" s="408">
        <v>0</v>
      </c>
      <c r="EG547" s="408">
        <v>0</v>
      </c>
      <c r="EH547" s="408">
        <v>0</v>
      </c>
      <c r="EI547" s="408">
        <v>0</v>
      </c>
      <c r="EJ547" s="408">
        <v>0</v>
      </c>
      <c r="EK547" s="408">
        <v>0</v>
      </c>
      <c r="EL547" s="408">
        <v>0</v>
      </c>
      <c r="EM547" s="408">
        <v>0</v>
      </c>
      <c r="EN547" s="408">
        <v>0</v>
      </c>
      <c r="EO547" s="408">
        <v>0</v>
      </c>
      <c r="EP547" s="408">
        <v>0</v>
      </c>
      <c r="EQ547" s="408">
        <v>0</v>
      </c>
      <c r="ER547" s="408">
        <v>0</v>
      </c>
      <c r="ES547" s="408">
        <v>0</v>
      </c>
      <c r="ET547" s="408">
        <v>0</v>
      </c>
      <c r="EU547" s="408">
        <v>0</v>
      </c>
      <c r="EV547" s="408">
        <v>265</v>
      </c>
      <c r="EW547" s="408">
        <v>0</v>
      </c>
      <c r="EX547" s="408">
        <v>0</v>
      </c>
      <c r="EY547" s="408">
        <v>0</v>
      </c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554</v>
      </c>
      <c r="B548" s="408" t="s">
        <v>1031</v>
      </c>
      <c r="C548" s="408" t="s">
        <v>2227</v>
      </c>
      <c r="D548" s="408" t="s">
        <v>2240</v>
      </c>
      <c r="E548" s="408" t="s">
        <v>2241</v>
      </c>
      <c r="F548" s="408" t="s">
        <v>2242</v>
      </c>
      <c r="G548" s="408" t="s">
        <v>1317</v>
      </c>
      <c r="H548" s="408" t="s">
        <v>1317</v>
      </c>
      <c r="I548" s="408" t="s">
        <v>1317</v>
      </c>
      <c r="J548" s="408" t="s">
        <v>2228</v>
      </c>
      <c r="K548" s="828">
        <v>44682</v>
      </c>
      <c r="L548" s="408">
        <v>0</v>
      </c>
      <c r="M548" s="408">
        <v>0</v>
      </c>
      <c r="N548" s="408">
        <v>447.61700000000002</v>
      </c>
      <c r="O548" s="408">
        <v>447.61700000000002</v>
      </c>
      <c r="P548" s="408">
        <v>447.61700000000002</v>
      </c>
      <c r="Q548" s="408">
        <v>447.61700000000002</v>
      </c>
      <c r="R548" s="408"/>
      <c r="S548" s="408">
        <v>406.47</v>
      </c>
      <c r="T548" s="408">
        <v>138.72</v>
      </c>
      <c r="U548" s="408"/>
      <c r="V548" s="408">
        <v>244036.31223000004</v>
      </c>
      <c r="W548" s="408">
        <v>244036.31223000004</v>
      </c>
      <c r="X548" s="408">
        <v>166907.42696000001</v>
      </c>
      <c r="Y548" s="408">
        <v>0</v>
      </c>
      <c r="Z548" s="408">
        <v>15227.588424564517</v>
      </c>
      <c r="AA548" s="408">
        <v>0</v>
      </c>
      <c r="AB548" s="408">
        <v>0</v>
      </c>
      <c r="AC548" s="408">
        <v>0</v>
      </c>
      <c r="AD548" s="408">
        <v>30403.789167416628</v>
      </c>
      <c r="AE548" s="408">
        <v>124814.98956742779</v>
      </c>
      <c r="AF548" s="408">
        <v>62094.559180353477</v>
      </c>
      <c r="AG548" s="408">
        <v>0</v>
      </c>
      <c r="AH548" s="408">
        <v>0</v>
      </c>
      <c r="AI548" s="408">
        <v>0</v>
      </c>
      <c r="AJ548" s="408">
        <v>0</v>
      </c>
      <c r="AK548" s="408">
        <v>0</v>
      </c>
      <c r="AL548" s="408">
        <v>2353.8235601398114</v>
      </c>
      <c r="AM548" s="408"/>
      <c r="AN548" s="408">
        <v>576.89514421744821</v>
      </c>
      <c r="AO548" s="408">
        <v>0</v>
      </c>
      <c r="AP548" s="408">
        <v>0</v>
      </c>
      <c r="AQ548" s="408">
        <v>0</v>
      </c>
      <c r="AR548" s="408">
        <v>0</v>
      </c>
      <c r="AS548" s="408">
        <v>0</v>
      </c>
      <c r="AT548" s="408">
        <v>0</v>
      </c>
      <c r="AU548" s="408">
        <v>0</v>
      </c>
      <c r="AV548" s="408">
        <v>0</v>
      </c>
      <c r="AW548" s="408">
        <v>0</v>
      </c>
      <c r="AX548" s="408">
        <v>0</v>
      </c>
      <c r="AY548" s="408">
        <v>0</v>
      </c>
      <c r="AZ548" s="408">
        <v>0</v>
      </c>
      <c r="BA548" s="408"/>
      <c r="BB548" s="408">
        <v>0</v>
      </c>
      <c r="BC548" s="408">
        <v>0</v>
      </c>
      <c r="BD548" s="408">
        <v>0</v>
      </c>
      <c r="BE548" s="408">
        <v>0</v>
      </c>
      <c r="BF548" s="408">
        <v>0</v>
      </c>
      <c r="BG548" s="408">
        <v>8565.973289397296</v>
      </c>
      <c r="BH548" s="408">
        <v>0</v>
      </c>
      <c r="BI548" s="408">
        <v>0</v>
      </c>
      <c r="BJ548" s="408">
        <v>0</v>
      </c>
      <c r="BK548" s="408">
        <v>41734.31</v>
      </c>
      <c r="BL548" s="408">
        <v>38</v>
      </c>
      <c r="BM548" s="408"/>
      <c r="BN548" s="408"/>
      <c r="BO548" s="408"/>
      <c r="BP548" s="408"/>
      <c r="BQ548" s="408"/>
      <c r="BR548" s="408"/>
      <c r="BS548" s="408"/>
      <c r="BT548" s="408"/>
      <c r="BU548" s="408"/>
      <c r="BV548" s="408">
        <v>70660.532469750775</v>
      </c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>
        <v>166908.54560000001</v>
      </c>
      <c r="CJ548" s="408">
        <v>-77127.796630000055</v>
      </c>
      <c r="CK548" s="408"/>
      <c r="CL548" s="408"/>
      <c r="CM548" s="408"/>
      <c r="CN548" s="408"/>
      <c r="CO548" s="408">
        <v>-77128.885270000013</v>
      </c>
      <c r="CP548" s="408">
        <v>0</v>
      </c>
      <c r="CQ548" s="408">
        <v>31</v>
      </c>
      <c r="CR548" s="408">
        <v>-598.78098127065459</v>
      </c>
      <c r="CS548" s="408">
        <v>0</v>
      </c>
      <c r="CT548" s="408">
        <v>0</v>
      </c>
      <c r="CU548" s="408">
        <v>0</v>
      </c>
      <c r="CV548" s="408">
        <v>0</v>
      </c>
      <c r="CW548" s="408">
        <v>0</v>
      </c>
      <c r="CX548" s="408">
        <v>0</v>
      </c>
      <c r="CY548" s="408">
        <v>0</v>
      </c>
      <c r="CZ548" s="408">
        <v>-78.140415576766827</v>
      </c>
      <c r="DA548" s="408">
        <v>0</v>
      </c>
      <c r="DB548" s="408">
        <v>0</v>
      </c>
      <c r="DC548" s="408">
        <v>-8.7048028944991529E-6</v>
      </c>
      <c r="DD548" s="408">
        <v>0</v>
      </c>
      <c r="DE548" s="408">
        <v>0</v>
      </c>
      <c r="DF548" s="408">
        <v>0</v>
      </c>
      <c r="DG548" s="408">
        <v>-1.2008658814011142E-6</v>
      </c>
      <c r="DH548" s="408">
        <v>0</v>
      </c>
      <c r="DI548" s="408">
        <v>-442.77394444157471</v>
      </c>
      <c r="DJ548" s="408"/>
      <c r="DK548" s="408">
        <v>0</v>
      </c>
      <c r="DL548" s="408">
        <v>0</v>
      </c>
      <c r="DM548" s="408">
        <v>0</v>
      </c>
      <c r="DN548" s="408">
        <v>0</v>
      </c>
      <c r="DO548" s="408">
        <v>-59.133024042590932</v>
      </c>
      <c r="DP548" s="408">
        <v>-18.733587304062326</v>
      </c>
      <c r="DQ548" s="408">
        <v>0</v>
      </c>
      <c r="DR548" s="408">
        <v>0</v>
      </c>
      <c r="DS548" s="408"/>
      <c r="DT548" s="408"/>
      <c r="DU548" s="408"/>
      <c r="DV548" s="408">
        <v>124814.98956742779</v>
      </c>
      <c r="DW548" s="408">
        <v>0</v>
      </c>
      <c r="DX548" s="408">
        <v>0</v>
      </c>
      <c r="DY548" s="408">
        <v>-77128.885270000013</v>
      </c>
      <c r="DZ548" s="408">
        <v>0</v>
      </c>
      <c r="EA548" s="408">
        <v>0</v>
      </c>
      <c r="EB548" s="408">
        <v>0</v>
      </c>
      <c r="EC548" s="408">
        <v>-76529.701982634986</v>
      </c>
      <c r="ED548" s="408">
        <v>0</v>
      </c>
      <c r="EE548" s="408">
        <v>0</v>
      </c>
      <c r="EF548" s="408">
        <v>0</v>
      </c>
      <c r="EG548" s="408">
        <v>0</v>
      </c>
      <c r="EH548" s="408">
        <v>0</v>
      </c>
      <c r="EI548" s="408">
        <v>0</v>
      </c>
      <c r="EJ548" s="408">
        <v>0</v>
      </c>
      <c r="EK548" s="408">
        <v>0</v>
      </c>
      <c r="EL548" s="408">
        <v>0</v>
      </c>
      <c r="EM548" s="408">
        <v>0</v>
      </c>
      <c r="EN548" s="408">
        <v>0</v>
      </c>
      <c r="EO548" s="408">
        <v>0</v>
      </c>
      <c r="EP548" s="408">
        <v>0</v>
      </c>
      <c r="EQ548" s="408">
        <v>0</v>
      </c>
      <c r="ER548" s="408">
        <v>0</v>
      </c>
      <c r="ES548" s="408">
        <v>0</v>
      </c>
      <c r="ET548" s="408">
        <v>0</v>
      </c>
      <c r="EU548" s="408">
        <v>0</v>
      </c>
      <c r="EV548" s="408">
        <v>265</v>
      </c>
      <c r="EW548" s="408">
        <v>0</v>
      </c>
      <c r="EX548" s="408">
        <v>0</v>
      </c>
      <c r="EY548" s="408">
        <v>0</v>
      </c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555</v>
      </c>
      <c r="B549" s="408" t="s">
        <v>1031</v>
      </c>
      <c r="C549" s="408" t="s">
        <v>2227</v>
      </c>
      <c r="D549" s="408" t="s">
        <v>1952</v>
      </c>
      <c r="E549" s="408" t="s">
        <v>996</v>
      </c>
      <c r="F549" s="408" t="s">
        <v>2243</v>
      </c>
      <c r="G549" s="408" t="s">
        <v>1317</v>
      </c>
      <c r="H549" s="408" t="s">
        <v>1317</v>
      </c>
      <c r="I549" s="408" t="s">
        <v>1317</v>
      </c>
      <c r="J549" s="408" t="s">
        <v>2228</v>
      </c>
      <c r="K549" s="828">
        <v>44682</v>
      </c>
      <c r="L549" s="408">
        <v>0</v>
      </c>
      <c r="M549" s="408">
        <v>0</v>
      </c>
      <c r="N549" s="408">
        <v>86.266000000000005</v>
      </c>
      <c r="O549" s="408">
        <v>81.090040000000002</v>
      </c>
      <c r="P549" s="408">
        <v>86.266000000000005</v>
      </c>
      <c r="Q549" s="408">
        <v>81.090040000000002</v>
      </c>
      <c r="R549" s="408"/>
      <c r="S549" s="408">
        <v>739.04</v>
      </c>
      <c r="T549" s="408">
        <v>252.22</v>
      </c>
      <c r="U549" s="408"/>
      <c r="V549" s="408">
        <v>85512.035159999999</v>
      </c>
      <c r="W549" s="408">
        <v>85512.035159999999</v>
      </c>
      <c r="X549" s="408">
        <v>58485.760020000002</v>
      </c>
      <c r="Y549" s="408">
        <v>0</v>
      </c>
      <c r="Z549" s="408">
        <v>5335.8244092747509</v>
      </c>
      <c r="AA549" s="408">
        <v>0</v>
      </c>
      <c r="AB549" s="408">
        <v>0</v>
      </c>
      <c r="AC549" s="408">
        <v>0</v>
      </c>
      <c r="AD549" s="408">
        <v>10653.642313594608</v>
      </c>
      <c r="AE549" s="408">
        <v>43735.806971437734</v>
      </c>
      <c r="AF549" s="408">
        <v>21758.249259167347</v>
      </c>
      <c r="AG549" s="408">
        <v>0</v>
      </c>
      <c r="AH549" s="408">
        <v>0</v>
      </c>
      <c r="AI549" s="408">
        <v>0</v>
      </c>
      <c r="AJ549" s="408">
        <v>0</v>
      </c>
      <c r="AK549" s="408">
        <v>0</v>
      </c>
      <c r="AL549" s="408">
        <v>824.79174358688113</v>
      </c>
      <c r="AM549" s="408"/>
      <c r="AN549" s="408">
        <v>202.14699178117274</v>
      </c>
      <c r="AO549" s="408">
        <v>0</v>
      </c>
      <c r="AP549" s="408">
        <v>0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0</v>
      </c>
      <c r="BE549" s="408">
        <v>0</v>
      </c>
      <c r="BF549" s="408">
        <v>0</v>
      </c>
      <c r="BG549" s="408">
        <v>3001.560594652643</v>
      </c>
      <c r="BH549" s="408">
        <v>0</v>
      </c>
      <c r="BI549" s="408">
        <v>0</v>
      </c>
      <c r="BJ549" s="408">
        <v>0</v>
      </c>
      <c r="BK549" s="408">
        <v>19783.03</v>
      </c>
      <c r="BL549" s="408">
        <v>28</v>
      </c>
      <c r="BM549" s="408"/>
      <c r="BN549" s="408"/>
      <c r="BO549" s="408"/>
      <c r="BP549" s="408"/>
      <c r="BQ549" s="408">
        <v>3509.1456012000026</v>
      </c>
      <c r="BR549" s="408"/>
      <c r="BS549" s="408"/>
      <c r="BT549" s="408"/>
      <c r="BU549" s="408"/>
      <c r="BV549" s="408">
        <v>24759.809853819992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54976.587300000007</v>
      </c>
      <c r="CJ549" s="408">
        <v>-25404.755750399992</v>
      </c>
      <c r="CK549" s="408"/>
      <c r="CL549" s="408"/>
      <c r="CM549" s="408"/>
      <c r="CN549" s="408"/>
      <c r="CO549" s="408">
        <v>-27026.275139999998</v>
      </c>
      <c r="CP549" s="408">
        <v>0</v>
      </c>
      <c r="CQ549" s="408">
        <v>31</v>
      </c>
      <c r="CR549" s="408">
        <v>-209.81590036421403</v>
      </c>
      <c r="CS549" s="408">
        <v>0</v>
      </c>
      <c r="CT549" s="408">
        <v>0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-27.380798926271382</v>
      </c>
      <c r="DA549" s="408">
        <v>0</v>
      </c>
      <c r="DB549" s="408">
        <v>0</v>
      </c>
      <c r="DC549" s="408">
        <v>-3.0503688321914524E-6</v>
      </c>
      <c r="DD549" s="408">
        <v>0</v>
      </c>
      <c r="DE549" s="408">
        <v>0</v>
      </c>
      <c r="DF549" s="408">
        <v>0</v>
      </c>
      <c r="DG549" s="408">
        <v>-4.2079727791133337E-7</v>
      </c>
      <c r="DH549" s="408">
        <v>0</v>
      </c>
      <c r="DI549" s="408">
        <v>-155.15024143488426</v>
      </c>
      <c r="DJ549" s="408"/>
      <c r="DK549" s="408">
        <v>0</v>
      </c>
      <c r="DL549" s="408">
        <v>0</v>
      </c>
      <c r="DM549" s="408">
        <v>0</v>
      </c>
      <c r="DN549" s="408">
        <v>0</v>
      </c>
      <c r="DO549" s="408">
        <v>-20.720512288845953</v>
      </c>
      <c r="DP549" s="408">
        <v>-6.5643442430476284</v>
      </c>
      <c r="DQ549" s="408">
        <v>0</v>
      </c>
      <c r="DR549" s="408">
        <v>0</v>
      </c>
      <c r="DS549" s="408"/>
      <c r="DT549" s="408"/>
      <c r="DU549" s="408"/>
      <c r="DV549" s="408">
        <v>43735.806971437734</v>
      </c>
      <c r="DW549" s="408">
        <v>0</v>
      </c>
      <c r="DX549" s="408">
        <v>0</v>
      </c>
      <c r="DY549" s="408">
        <v>-27026.275139999998</v>
      </c>
      <c r="DZ549" s="408">
        <v>0</v>
      </c>
      <c r="EA549" s="408">
        <v>0</v>
      </c>
      <c r="EB549" s="408">
        <v>0</v>
      </c>
      <c r="EC549" s="408">
        <v>-26816.396693171297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265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556</v>
      </c>
      <c r="B550" s="408" t="s">
        <v>1031</v>
      </c>
      <c r="C550" s="408" t="s">
        <v>2227</v>
      </c>
      <c r="D550" s="408" t="s">
        <v>1952</v>
      </c>
      <c r="E550" s="408" t="s">
        <v>2244</v>
      </c>
      <c r="F550" s="408" t="s">
        <v>1317</v>
      </c>
      <c r="G550" s="408" t="s">
        <v>1317</v>
      </c>
      <c r="H550" s="408" t="s">
        <v>1317</v>
      </c>
      <c r="I550" s="408" t="s">
        <v>1317</v>
      </c>
      <c r="J550" s="408" t="s">
        <v>2228</v>
      </c>
      <c r="K550" s="828">
        <v>44682</v>
      </c>
      <c r="L550" s="408">
        <v>0</v>
      </c>
      <c r="M550" s="408">
        <v>0</v>
      </c>
      <c r="N550" s="408">
        <v>6.6580000000000004</v>
      </c>
      <c r="O550" s="408">
        <v>6.6580000000000004</v>
      </c>
      <c r="P550" s="408">
        <v>6.6580000000000004</v>
      </c>
      <c r="Q550" s="408">
        <v>6.6580000000000004</v>
      </c>
      <c r="R550" s="408"/>
      <c r="S550" s="408">
        <v>739.04</v>
      </c>
      <c r="T550" s="408">
        <v>252.22</v>
      </c>
      <c r="U550" s="408"/>
      <c r="V550" s="408">
        <v>6599.8090800000009</v>
      </c>
      <c r="W550" s="408">
        <v>6599.8090800000009</v>
      </c>
      <c r="X550" s="408">
        <v>4513.9242599999998</v>
      </c>
      <c r="Y550" s="408">
        <v>0</v>
      </c>
      <c r="Z550" s="408">
        <v>411.81831679863785</v>
      </c>
      <c r="AA550" s="408">
        <v>0</v>
      </c>
      <c r="AB550" s="408">
        <v>0</v>
      </c>
      <c r="AC550" s="408">
        <v>0</v>
      </c>
      <c r="AD550" s="408">
        <v>822.24689360713262</v>
      </c>
      <c r="AE550" s="408">
        <v>3375.5245730163965</v>
      </c>
      <c r="AF550" s="408">
        <v>1679.2991858615931</v>
      </c>
      <c r="AG550" s="408">
        <v>0</v>
      </c>
      <c r="AH550" s="408">
        <v>0</v>
      </c>
      <c r="AI550" s="408">
        <v>0</v>
      </c>
      <c r="AJ550" s="408">
        <v>0</v>
      </c>
      <c r="AK550" s="408">
        <v>0</v>
      </c>
      <c r="AL550" s="408">
        <v>63.657332307067144</v>
      </c>
      <c r="AM550" s="408"/>
      <c r="AN550" s="408">
        <v>15.601681673881346</v>
      </c>
      <c r="AO550" s="408">
        <v>0</v>
      </c>
      <c r="AP550" s="408">
        <v>0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0</v>
      </c>
      <c r="BE550" s="408">
        <v>0</v>
      </c>
      <c r="BF550" s="408">
        <v>0</v>
      </c>
      <c r="BG550" s="408">
        <v>231.66010292812112</v>
      </c>
      <c r="BH550" s="408">
        <v>0</v>
      </c>
      <c r="BI550" s="408">
        <v>0</v>
      </c>
      <c r="BJ550" s="408">
        <v>0</v>
      </c>
      <c r="BK550" s="408">
        <v>1524.83</v>
      </c>
      <c r="BL550" s="408">
        <v>11</v>
      </c>
      <c r="BM550" s="408"/>
      <c r="BN550" s="408"/>
      <c r="BO550" s="408"/>
      <c r="BP550" s="408"/>
      <c r="BQ550" s="408"/>
      <c r="BR550" s="408"/>
      <c r="BS550" s="408"/>
      <c r="BT550" s="408"/>
      <c r="BU550" s="408"/>
      <c r="BV550" s="408">
        <v>1910.9592887897143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4515.2802000000001</v>
      </c>
      <c r="CJ550" s="408">
        <v>-2084.5588800000014</v>
      </c>
      <c r="CK550" s="408"/>
      <c r="CL550" s="408"/>
      <c r="CM550" s="408"/>
      <c r="CN550" s="408"/>
      <c r="CO550" s="408">
        <v>-2085.8848199999998</v>
      </c>
      <c r="CP550" s="408">
        <v>0</v>
      </c>
      <c r="CQ550" s="408">
        <v>31</v>
      </c>
      <c r="CR550" s="408">
        <v>-16.193567160004932</v>
      </c>
      <c r="CS550" s="408">
        <v>0</v>
      </c>
      <c r="CT550" s="408">
        <v>0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-2.1132469252210058</v>
      </c>
      <c r="DA550" s="408">
        <v>0</v>
      </c>
      <c r="DB550" s="408">
        <v>0</v>
      </c>
      <c r="DC550" s="408">
        <v>-2.3542679628008045E-7</v>
      </c>
      <c r="DD550" s="408">
        <v>0</v>
      </c>
      <c r="DE550" s="408">
        <v>0</v>
      </c>
      <c r="DF550" s="408">
        <v>0</v>
      </c>
      <c r="DG550" s="408">
        <v>-3.2477089462190634E-8</v>
      </c>
      <c r="DH550" s="408">
        <v>0</v>
      </c>
      <c r="DI550" s="408">
        <v>-11.974477864668188</v>
      </c>
      <c r="DJ550" s="408"/>
      <c r="DK550" s="408">
        <v>0</v>
      </c>
      <c r="DL550" s="408">
        <v>0</v>
      </c>
      <c r="DM550" s="408">
        <v>0</v>
      </c>
      <c r="DN550" s="408">
        <v>0</v>
      </c>
      <c r="DO550" s="408">
        <v>-1.5992067653436592</v>
      </c>
      <c r="DP550" s="408">
        <v>-0.50663533686749318</v>
      </c>
      <c r="DQ550" s="408">
        <v>0</v>
      </c>
      <c r="DR550" s="408">
        <v>0</v>
      </c>
      <c r="DS550" s="408"/>
      <c r="DT550" s="408"/>
      <c r="DU550" s="408"/>
      <c r="DV550" s="408">
        <v>3375.5245730163965</v>
      </c>
      <c r="DW550" s="408">
        <v>0</v>
      </c>
      <c r="DX550" s="408">
        <v>0</v>
      </c>
      <c r="DY550" s="408">
        <v>-2085.8848200000002</v>
      </c>
      <c r="DZ550" s="408">
        <v>0</v>
      </c>
      <c r="EA550" s="408">
        <v>0</v>
      </c>
      <c r="EB550" s="408">
        <v>0</v>
      </c>
      <c r="EC550" s="408">
        <v>-2069.6864255110304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265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557</v>
      </c>
      <c r="B551" s="408" t="s">
        <v>1031</v>
      </c>
      <c r="C551" s="408" t="s">
        <v>2227</v>
      </c>
      <c r="D551" s="408" t="s">
        <v>2237</v>
      </c>
      <c r="E551" s="408" t="s">
        <v>969</v>
      </c>
      <c r="F551" s="408" t="s">
        <v>2245</v>
      </c>
      <c r="G551" s="408" t="s">
        <v>2246</v>
      </c>
      <c r="H551" s="408" t="s">
        <v>1317</v>
      </c>
      <c r="I551" s="408" t="s">
        <v>1317</v>
      </c>
      <c r="J551" s="408" t="s">
        <v>2228</v>
      </c>
      <c r="K551" s="828">
        <v>44682</v>
      </c>
      <c r="L551" s="408">
        <v>0</v>
      </c>
      <c r="M551" s="408">
        <v>0</v>
      </c>
      <c r="N551" s="408">
        <v>0</v>
      </c>
      <c r="O551" s="408">
        <v>0</v>
      </c>
      <c r="P551" s="408">
        <v>0</v>
      </c>
      <c r="Q551" s="408">
        <v>0</v>
      </c>
      <c r="R551" s="408"/>
      <c r="S551" s="408"/>
      <c r="T551" s="408"/>
      <c r="U551" s="408"/>
      <c r="V551" s="408"/>
      <c r="W551" s="408"/>
      <c r="X551" s="408"/>
      <c r="Y551" s="408"/>
      <c r="Z551" s="408"/>
      <c r="AA551" s="408">
        <v>0</v>
      </c>
      <c r="AB551" s="408"/>
      <c r="AC551" s="408"/>
      <c r="AD551" s="408"/>
      <c r="AE551" s="408"/>
      <c r="AF551" s="408"/>
      <c r="AG551" s="408"/>
      <c r="AH551" s="408"/>
      <c r="AI551" s="408"/>
      <c r="AJ551" s="408"/>
      <c r="AK551" s="408"/>
      <c r="AL551" s="408"/>
      <c r="AM551" s="408"/>
      <c r="AN551" s="408"/>
      <c r="AO551" s="408"/>
      <c r="AP551" s="408"/>
      <c r="AQ551" s="408"/>
      <c r="AR551" s="408"/>
      <c r="AS551" s="408"/>
      <c r="AT551" s="408"/>
      <c r="AU551" s="408"/>
      <c r="AV551" s="408"/>
      <c r="AW551" s="408"/>
      <c r="AX551" s="408"/>
      <c r="AY551" s="408"/>
      <c r="AZ551" s="408">
        <v>0</v>
      </c>
      <c r="BA551" s="408"/>
      <c r="BB551" s="408"/>
      <c r="BC551" s="408"/>
      <c r="BD551" s="408"/>
      <c r="BE551" s="408"/>
      <c r="BF551" s="408"/>
      <c r="BG551" s="408"/>
      <c r="BH551" s="408"/>
      <c r="BI551" s="408">
        <v>0</v>
      </c>
      <c r="BJ551" s="408">
        <v>0</v>
      </c>
      <c r="BK551" s="408">
        <v>309.75</v>
      </c>
      <c r="BL551" s="408">
        <v>33</v>
      </c>
      <c r="BM551" s="408"/>
      <c r="BN551" s="408"/>
      <c r="BO551" s="408"/>
      <c r="BP551" s="408"/>
      <c r="BQ551" s="408"/>
      <c r="BR551" s="408"/>
      <c r="BS551" s="408"/>
      <c r="BT551" s="408"/>
      <c r="BU551" s="408"/>
      <c r="BV551" s="408"/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/>
      <c r="CJ551" s="408">
        <v>-0.03</v>
      </c>
      <c r="CK551" s="408"/>
      <c r="CL551" s="408"/>
      <c r="CM551" s="408"/>
      <c r="CN551" s="408"/>
      <c r="CO551" s="408">
        <v>0</v>
      </c>
      <c r="CP551" s="408">
        <v>0</v>
      </c>
      <c r="CQ551" s="408">
        <v>31</v>
      </c>
      <c r="CR551" s="408"/>
      <c r="CS551" s="408"/>
      <c r="CT551" s="408"/>
      <c r="CU551" s="408"/>
      <c r="CV551" s="408"/>
      <c r="CW551" s="408"/>
      <c r="CX551" s="408"/>
      <c r="CY551" s="408"/>
      <c r="CZ551" s="408"/>
      <c r="DA551" s="408"/>
      <c r="DB551" s="408"/>
      <c r="DC551" s="408"/>
      <c r="DD551" s="408"/>
      <c r="DE551" s="408"/>
      <c r="DF551" s="408"/>
      <c r="DG551" s="408"/>
      <c r="DH551" s="408"/>
      <c r="DI551" s="408"/>
      <c r="DJ551" s="408"/>
      <c r="DK551" s="408">
        <v>0</v>
      </c>
      <c r="DL551" s="408"/>
      <c r="DM551" s="408"/>
      <c r="DN551" s="408"/>
      <c r="DO551" s="408"/>
      <c r="DP551" s="408"/>
      <c r="DQ551" s="408"/>
      <c r="DR551" s="408"/>
      <c r="DS551" s="408"/>
      <c r="DT551" s="408"/>
      <c r="DU551" s="408"/>
      <c r="DV551" s="408"/>
      <c r="DW551" s="408"/>
      <c r="DX551" s="408"/>
      <c r="DY551" s="408"/>
      <c r="DZ551" s="408"/>
      <c r="EA551" s="408"/>
      <c r="EB551" s="408"/>
      <c r="EC551" s="408"/>
      <c r="ED551" s="408"/>
      <c r="EE551" s="408"/>
      <c r="EF551" s="408"/>
      <c r="EG551" s="408"/>
      <c r="EH551" s="408"/>
      <c r="EI551" s="408"/>
      <c r="EJ551" s="408"/>
      <c r="EK551" s="408"/>
      <c r="EL551" s="408"/>
      <c r="EM551" s="408"/>
      <c r="EN551" s="408"/>
      <c r="EO551" s="408"/>
      <c r="EP551" s="408"/>
      <c r="EQ551" s="408"/>
      <c r="ER551" s="408"/>
      <c r="ES551" s="408"/>
      <c r="ET551" s="408"/>
      <c r="EU551" s="408"/>
      <c r="EV551" s="408">
        <v>265</v>
      </c>
      <c r="EW551" s="408"/>
      <c r="EX551" s="408"/>
      <c r="EY551" s="408"/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558</v>
      </c>
      <c r="B552" s="408" t="s">
        <v>2230</v>
      </c>
      <c r="C552" s="408" t="s">
        <v>2227</v>
      </c>
      <c r="D552" s="408" t="s">
        <v>2237</v>
      </c>
      <c r="E552" s="408" t="s">
        <v>969</v>
      </c>
      <c r="F552" s="408" t="s">
        <v>2245</v>
      </c>
      <c r="G552" s="408" t="s">
        <v>2246</v>
      </c>
      <c r="H552" s="408" t="s">
        <v>1317</v>
      </c>
      <c r="I552" s="408" t="s">
        <v>1317</v>
      </c>
      <c r="J552" s="408" t="s">
        <v>2228</v>
      </c>
      <c r="K552" s="828">
        <v>44682</v>
      </c>
      <c r="L552" s="408">
        <v>0</v>
      </c>
      <c r="M552" s="408">
        <v>0</v>
      </c>
      <c r="N552" s="408">
        <v>0</v>
      </c>
      <c r="O552" s="408">
        <v>0</v>
      </c>
      <c r="P552" s="408">
        <v>0</v>
      </c>
      <c r="Q552" s="408">
        <v>0</v>
      </c>
      <c r="R552" s="408"/>
      <c r="S552" s="408"/>
      <c r="T552" s="408"/>
      <c r="U552" s="408"/>
      <c r="V552" s="408"/>
      <c r="W552" s="408"/>
      <c r="X552" s="408"/>
      <c r="Y552" s="408"/>
      <c r="Z552" s="408"/>
      <c r="AA552" s="408">
        <v>0</v>
      </c>
      <c r="AB552" s="408"/>
      <c r="AC552" s="408"/>
      <c r="AD552" s="408"/>
      <c r="AE552" s="408"/>
      <c r="AF552" s="408"/>
      <c r="AG552" s="408"/>
      <c r="AH552" s="408"/>
      <c r="AI552" s="408"/>
      <c r="AJ552" s="408"/>
      <c r="AK552" s="408"/>
      <c r="AL552" s="408"/>
      <c r="AM552" s="408"/>
      <c r="AN552" s="408"/>
      <c r="AO552" s="408"/>
      <c r="AP552" s="408"/>
      <c r="AQ552" s="408"/>
      <c r="AR552" s="408"/>
      <c r="AS552" s="408"/>
      <c r="AT552" s="408"/>
      <c r="AU552" s="408"/>
      <c r="AV552" s="408"/>
      <c r="AW552" s="408"/>
      <c r="AX552" s="408"/>
      <c r="AY552" s="408"/>
      <c r="AZ552" s="408">
        <v>0</v>
      </c>
      <c r="BA552" s="408"/>
      <c r="BB552" s="408"/>
      <c r="BC552" s="408"/>
      <c r="BD552" s="408"/>
      <c r="BE552" s="408"/>
      <c r="BF552" s="408"/>
      <c r="BG552" s="408"/>
      <c r="BH552" s="408"/>
      <c r="BI552" s="408">
        <v>0</v>
      </c>
      <c r="BJ552" s="408">
        <v>0</v>
      </c>
      <c r="BK552" s="408">
        <v>18.670000000000002</v>
      </c>
      <c r="BL552" s="408">
        <v>2</v>
      </c>
      <c r="BM552" s="408"/>
      <c r="BN552" s="408"/>
      <c r="BO552" s="408"/>
      <c r="BP552" s="408"/>
      <c r="BQ552" s="408"/>
      <c r="BR552" s="408"/>
      <c r="BS552" s="408"/>
      <c r="BT552" s="408"/>
      <c r="BU552" s="408"/>
      <c r="BV552" s="408"/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/>
      <c r="CJ552" s="408">
        <v>-0.03</v>
      </c>
      <c r="CK552" s="408"/>
      <c r="CL552" s="408"/>
      <c r="CM552" s="408"/>
      <c r="CN552" s="408"/>
      <c r="CO552" s="408">
        <v>0</v>
      </c>
      <c r="CP552" s="408">
        <v>0</v>
      </c>
      <c r="CQ552" s="408">
        <v>31</v>
      </c>
      <c r="CR552" s="408"/>
      <c r="CS552" s="408"/>
      <c r="CT552" s="408"/>
      <c r="CU552" s="408"/>
      <c r="CV552" s="408"/>
      <c r="CW552" s="408"/>
      <c r="CX552" s="408"/>
      <c r="CY552" s="408"/>
      <c r="CZ552" s="408"/>
      <c r="DA552" s="408"/>
      <c r="DB552" s="408"/>
      <c r="DC552" s="408"/>
      <c r="DD552" s="408"/>
      <c r="DE552" s="408"/>
      <c r="DF552" s="408"/>
      <c r="DG552" s="408"/>
      <c r="DH552" s="408"/>
      <c r="DI552" s="408"/>
      <c r="DJ552" s="408"/>
      <c r="DK552" s="408">
        <v>0</v>
      </c>
      <c r="DL552" s="408"/>
      <c r="DM552" s="408"/>
      <c r="DN552" s="408"/>
      <c r="DO552" s="408"/>
      <c r="DP552" s="408"/>
      <c r="DQ552" s="408"/>
      <c r="DR552" s="408"/>
      <c r="DS552" s="408"/>
      <c r="DT552" s="408"/>
      <c r="DU552" s="408"/>
      <c r="DV552" s="408"/>
      <c r="DW552" s="408"/>
      <c r="DX552" s="408"/>
      <c r="DY552" s="408"/>
      <c r="DZ552" s="408"/>
      <c r="EA552" s="408"/>
      <c r="EB552" s="408"/>
      <c r="EC552" s="408"/>
      <c r="ED552" s="408"/>
      <c r="EE552" s="408"/>
      <c r="EF552" s="408"/>
      <c r="EG552" s="408"/>
      <c r="EH552" s="408"/>
      <c r="EI552" s="408"/>
      <c r="EJ552" s="408"/>
      <c r="EK552" s="408"/>
      <c r="EL552" s="408"/>
      <c r="EM552" s="408"/>
      <c r="EN552" s="408"/>
      <c r="EO552" s="408"/>
      <c r="EP552" s="408"/>
      <c r="EQ552" s="408"/>
      <c r="ER552" s="408"/>
      <c r="ES552" s="408"/>
      <c r="ET552" s="408"/>
      <c r="EU552" s="408"/>
      <c r="EV552" s="408">
        <v>265</v>
      </c>
      <c r="EW552" s="408"/>
      <c r="EX552" s="408"/>
      <c r="EY552" s="408"/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559</v>
      </c>
      <c r="B553" s="408" t="s">
        <v>1031</v>
      </c>
      <c r="C553" s="408" t="s">
        <v>2227</v>
      </c>
      <c r="D553" s="408" t="s">
        <v>2237</v>
      </c>
      <c r="E553" s="408" t="s">
        <v>969</v>
      </c>
      <c r="F553" s="408" t="s">
        <v>2245</v>
      </c>
      <c r="G553" s="408" t="s">
        <v>2246</v>
      </c>
      <c r="H553" s="408" t="s">
        <v>1317</v>
      </c>
      <c r="I553" s="408" t="s">
        <v>1317</v>
      </c>
      <c r="J553" s="408" t="s">
        <v>2228</v>
      </c>
      <c r="K553" s="828">
        <v>44682</v>
      </c>
      <c r="L553" s="408">
        <v>0</v>
      </c>
      <c r="M553" s="408">
        <v>0</v>
      </c>
      <c r="N553" s="408">
        <v>5.6420000000000003</v>
      </c>
      <c r="O553" s="408">
        <v>5.6420000000000003</v>
      </c>
      <c r="P553" s="408">
        <v>5.6420000000000003</v>
      </c>
      <c r="Q553" s="408">
        <v>5.6420000000000003</v>
      </c>
      <c r="R553" s="408"/>
      <c r="S553" s="408">
        <v>739.04</v>
      </c>
      <c r="T553" s="408">
        <v>252.22</v>
      </c>
      <c r="U553" s="408"/>
      <c r="V553" s="408">
        <v>5592.6889199999996</v>
      </c>
      <c r="W553" s="408">
        <v>5592.6889199999996</v>
      </c>
      <c r="X553" s="408">
        <v>3825.1067400000002</v>
      </c>
      <c r="Y553" s="408">
        <v>0</v>
      </c>
      <c r="Z553" s="408">
        <v>348.97550966925724</v>
      </c>
      <c r="AA553" s="408">
        <v>0</v>
      </c>
      <c r="AB553" s="408">
        <v>0</v>
      </c>
      <c r="AC553" s="408">
        <v>0</v>
      </c>
      <c r="AD553" s="408">
        <v>696.77335141655783</v>
      </c>
      <c r="AE553" s="408">
        <v>2860.4249986420109</v>
      </c>
      <c r="AF553" s="408">
        <v>1423.0408541050028</v>
      </c>
      <c r="AG553" s="408">
        <v>0</v>
      </c>
      <c r="AH553" s="408">
        <v>0</v>
      </c>
      <c r="AI553" s="408">
        <v>0</v>
      </c>
      <c r="AJ553" s="408">
        <v>0</v>
      </c>
      <c r="AK553" s="408">
        <v>0</v>
      </c>
      <c r="AL553" s="408">
        <v>53.943326656123887</v>
      </c>
      <c r="AM553" s="408"/>
      <c r="AN553" s="408">
        <v>13.220890358071275</v>
      </c>
      <c r="AO553" s="408">
        <v>0</v>
      </c>
      <c r="AP553" s="408">
        <v>0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0</v>
      </c>
      <c r="BF553" s="408">
        <v>0</v>
      </c>
      <c r="BG553" s="408">
        <v>196.30914699916781</v>
      </c>
      <c r="BH553" s="408">
        <v>0</v>
      </c>
      <c r="BI553" s="408">
        <v>0</v>
      </c>
      <c r="BJ553" s="408">
        <v>0</v>
      </c>
      <c r="BK553" s="408">
        <v>0</v>
      </c>
      <c r="BL553" s="408">
        <v>0</v>
      </c>
      <c r="BM553" s="408"/>
      <c r="BN553" s="408"/>
      <c r="BO553" s="408"/>
      <c r="BP553" s="408"/>
      <c r="BQ553" s="408"/>
      <c r="BR553" s="408">
        <v>458.97669999999982</v>
      </c>
      <c r="BS553" s="408"/>
      <c r="BT553" s="408"/>
      <c r="BU553" s="408"/>
      <c r="BV553" s="408">
        <v>1619.3500011041706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3364.9368000000004</v>
      </c>
      <c r="CJ553" s="408">
        <v>-1556.666220000001</v>
      </c>
      <c r="CK553" s="408"/>
      <c r="CL553" s="408"/>
      <c r="CM553" s="408"/>
      <c r="CN553" s="408"/>
      <c r="CO553" s="408">
        <v>-1767.5821799999999</v>
      </c>
      <c r="CP553" s="408">
        <v>0</v>
      </c>
      <c r="CQ553" s="408">
        <v>31</v>
      </c>
      <c r="CR553" s="408">
        <v>-13.722455079114297</v>
      </c>
      <c r="CS553" s="408">
        <v>0</v>
      </c>
      <c r="CT553" s="408">
        <v>0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-1.7907688723486217</v>
      </c>
      <c r="DA553" s="408">
        <v>0</v>
      </c>
      <c r="DB553" s="408">
        <v>0</v>
      </c>
      <c r="DC553" s="408">
        <v>-1.995013008126989E-7</v>
      </c>
      <c r="DD553" s="408">
        <v>0</v>
      </c>
      <c r="DE553" s="408">
        <v>0</v>
      </c>
      <c r="DF553" s="408">
        <v>0</v>
      </c>
      <c r="DG553" s="408">
        <v>-2.7521139145392226E-8</v>
      </c>
      <c r="DH553" s="408">
        <v>0</v>
      </c>
      <c r="DI553" s="408">
        <v>-10.147191966424998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-1.3551704070394948</v>
      </c>
      <c r="DP553" s="408">
        <v>-0.42932360627912125</v>
      </c>
      <c r="DQ553" s="408">
        <v>0</v>
      </c>
      <c r="DR553" s="408">
        <v>0</v>
      </c>
      <c r="DS553" s="408"/>
      <c r="DT553" s="408"/>
      <c r="DU553" s="408"/>
      <c r="DV553" s="408">
        <v>2860.4249986420109</v>
      </c>
      <c r="DW553" s="408">
        <v>0</v>
      </c>
      <c r="DX553" s="408">
        <v>0</v>
      </c>
      <c r="DY553" s="408">
        <v>-1767.5821799999994</v>
      </c>
      <c r="DZ553" s="408">
        <v>0</v>
      </c>
      <c r="EA553" s="408">
        <v>0</v>
      </c>
      <c r="EB553" s="408">
        <v>0</v>
      </c>
      <c r="EC553" s="408">
        <v>-1753.8556342344896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265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560</v>
      </c>
      <c r="B554" s="408" t="s">
        <v>2229</v>
      </c>
      <c r="C554" s="408" t="s">
        <v>2227</v>
      </c>
      <c r="D554" s="408" t="s">
        <v>2237</v>
      </c>
      <c r="E554" s="408" t="s">
        <v>969</v>
      </c>
      <c r="F554" s="408" t="s">
        <v>2245</v>
      </c>
      <c r="G554" s="408" t="s">
        <v>2246</v>
      </c>
      <c r="H554" s="408" t="s">
        <v>1317</v>
      </c>
      <c r="I554" s="408" t="s">
        <v>1317</v>
      </c>
      <c r="J554" s="408" t="s">
        <v>2228</v>
      </c>
      <c r="K554" s="828">
        <v>44682</v>
      </c>
      <c r="L554" s="408">
        <v>0</v>
      </c>
      <c r="M554" s="408">
        <v>0</v>
      </c>
      <c r="N554" s="408">
        <v>3.2040000000000002</v>
      </c>
      <c r="O554" s="408">
        <v>3.2040000000000002</v>
      </c>
      <c r="P554" s="408">
        <v>3.2040000000000002</v>
      </c>
      <c r="Q554" s="408">
        <v>3.2040000000000002</v>
      </c>
      <c r="R554" s="408"/>
      <c r="S554" s="408">
        <v>739.04</v>
      </c>
      <c r="T554" s="408">
        <v>252.22</v>
      </c>
      <c r="U554" s="408"/>
      <c r="V554" s="408">
        <v>3175.9970400000002</v>
      </c>
      <c r="W554" s="408">
        <v>3175.9970400000002</v>
      </c>
      <c r="X554" s="408">
        <v>2172.2158800000002</v>
      </c>
      <c r="Y554" s="408">
        <v>0</v>
      </c>
      <c r="Z554" s="408">
        <v>198.17751382139315</v>
      </c>
      <c r="AA554" s="408">
        <v>0</v>
      </c>
      <c r="AB554" s="408">
        <v>0</v>
      </c>
      <c r="AC554" s="408">
        <v>0</v>
      </c>
      <c r="AD554" s="408">
        <v>395.68624919153694</v>
      </c>
      <c r="AE554" s="408">
        <v>1624.3888152515069</v>
      </c>
      <c r="AF554" s="408">
        <v>808.12174699617674</v>
      </c>
      <c r="AG554" s="408">
        <v>0</v>
      </c>
      <c r="AH554" s="408">
        <v>0</v>
      </c>
      <c r="AI554" s="408">
        <v>0</v>
      </c>
      <c r="AJ554" s="408">
        <v>0</v>
      </c>
      <c r="AK554" s="408">
        <v>0</v>
      </c>
      <c r="AL554" s="408">
        <v>30.633537505533663</v>
      </c>
      <c r="AM554" s="408"/>
      <c r="AN554" s="408">
        <v>7.5079285195427801</v>
      </c>
      <c r="AO554" s="408">
        <v>0</v>
      </c>
      <c r="AP554" s="408">
        <v>0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>
        <v>0</v>
      </c>
      <c r="BG554" s="408">
        <v>111.48077046886453</v>
      </c>
      <c r="BH554" s="408">
        <v>0</v>
      </c>
      <c r="BI554" s="408">
        <v>0</v>
      </c>
      <c r="BJ554" s="408">
        <v>0</v>
      </c>
      <c r="BK554" s="408">
        <v>0</v>
      </c>
      <c r="BL554" s="408">
        <v>0</v>
      </c>
      <c r="BM554" s="408"/>
      <c r="BN554" s="408"/>
      <c r="BO554" s="408"/>
      <c r="BP554" s="408"/>
      <c r="BQ554" s="408"/>
      <c r="BR554" s="408">
        <v>260.64539999999988</v>
      </c>
      <c r="BS554" s="408"/>
      <c r="BT554" s="408"/>
      <c r="BU554" s="408"/>
      <c r="BV554" s="408">
        <v>919.60251746504127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1909.1840000000002</v>
      </c>
      <c r="CJ554" s="408">
        <v>-885.72724000000107</v>
      </c>
      <c r="CK554" s="408"/>
      <c r="CL554" s="408"/>
      <c r="CM554" s="408"/>
      <c r="CN554" s="408"/>
      <c r="CO554" s="408">
        <v>-1003.7811599999999</v>
      </c>
      <c r="CP554" s="408">
        <v>0</v>
      </c>
      <c r="CQ554" s="408">
        <v>31</v>
      </c>
      <c r="CR554" s="408">
        <v>-7.7927589637511119</v>
      </c>
      <c r="CS554" s="408">
        <v>0</v>
      </c>
      <c r="CT554" s="408">
        <v>0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-1.0169485053181688</v>
      </c>
      <c r="DA554" s="408">
        <v>0</v>
      </c>
      <c r="DB554" s="408">
        <v>0</v>
      </c>
      <c r="DC554" s="408">
        <v>-1.1329348126309924E-7</v>
      </c>
      <c r="DD554" s="408">
        <v>0</v>
      </c>
      <c r="DE554" s="408">
        <v>0</v>
      </c>
      <c r="DF554" s="408">
        <v>0</v>
      </c>
      <c r="DG554" s="408">
        <v>-1.562881379868486E-8</v>
      </c>
      <c r="DH554" s="408">
        <v>0</v>
      </c>
      <c r="DI554" s="408">
        <v>-5.7624252145384105</v>
      </c>
      <c r="DJ554" s="408"/>
      <c r="DK554" s="408">
        <v>0</v>
      </c>
      <c r="DL554" s="408">
        <v>0</v>
      </c>
      <c r="DM554" s="408">
        <v>0</v>
      </c>
      <c r="DN554" s="408">
        <v>0</v>
      </c>
      <c r="DO554" s="408">
        <v>-0.76957922441590654</v>
      </c>
      <c r="DP554" s="408">
        <v>-0.24380589055623947</v>
      </c>
      <c r="DQ554" s="408">
        <v>0</v>
      </c>
      <c r="DR554" s="408">
        <v>0</v>
      </c>
      <c r="DS554" s="408"/>
      <c r="DT554" s="408"/>
      <c r="DU554" s="408"/>
      <c r="DV554" s="408">
        <v>1624.3888152515069</v>
      </c>
      <c r="DW554" s="408">
        <v>0</v>
      </c>
      <c r="DX554" s="408">
        <v>0</v>
      </c>
      <c r="DY554" s="408">
        <v>-1003.78116</v>
      </c>
      <c r="DZ554" s="408">
        <v>0</v>
      </c>
      <c r="EA554" s="408">
        <v>0</v>
      </c>
      <c r="EB554" s="408">
        <v>0</v>
      </c>
      <c r="EC554" s="408">
        <v>-995.98607800200352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265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561</v>
      </c>
      <c r="B555" s="408" t="s">
        <v>2230</v>
      </c>
      <c r="C555" s="408" t="s">
        <v>2227</v>
      </c>
      <c r="D555" s="408" t="s">
        <v>2237</v>
      </c>
      <c r="E555" s="408" t="s">
        <v>969</v>
      </c>
      <c r="F555" s="408" t="s">
        <v>2245</v>
      </c>
      <c r="G555" s="408" t="s">
        <v>2246</v>
      </c>
      <c r="H555" s="408" t="s">
        <v>1317</v>
      </c>
      <c r="I555" s="408" t="s">
        <v>1317</v>
      </c>
      <c r="J555" s="408" t="s">
        <v>2228</v>
      </c>
      <c r="K555" s="828">
        <v>44682</v>
      </c>
      <c r="L555" s="408">
        <v>0</v>
      </c>
      <c r="M555" s="408">
        <v>0</v>
      </c>
      <c r="N555" s="408">
        <v>0.16</v>
      </c>
      <c r="O555" s="408">
        <v>0.16</v>
      </c>
      <c r="P555" s="408">
        <v>0.16</v>
      </c>
      <c r="Q555" s="408">
        <v>0.16</v>
      </c>
      <c r="R555" s="408"/>
      <c r="S555" s="408">
        <v>739.04</v>
      </c>
      <c r="T555" s="408">
        <v>252.22</v>
      </c>
      <c r="U555" s="408"/>
      <c r="V555" s="408">
        <v>158.60159999999999</v>
      </c>
      <c r="W555" s="408">
        <v>158.60159999999999</v>
      </c>
      <c r="X555" s="408">
        <v>108.4752</v>
      </c>
      <c r="Y555" s="408">
        <v>0</v>
      </c>
      <c r="Z555" s="408">
        <v>9.8965050597449764</v>
      </c>
      <c r="AA555" s="408">
        <v>0</v>
      </c>
      <c r="AB555" s="408">
        <v>0</v>
      </c>
      <c r="AC555" s="408">
        <v>0</v>
      </c>
      <c r="AD555" s="408">
        <v>19.759612943397599</v>
      </c>
      <c r="AE555" s="408">
        <v>81.118043208564643</v>
      </c>
      <c r="AF555" s="408">
        <v>40.35564279631344</v>
      </c>
      <c r="AG555" s="408">
        <v>0</v>
      </c>
      <c r="AH555" s="408">
        <v>0</v>
      </c>
      <c r="AI555" s="408">
        <v>0</v>
      </c>
      <c r="AJ555" s="408">
        <v>0</v>
      </c>
      <c r="AK555" s="408">
        <v>0</v>
      </c>
      <c r="AL555" s="408">
        <v>1.5297646694398832</v>
      </c>
      <c r="AM555" s="408"/>
      <c r="AN555" s="408">
        <v>0.37492776626930235</v>
      </c>
      <c r="AO555" s="408">
        <v>0</v>
      </c>
      <c r="AP555" s="408">
        <v>0</v>
      </c>
      <c r="AQ555" s="408">
        <v>0</v>
      </c>
      <c r="AR555" s="408">
        <v>0</v>
      </c>
      <c r="AS555" s="408">
        <v>0</v>
      </c>
      <c r="AT555" s="408">
        <v>0</v>
      </c>
      <c r="AU555" s="408">
        <v>0</v>
      </c>
      <c r="AV555" s="408">
        <v>0</v>
      </c>
      <c r="AW555" s="408">
        <v>0</v>
      </c>
      <c r="AX555" s="408">
        <v>0</v>
      </c>
      <c r="AY555" s="408">
        <v>0</v>
      </c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>
        <v>0</v>
      </c>
      <c r="BG555" s="408">
        <v>5.5670796738509125</v>
      </c>
      <c r="BH555" s="408">
        <v>0</v>
      </c>
      <c r="BI555" s="408">
        <v>0</v>
      </c>
      <c r="BJ555" s="408">
        <v>0</v>
      </c>
      <c r="BK555" s="408">
        <v>0</v>
      </c>
      <c r="BL555" s="408">
        <v>0</v>
      </c>
      <c r="BM555" s="408"/>
      <c r="BN555" s="408"/>
      <c r="BO555" s="408"/>
      <c r="BP555" s="408"/>
      <c r="BQ555" s="408"/>
      <c r="BR555" s="408">
        <v>13.015999999999995</v>
      </c>
      <c r="BS555" s="408"/>
      <c r="BT555" s="408"/>
      <c r="BU555" s="408"/>
      <c r="BV555" s="408">
        <v>45.922722470164352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95.45920000000001</v>
      </c>
      <c r="CJ555" s="408">
        <v>-44.1404</v>
      </c>
      <c r="CK555" s="408"/>
      <c r="CL555" s="408"/>
      <c r="CM555" s="408"/>
      <c r="CN555" s="408"/>
      <c r="CO555" s="408">
        <v>-50.126399999999997</v>
      </c>
      <c r="CP555" s="408">
        <v>0</v>
      </c>
      <c r="CQ555" s="408">
        <v>31</v>
      </c>
      <c r="CR555" s="408">
        <v>-0.3891515088015467</v>
      </c>
      <c r="CS555" s="408">
        <v>0</v>
      </c>
      <c r="CT555" s="408">
        <v>0</v>
      </c>
      <c r="CU555" s="408">
        <v>0</v>
      </c>
      <c r="CV555" s="408">
        <v>0</v>
      </c>
      <c r="CW555" s="408">
        <v>0</v>
      </c>
      <c r="CX555" s="408">
        <v>0</v>
      </c>
      <c r="CY555" s="408">
        <v>0</v>
      </c>
      <c r="CZ555" s="408">
        <v>-5.0783945334238467E-2</v>
      </c>
      <c r="DA555" s="408">
        <v>0</v>
      </c>
      <c r="DB555" s="408">
        <v>0</v>
      </c>
      <c r="DC555" s="408">
        <v>-5.6575970575067913E-9</v>
      </c>
      <c r="DD555" s="408">
        <v>0</v>
      </c>
      <c r="DE555" s="408">
        <v>0</v>
      </c>
      <c r="DF555" s="408">
        <v>0</v>
      </c>
      <c r="DG555" s="408">
        <v>-7.8046458185099254E-10</v>
      </c>
      <c r="DH555" s="408">
        <v>0</v>
      </c>
      <c r="DI555" s="408">
        <v>-0.28776155877844722</v>
      </c>
      <c r="DJ555" s="408"/>
      <c r="DK555" s="408">
        <v>0</v>
      </c>
      <c r="DL555" s="408">
        <v>0</v>
      </c>
      <c r="DM555" s="408">
        <v>0</v>
      </c>
      <c r="DN555" s="408">
        <v>0</v>
      </c>
      <c r="DO555" s="408">
        <v>-3.8430922567585624E-2</v>
      </c>
      <c r="DP555" s="408">
        <v>-1.217507568320797E-2</v>
      </c>
      <c r="DQ555" s="408">
        <v>0</v>
      </c>
      <c r="DR555" s="408">
        <v>0</v>
      </c>
      <c r="DS555" s="408"/>
      <c r="DT555" s="408"/>
      <c r="DU555" s="408"/>
      <c r="DV555" s="408">
        <v>81.118043208564643</v>
      </c>
      <c r="DW555" s="408">
        <v>0</v>
      </c>
      <c r="DX555" s="408">
        <v>0</v>
      </c>
      <c r="DY555" s="408">
        <v>-50.12639999999999</v>
      </c>
      <c r="DZ555" s="408">
        <v>0</v>
      </c>
      <c r="EA555" s="408">
        <v>0</v>
      </c>
      <c r="EB555" s="408">
        <v>0</v>
      </c>
      <c r="EC555" s="408">
        <v>-49.737132484494566</v>
      </c>
      <c r="ED555" s="408">
        <v>0</v>
      </c>
      <c r="EE555" s="408">
        <v>0</v>
      </c>
      <c r="EF555" s="408">
        <v>0</v>
      </c>
      <c r="EG555" s="408">
        <v>0</v>
      </c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>
        <v>0</v>
      </c>
      <c r="EN555" s="408">
        <v>0</v>
      </c>
      <c r="EO555" s="408">
        <v>0</v>
      </c>
      <c r="EP555" s="408">
        <v>0</v>
      </c>
      <c r="EQ555" s="408">
        <v>0</v>
      </c>
      <c r="ER555" s="408">
        <v>0</v>
      </c>
      <c r="ES555" s="408">
        <v>0</v>
      </c>
      <c r="ET555" s="408">
        <v>0</v>
      </c>
      <c r="EU555" s="408">
        <v>0</v>
      </c>
      <c r="EV555" s="408">
        <v>265</v>
      </c>
      <c r="EW555" s="408">
        <v>0</v>
      </c>
      <c r="EX555" s="408">
        <v>0</v>
      </c>
      <c r="EY555" s="408">
        <v>0</v>
      </c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562</v>
      </c>
      <c r="B556" s="408" t="s">
        <v>1031</v>
      </c>
      <c r="C556" s="408" t="s">
        <v>2227</v>
      </c>
      <c r="D556" s="408" t="s">
        <v>2237</v>
      </c>
      <c r="E556" s="408" t="s">
        <v>969</v>
      </c>
      <c r="F556" s="408" t="s">
        <v>2245</v>
      </c>
      <c r="G556" s="408" t="s">
        <v>2247</v>
      </c>
      <c r="H556" s="408" t="s">
        <v>1317</v>
      </c>
      <c r="I556" s="408" t="s">
        <v>1317</v>
      </c>
      <c r="J556" s="408" t="s">
        <v>2228</v>
      </c>
      <c r="K556" s="828">
        <v>44682</v>
      </c>
      <c r="L556" s="408">
        <v>0</v>
      </c>
      <c r="M556" s="408">
        <v>0</v>
      </c>
      <c r="N556" s="408">
        <v>2.2999999999999998</v>
      </c>
      <c r="O556" s="408">
        <v>0.92</v>
      </c>
      <c r="P556" s="408">
        <v>2.2999999999999998</v>
      </c>
      <c r="Q556" s="408">
        <v>0.92</v>
      </c>
      <c r="R556" s="408"/>
      <c r="S556" s="408">
        <v>739.04</v>
      </c>
      <c r="T556" s="408">
        <v>252.22</v>
      </c>
      <c r="U556" s="408"/>
      <c r="V556" s="408">
        <v>2279.8979999999997</v>
      </c>
      <c r="W556" s="408">
        <v>2279.8979999999997</v>
      </c>
      <c r="X556" s="408">
        <v>1559.3309999999999</v>
      </c>
      <c r="Y556" s="408">
        <v>0</v>
      </c>
      <c r="Z556" s="408">
        <v>142.26226023383401</v>
      </c>
      <c r="AA556" s="408">
        <v>0</v>
      </c>
      <c r="AB556" s="408">
        <v>0</v>
      </c>
      <c r="AC556" s="408">
        <v>0</v>
      </c>
      <c r="AD556" s="408">
        <v>284.04443606134043</v>
      </c>
      <c r="AE556" s="408">
        <v>1166.0718711231166</v>
      </c>
      <c r="AF556" s="408">
        <v>580.11236519700572</v>
      </c>
      <c r="AG556" s="408">
        <v>0</v>
      </c>
      <c r="AH556" s="408">
        <v>0</v>
      </c>
      <c r="AI556" s="408">
        <v>0</v>
      </c>
      <c r="AJ556" s="408">
        <v>0</v>
      </c>
      <c r="AK556" s="408">
        <v>0</v>
      </c>
      <c r="AL556" s="408">
        <v>21.990367123198322</v>
      </c>
      <c r="AM556" s="408"/>
      <c r="AN556" s="408">
        <v>5.3895866401212214</v>
      </c>
      <c r="AO556" s="408">
        <v>0</v>
      </c>
      <c r="AP556" s="408">
        <v>0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0</v>
      </c>
      <c r="BF556" s="408">
        <v>0</v>
      </c>
      <c r="BG556" s="408">
        <v>80.026770311606867</v>
      </c>
      <c r="BH556" s="408">
        <v>0</v>
      </c>
      <c r="BI556" s="408">
        <v>0</v>
      </c>
      <c r="BJ556" s="408">
        <v>0</v>
      </c>
      <c r="BK556" s="408">
        <v>0</v>
      </c>
      <c r="BL556" s="408">
        <v>0</v>
      </c>
      <c r="BM556" s="408"/>
      <c r="BN556" s="408"/>
      <c r="BO556" s="408"/>
      <c r="BP556" s="408"/>
      <c r="BQ556" s="408"/>
      <c r="BR556" s="408"/>
      <c r="BS556" s="408">
        <v>1010.4405999999999</v>
      </c>
      <c r="BT556" s="408"/>
      <c r="BU556" s="408"/>
      <c r="BV556" s="408">
        <v>660.13913550861253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548.8904</v>
      </c>
      <c r="CJ556" s="408">
        <v>-253.66480000000001</v>
      </c>
      <c r="CK556" s="408"/>
      <c r="CL556" s="408"/>
      <c r="CM556" s="408"/>
      <c r="CN556" s="408"/>
      <c r="CO556" s="408">
        <v>-720.56699999999989</v>
      </c>
      <c r="CP556" s="408">
        <v>0</v>
      </c>
      <c r="CQ556" s="408">
        <v>31</v>
      </c>
      <c r="CR556" s="408">
        <v>-5.594052939022049</v>
      </c>
      <c r="CS556" s="408">
        <v>0</v>
      </c>
      <c r="CT556" s="408">
        <v>0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-0.73001921417966287</v>
      </c>
      <c r="DA556" s="408">
        <v>0</v>
      </c>
      <c r="DB556" s="408">
        <v>0</v>
      </c>
      <c r="DC556" s="408">
        <v>-8.1328039414074738E-8</v>
      </c>
      <c r="DD556" s="408">
        <v>0</v>
      </c>
      <c r="DE556" s="408">
        <v>0</v>
      </c>
      <c r="DF556" s="408">
        <v>0</v>
      </c>
      <c r="DG556" s="408">
        <v>-1.1219185580557678E-8</v>
      </c>
      <c r="DH556" s="408">
        <v>0</v>
      </c>
      <c r="DI556" s="408">
        <v>-4.136572407440184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-0.55244451190904797</v>
      </c>
      <c r="DP556" s="408">
        <v>-0.17501671294611487</v>
      </c>
      <c r="DQ556" s="408">
        <v>0</v>
      </c>
      <c r="DR556" s="408">
        <v>0</v>
      </c>
      <c r="DS556" s="408"/>
      <c r="DT556" s="408"/>
      <c r="DU556" s="408"/>
      <c r="DV556" s="408">
        <v>1166.0718711231166</v>
      </c>
      <c r="DW556" s="408">
        <v>0</v>
      </c>
      <c r="DX556" s="408">
        <v>0</v>
      </c>
      <c r="DY556" s="408">
        <v>-720.56699999999978</v>
      </c>
      <c r="DZ556" s="408">
        <v>0</v>
      </c>
      <c r="EA556" s="408">
        <v>0</v>
      </c>
      <c r="EB556" s="408">
        <v>0</v>
      </c>
      <c r="EC556" s="408">
        <v>-714.97127946460921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265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563</v>
      </c>
      <c r="B557" s="408" t="s">
        <v>2229</v>
      </c>
      <c r="C557" s="408" t="s">
        <v>2227</v>
      </c>
      <c r="D557" s="408" t="s">
        <v>2237</v>
      </c>
      <c r="E557" s="408" t="s">
        <v>969</v>
      </c>
      <c r="F557" s="408" t="s">
        <v>2245</v>
      </c>
      <c r="G557" s="408" t="s">
        <v>2247</v>
      </c>
      <c r="H557" s="408" t="s">
        <v>1317</v>
      </c>
      <c r="I557" s="408" t="s">
        <v>1317</v>
      </c>
      <c r="J557" s="408" t="s">
        <v>2228</v>
      </c>
      <c r="K557" s="828">
        <v>44682</v>
      </c>
      <c r="L557" s="408">
        <v>0</v>
      </c>
      <c r="M557" s="408">
        <v>0</v>
      </c>
      <c r="N557" s="408">
        <v>-3.1019999999999999</v>
      </c>
      <c r="O557" s="408">
        <v>-1.2407999999999999</v>
      </c>
      <c r="P557" s="408">
        <v>-3.1019999999999999</v>
      </c>
      <c r="Q557" s="408">
        <v>-1.2407999999999999</v>
      </c>
      <c r="R557" s="408"/>
      <c r="S557" s="408">
        <v>739.04</v>
      </c>
      <c r="T557" s="408">
        <v>252.22</v>
      </c>
      <c r="U557" s="408"/>
      <c r="V557" s="408">
        <v>-3074.8885199999995</v>
      </c>
      <c r="W557" s="408">
        <v>-3074.8885199999995</v>
      </c>
      <c r="X557" s="408">
        <v>-2103.0629399999998</v>
      </c>
      <c r="Y557" s="408">
        <v>0</v>
      </c>
      <c r="Z557" s="408">
        <v>-191.86849184580572</v>
      </c>
      <c r="AA557" s="408">
        <v>0</v>
      </c>
      <c r="AB557" s="408">
        <v>0</v>
      </c>
      <c r="AC557" s="408">
        <v>0</v>
      </c>
      <c r="AD557" s="408">
        <v>-383.08949594012091</v>
      </c>
      <c r="AE557" s="408">
        <v>-1572.6760627060469</v>
      </c>
      <c r="AF557" s="408">
        <v>-782.39502471352682</v>
      </c>
      <c r="AG557" s="408">
        <v>0</v>
      </c>
      <c r="AH557" s="408">
        <v>0</v>
      </c>
      <c r="AI557" s="408">
        <v>0</v>
      </c>
      <c r="AJ557" s="408">
        <v>0</v>
      </c>
      <c r="AK557" s="408">
        <v>0</v>
      </c>
      <c r="AL557" s="408">
        <v>-29.658312528765737</v>
      </c>
      <c r="AM557" s="408"/>
      <c r="AN557" s="408">
        <v>-7.2689120685460997</v>
      </c>
      <c r="AO557" s="408">
        <v>0</v>
      </c>
      <c r="AP557" s="408">
        <v>0</v>
      </c>
      <c r="AQ557" s="408">
        <v>0</v>
      </c>
      <c r="AR557" s="408">
        <v>0</v>
      </c>
      <c r="AS557" s="408">
        <v>0</v>
      </c>
      <c r="AT557" s="408">
        <v>0</v>
      </c>
      <c r="AU557" s="408">
        <v>0</v>
      </c>
      <c r="AV557" s="408">
        <v>0</v>
      </c>
      <c r="AW557" s="408">
        <v>0</v>
      </c>
      <c r="AX557" s="408">
        <v>0</v>
      </c>
      <c r="AY557" s="408">
        <v>0</v>
      </c>
      <c r="AZ557" s="408">
        <v>0</v>
      </c>
      <c r="BA557" s="408"/>
      <c r="BB557" s="408">
        <v>0</v>
      </c>
      <c r="BC557" s="408">
        <v>0</v>
      </c>
      <c r="BD557" s="408">
        <v>0</v>
      </c>
      <c r="BE557" s="408">
        <v>0</v>
      </c>
      <c r="BF557" s="408">
        <v>0</v>
      </c>
      <c r="BG557" s="408">
        <v>-107.93175717678456</v>
      </c>
      <c r="BH557" s="408">
        <v>0</v>
      </c>
      <c r="BI557" s="408">
        <v>0</v>
      </c>
      <c r="BJ557" s="408">
        <v>0</v>
      </c>
      <c r="BK557" s="408">
        <v>0</v>
      </c>
      <c r="BL557" s="408">
        <v>0</v>
      </c>
      <c r="BM557" s="408"/>
      <c r="BN557" s="408"/>
      <c r="BO557" s="408"/>
      <c r="BP557" s="408"/>
      <c r="BQ557" s="408"/>
      <c r="BR557" s="408"/>
      <c r="BS557" s="408">
        <v>-1362.776844</v>
      </c>
      <c r="BT557" s="408"/>
      <c r="BU557" s="408"/>
      <c r="BV557" s="408">
        <v>-890.32678189031139</v>
      </c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>
        <v>-739.80880000000002</v>
      </c>
      <c r="CJ557" s="408">
        <v>342.52344799999992</v>
      </c>
      <c r="CK557" s="408"/>
      <c r="CL557" s="408"/>
      <c r="CM557" s="408"/>
      <c r="CN557" s="408"/>
      <c r="CO557" s="408">
        <v>971.82557999999983</v>
      </c>
      <c r="CP557" s="408">
        <v>0</v>
      </c>
      <c r="CQ557" s="408">
        <v>31</v>
      </c>
      <c r="CR557" s="408">
        <v>7.5446748768902125</v>
      </c>
      <c r="CS557" s="408">
        <v>0</v>
      </c>
      <c r="CT557" s="408">
        <v>0</v>
      </c>
      <c r="CU557" s="408">
        <v>0</v>
      </c>
      <c r="CV557" s="408">
        <v>0</v>
      </c>
      <c r="CW557" s="408">
        <v>0</v>
      </c>
      <c r="CX557" s="408">
        <v>0</v>
      </c>
      <c r="CY557" s="408">
        <v>0</v>
      </c>
      <c r="CZ557" s="408">
        <v>0.98457374016754784</v>
      </c>
      <c r="DA557" s="408">
        <v>0</v>
      </c>
      <c r="DB557" s="408">
        <v>0</v>
      </c>
      <c r="DC557" s="408">
        <v>1.0968676633638097E-7</v>
      </c>
      <c r="DD557" s="408">
        <v>0</v>
      </c>
      <c r="DE557" s="408">
        <v>0</v>
      </c>
      <c r="DF557" s="408">
        <v>0</v>
      </c>
      <c r="DG557" s="408">
        <v>1.5131249142541492E-8</v>
      </c>
      <c r="DH557" s="408">
        <v>0</v>
      </c>
      <c r="DI557" s="408">
        <v>5.5789772208171655</v>
      </c>
      <c r="DJ557" s="408"/>
      <c r="DK557" s="408">
        <v>0</v>
      </c>
      <c r="DL557" s="408">
        <v>0</v>
      </c>
      <c r="DM557" s="408">
        <v>0</v>
      </c>
      <c r="DN557" s="408">
        <v>0</v>
      </c>
      <c r="DO557" s="408">
        <v>0.7450795112790729</v>
      </c>
      <c r="DP557" s="408">
        <v>0.23604427980819498</v>
      </c>
      <c r="DQ557" s="408">
        <v>0</v>
      </c>
      <c r="DR557" s="408">
        <v>0</v>
      </c>
      <c r="DS557" s="408"/>
      <c r="DT557" s="408"/>
      <c r="DU557" s="408"/>
      <c r="DV557" s="408">
        <v>-1572.6760627060469</v>
      </c>
      <c r="DW557" s="408">
        <v>0</v>
      </c>
      <c r="DX557" s="408">
        <v>0</v>
      </c>
      <c r="DY557" s="408">
        <v>971.82557999999972</v>
      </c>
      <c r="DZ557" s="408">
        <v>0</v>
      </c>
      <c r="EA557" s="408">
        <v>0</v>
      </c>
      <c r="EB557" s="408">
        <v>0</v>
      </c>
      <c r="EC557" s="408">
        <v>964.2786560431382</v>
      </c>
      <c r="ED557" s="408">
        <v>0</v>
      </c>
      <c r="EE557" s="408">
        <v>0</v>
      </c>
      <c r="EF557" s="408">
        <v>0</v>
      </c>
      <c r="EG557" s="408">
        <v>0</v>
      </c>
      <c r="EH557" s="408">
        <v>0</v>
      </c>
      <c r="EI557" s="408">
        <v>0</v>
      </c>
      <c r="EJ557" s="408">
        <v>0</v>
      </c>
      <c r="EK557" s="408">
        <v>0</v>
      </c>
      <c r="EL557" s="408">
        <v>0</v>
      </c>
      <c r="EM557" s="408">
        <v>0</v>
      </c>
      <c r="EN557" s="408">
        <v>0</v>
      </c>
      <c r="EO557" s="408">
        <v>0</v>
      </c>
      <c r="EP557" s="408">
        <v>0</v>
      </c>
      <c r="EQ557" s="408">
        <v>0</v>
      </c>
      <c r="ER557" s="408">
        <v>0</v>
      </c>
      <c r="ES557" s="408">
        <v>0</v>
      </c>
      <c r="ET557" s="408">
        <v>0</v>
      </c>
      <c r="EU557" s="408">
        <v>0</v>
      </c>
      <c r="EV557" s="408">
        <v>265</v>
      </c>
      <c r="EW557" s="408">
        <v>0</v>
      </c>
      <c r="EX557" s="408">
        <v>0</v>
      </c>
      <c r="EY557" s="408">
        <v>0</v>
      </c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564</v>
      </c>
      <c r="B558" s="408" t="s">
        <v>2230</v>
      </c>
      <c r="C558" s="408" t="s">
        <v>2227</v>
      </c>
      <c r="D558" s="408" t="s">
        <v>2237</v>
      </c>
      <c r="E558" s="408" t="s">
        <v>969</v>
      </c>
      <c r="F558" s="408" t="s">
        <v>2245</v>
      </c>
      <c r="G558" s="408" t="s">
        <v>2247</v>
      </c>
      <c r="H558" s="408" t="s">
        <v>1317</v>
      </c>
      <c r="I558" s="408" t="s">
        <v>1317</v>
      </c>
      <c r="J558" s="408" t="s">
        <v>2228</v>
      </c>
      <c r="K558" s="828">
        <v>44682</v>
      </c>
      <c r="L558" s="408">
        <v>0</v>
      </c>
      <c r="M558" s="408">
        <v>0</v>
      </c>
      <c r="N558" s="408">
        <v>0.04</v>
      </c>
      <c r="O558" s="408">
        <v>0.04</v>
      </c>
      <c r="P558" s="408">
        <v>0.04</v>
      </c>
      <c r="Q558" s="408">
        <v>0.04</v>
      </c>
      <c r="R558" s="408"/>
      <c r="S558" s="408">
        <v>739.04</v>
      </c>
      <c r="T558" s="408">
        <v>252.22</v>
      </c>
      <c r="U558" s="408"/>
      <c r="V558" s="408">
        <v>39.650399999999998</v>
      </c>
      <c r="W558" s="408">
        <v>39.650399999999998</v>
      </c>
      <c r="X558" s="408">
        <v>27.1188</v>
      </c>
      <c r="Y558" s="408">
        <v>0</v>
      </c>
      <c r="Z558" s="408">
        <v>2.4741262649362441</v>
      </c>
      <c r="AA558" s="408">
        <v>0</v>
      </c>
      <c r="AB558" s="408">
        <v>0</v>
      </c>
      <c r="AC558" s="408">
        <v>0</v>
      </c>
      <c r="AD558" s="408">
        <v>4.9399032358493997</v>
      </c>
      <c r="AE558" s="408">
        <v>20.279510802141161</v>
      </c>
      <c r="AF558" s="408">
        <v>10.08891069907836</v>
      </c>
      <c r="AG558" s="408">
        <v>0</v>
      </c>
      <c r="AH558" s="408">
        <v>0</v>
      </c>
      <c r="AI558" s="408">
        <v>0</v>
      </c>
      <c r="AJ558" s="408">
        <v>0</v>
      </c>
      <c r="AK558" s="408">
        <v>0</v>
      </c>
      <c r="AL558" s="408">
        <v>0.3824411673599708</v>
      </c>
      <c r="AM558" s="408"/>
      <c r="AN558" s="408">
        <v>9.3731941567325588E-2</v>
      </c>
      <c r="AO558" s="408">
        <v>0</v>
      </c>
      <c r="AP558" s="408">
        <v>0</v>
      </c>
      <c r="AQ558" s="408">
        <v>0</v>
      </c>
      <c r="AR558" s="408">
        <v>0</v>
      </c>
      <c r="AS558" s="408">
        <v>0</v>
      </c>
      <c r="AT558" s="408">
        <v>0</v>
      </c>
      <c r="AU558" s="408">
        <v>0</v>
      </c>
      <c r="AV558" s="408">
        <v>0</v>
      </c>
      <c r="AW558" s="408">
        <v>0</v>
      </c>
      <c r="AX558" s="408">
        <v>0</v>
      </c>
      <c r="AY558" s="408">
        <v>0</v>
      </c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0</v>
      </c>
      <c r="BF558" s="408">
        <v>0</v>
      </c>
      <c r="BG558" s="408">
        <v>1.3917699184627281</v>
      </c>
      <c r="BH558" s="408">
        <v>0</v>
      </c>
      <c r="BI558" s="408">
        <v>0</v>
      </c>
      <c r="BJ558" s="408">
        <v>0</v>
      </c>
      <c r="BK558" s="408">
        <v>0</v>
      </c>
      <c r="BL558" s="408">
        <v>0</v>
      </c>
      <c r="BM558" s="408"/>
      <c r="BN558" s="408"/>
      <c r="BO558" s="408"/>
      <c r="BP558" s="408"/>
      <c r="BQ558" s="408"/>
      <c r="BR558" s="408">
        <v>3.2539999999999987</v>
      </c>
      <c r="BS558" s="408"/>
      <c r="BT558" s="408"/>
      <c r="BU558" s="408"/>
      <c r="BV558" s="408">
        <v>11.480680617541088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23.864800000000002</v>
      </c>
      <c r="CJ558" s="408">
        <v>-11.057600000000001</v>
      </c>
      <c r="CK558" s="408"/>
      <c r="CL558" s="408"/>
      <c r="CM558" s="408"/>
      <c r="CN558" s="408"/>
      <c r="CO558" s="408">
        <v>-12.531599999999999</v>
      </c>
      <c r="CP558" s="408">
        <v>0</v>
      </c>
      <c r="CQ558" s="408">
        <v>31</v>
      </c>
      <c r="CR558" s="408">
        <v>-9.7287877200386674E-2</v>
      </c>
      <c r="CS558" s="408">
        <v>0</v>
      </c>
      <c r="CT558" s="408">
        <v>0</v>
      </c>
      <c r="CU558" s="408">
        <v>0</v>
      </c>
      <c r="CV558" s="408">
        <v>0</v>
      </c>
      <c r="CW558" s="408">
        <v>0</v>
      </c>
      <c r="CX558" s="408">
        <v>0</v>
      </c>
      <c r="CY558" s="408">
        <v>0</v>
      </c>
      <c r="CZ558" s="408">
        <v>-1.2695986333559617E-2</v>
      </c>
      <c r="DA558" s="408">
        <v>0</v>
      </c>
      <c r="DB558" s="408">
        <v>0</v>
      </c>
      <c r="DC558" s="408">
        <v>-1.4143992643766978E-9</v>
      </c>
      <c r="DD558" s="408">
        <v>0</v>
      </c>
      <c r="DE558" s="408">
        <v>0</v>
      </c>
      <c r="DF558" s="408">
        <v>0</v>
      </c>
      <c r="DG558" s="408">
        <v>-1.9511614546274814E-10</v>
      </c>
      <c r="DH558" s="408">
        <v>0</v>
      </c>
      <c r="DI558" s="408">
        <v>-7.1940389694611806E-2</v>
      </c>
      <c r="DJ558" s="408"/>
      <c r="DK558" s="408">
        <v>0</v>
      </c>
      <c r="DL558" s="408">
        <v>0</v>
      </c>
      <c r="DM558" s="408">
        <v>0</v>
      </c>
      <c r="DN558" s="408">
        <v>0</v>
      </c>
      <c r="DO558" s="408">
        <v>-9.6077306418964059E-3</v>
      </c>
      <c r="DP558" s="408">
        <v>-3.0437689208019925E-3</v>
      </c>
      <c r="DQ558" s="408">
        <v>0</v>
      </c>
      <c r="DR558" s="408">
        <v>0</v>
      </c>
      <c r="DS558" s="408"/>
      <c r="DT558" s="408"/>
      <c r="DU558" s="408"/>
      <c r="DV558" s="408">
        <v>20.279510802141161</v>
      </c>
      <c r="DW558" s="408">
        <v>0</v>
      </c>
      <c r="DX558" s="408">
        <v>0</v>
      </c>
      <c r="DY558" s="408">
        <v>-12.531599999999997</v>
      </c>
      <c r="DZ558" s="408">
        <v>0</v>
      </c>
      <c r="EA558" s="408">
        <v>0</v>
      </c>
      <c r="EB558" s="408">
        <v>0</v>
      </c>
      <c r="EC558" s="408">
        <v>-12.434283121123642</v>
      </c>
      <c r="ED558" s="408">
        <v>0</v>
      </c>
      <c r="EE558" s="408">
        <v>0</v>
      </c>
      <c r="EF558" s="408">
        <v>0</v>
      </c>
      <c r="EG558" s="408">
        <v>0</v>
      </c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>
        <v>0</v>
      </c>
      <c r="EN558" s="408">
        <v>0</v>
      </c>
      <c r="EO558" s="408">
        <v>0</v>
      </c>
      <c r="EP558" s="408">
        <v>0</v>
      </c>
      <c r="EQ558" s="408">
        <v>0</v>
      </c>
      <c r="ER558" s="408">
        <v>0</v>
      </c>
      <c r="ES558" s="408">
        <v>0</v>
      </c>
      <c r="ET558" s="408">
        <v>0</v>
      </c>
      <c r="EU558" s="408">
        <v>0</v>
      </c>
      <c r="EV558" s="408">
        <v>265</v>
      </c>
      <c r="EW558" s="408">
        <v>0</v>
      </c>
      <c r="EX558" s="408">
        <v>0</v>
      </c>
      <c r="EY558" s="408">
        <v>0</v>
      </c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565</v>
      </c>
      <c r="B559" s="408" t="s">
        <v>1031</v>
      </c>
      <c r="C559" s="408" t="s">
        <v>2235</v>
      </c>
      <c r="D559" s="408" t="s">
        <v>596</v>
      </c>
      <c r="E559" s="408" t="s">
        <v>969</v>
      </c>
      <c r="F559" s="408" t="s">
        <v>2245</v>
      </c>
      <c r="G559" s="408" t="s">
        <v>1317</v>
      </c>
      <c r="H559" s="408" t="s">
        <v>1317</v>
      </c>
      <c r="I559" s="408" t="s">
        <v>968</v>
      </c>
      <c r="J559" s="408" t="s">
        <v>2228</v>
      </c>
      <c r="K559" s="828">
        <v>44682</v>
      </c>
      <c r="L559" s="408">
        <v>0</v>
      </c>
      <c r="M559" s="408">
        <v>0</v>
      </c>
      <c r="N559" s="408">
        <v>5.4539999999999997</v>
      </c>
      <c r="O559" s="408">
        <v>5.2358399999999996</v>
      </c>
      <c r="P559" s="408">
        <v>5.4539999999999997</v>
      </c>
      <c r="Q559" s="408">
        <v>5.2358399999999996</v>
      </c>
      <c r="R559" s="408"/>
      <c r="S559" s="408">
        <v>2641.06</v>
      </c>
      <c r="T559" s="408">
        <v>252.22</v>
      </c>
      <c r="U559" s="408"/>
      <c r="V559" s="408">
        <v>15779.949119999999</v>
      </c>
      <c r="W559" s="408">
        <v>15779.949119999999</v>
      </c>
      <c r="X559" s="408">
        <v>9366.3723599999994</v>
      </c>
      <c r="Y559" s="408">
        <v>0</v>
      </c>
      <c r="Z559" s="408">
        <v>293.49199111492942</v>
      </c>
      <c r="AA559" s="408">
        <v>0</v>
      </c>
      <c r="AB559" s="408">
        <v>0</v>
      </c>
      <c r="AC559" s="408">
        <v>0</v>
      </c>
      <c r="AD559" s="408">
        <v>3532.9211664009986</v>
      </c>
      <c r="AE559" s="408">
        <v>10428.540718179109</v>
      </c>
      <c r="AF559" s="408">
        <v>1375.6229738193344</v>
      </c>
      <c r="AG559" s="408">
        <v>0</v>
      </c>
      <c r="AH559" s="408">
        <v>0</v>
      </c>
      <c r="AI559" s="408">
        <v>0</v>
      </c>
      <c r="AJ559" s="408">
        <v>0</v>
      </c>
      <c r="AK559" s="408">
        <v>0</v>
      </c>
      <c r="AL559" s="408">
        <v>52.145853169532018</v>
      </c>
      <c r="AM559" s="408"/>
      <c r="AN559" s="408">
        <v>13.121812074682833</v>
      </c>
      <c r="AO559" s="408">
        <v>0</v>
      </c>
      <c r="AP559" s="408">
        <v>0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0</v>
      </c>
      <c r="BF559" s="408">
        <v>0</v>
      </c>
      <c r="BG559" s="408">
        <v>84.116176299872478</v>
      </c>
      <c r="BH559" s="408">
        <v>0</v>
      </c>
      <c r="BI559" s="408">
        <v>0</v>
      </c>
      <c r="BJ559" s="408">
        <v>0</v>
      </c>
      <c r="BK559" s="408">
        <v>0</v>
      </c>
      <c r="BL559" s="408">
        <v>0</v>
      </c>
      <c r="BM559" s="408"/>
      <c r="BN559" s="408"/>
      <c r="BO559" s="408"/>
      <c r="BP559" s="408"/>
      <c r="BQ559" s="408"/>
      <c r="BR559" s="408">
        <v>374.65489440000022</v>
      </c>
      <c r="BS559" s="408"/>
      <c r="BT559" s="408"/>
      <c r="BU559" s="408"/>
      <c r="BV559" s="408">
        <v>1459.7391501192069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8998.8616000000002</v>
      </c>
      <c r="CJ559" s="408">
        <v>-6149.9195551999983</v>
      </c>
      <c r="CK559" s="408"/>
      <c r="CL559" s="408"/>
      <c r="CM559" s="408"/>
      <c r="CN559" s="408"/>
      <c r="CO559" s="408">
        <v>-6413.5767599999999</v>
      </c>
      <c r="CP559" s="408">
        <v>0</v>
      </c>
      <c r="CQ559" s="408">
        <v>31</v>
      </c>
      <c r="CR559" s="408">
        <v>-19.34993177346405</v>
      </c>
      <c r="CS559" s="408">
        <v>0</v>
      </c>
      <c r="CT559" s="408">
        <v>0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-9.0799185135274456</v>
      </c>
      <c r="DA559" s="408">
        <v>0</v>
      </c>
      <c r="DB559" s="408">
        <v>0</v>
      </c>
      <c r="DC559" s="408">
        <v>-1.9285357666376512E-7</v>
      </c>
      <c r="DD559" s="408">
        <v>0</v>
      </c>
      <c r="DE559" s="408">
        <v>0</v>
      </c>
      <c r="DF559" s="408">
        <v>0</v>
      </c>
      <c r="DG559" s="408">
        <v>-1.1792621990025509E-8</v>
      </c>
      <c r="DH559" s="408">
        <v>0</v>
      </c>
      <c r="DI559" s="408">
        <v>-8.5338927573284309</v>
      </c>
      <c r="DJ559" s="408"/>
      <c r="DK559" s="408">
        <v>0</v>
      </c>
      <c r="DL559" s="408">
        <v>0</v>
      </c>
      <c r="DM559" s="408">
        <v>0</v>
      </c>
      <c r="DN559" s="408">
        <v>0</v>
      </c>
      <c r="DO559" s="408">
        <v>-1.3100140730225789</v>
      </c>
      <c r="DP559" s="408">
        <v>-0.4261062249397618</v>
      </c>
      <c r="DQ559" s="408">
        <v>0</v>
      </c>
      <c r="DR559" s="408">
        <v>0</v>
      </c>
      <c r="DS559" s="408"/>
      <c r="DT559" s="408"/>
      <c r="DU559" s="408"/>
      <c r="DV559" s="408">
        <v>10428.540718179109</v>
      </c>
      <c r="DW559" s="408">
        <v>0</v>
      </c>
      <c r="DX559" s="408">
        <v>0</v>
      </c>
      <c r="DY559" s="408">
        <v>-6413.5767600000008</v>
      </c>
      <c r="DZ559" s="408">
        <v>0</v>
      </c>
      <c r="EA559" s="408">
        <v>0</v>
      </c>
      <c r="EB559" s="408">
        <v>0</v>
      </c>
      <c r="EC559" s="408">
        <v>-6394.2088689986558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265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566</v>
      </c>
      <c r="B560" s="408" t="s">
        <v>1031</v>
      </c>
      <c r="C560" s="408" t="s">
        <v>2235</v>
      </c>
      <c r="D560" s="408" t="s">
        <v>596</v>
      </c>
      <c r="E560" s="408" t="s">
        <v>969</v>
      </c>
      <c r="F560" s="408" t="s">
        <v>2245</v>
      </c>
      <c r="G560" s="408" t="s">
        <v>1317</v>
      </c>
      <c r="H560" s="408" t="s">
        <v>1317</v>
      </c>
      <c r="I560" s="408" t="s">
        <v>2236</v>
      </c>
      <c r="J560" s="408" t="s">
        <v>2228</v>
      </c>
      <c r="K560" s="828">
        <v>44682</v>
      </c>
      <c r="L560" s="408">
        <v>0</v>
      </c>
      <c r="M560" s="408">
        <v>0</v>
      </c>
      <c r="N560" s="408">
        <v>29.379000000000001</v>
      </c>
      <c r="O560" s="408">
        <v>28.20384</v>
      </c>
      <c r="P560" s="408">
        <v>29.379000000000001</v>
      </c>
      <c r="Q560" s="408">
        <v>28.20384</v>
      </c>
      <c r="R560" s="408"/>
      <c r="S560" s="408">
        <v>81.2</v>
      </c>
      <c r="T560" s="408">
        <v>252.22</v>
      </c>
      <c r="U560" s="408"/>
      <c r="V560" s="408">
        <v>9795.5461800000012</v>
      </c>
      <c r="W560" s="408">
        <v>9795.5461800000012</v>
      </c>
      <c r="X560" s="408">
        <v>9740.3136599999998</v>
      </c>
      <c r="Y560" s="408">
        <v>0</v>
      </c>
      <c r="Z560" s="408">
        <v>1580.9499829419715</v>
      </c>
      <c r="AA560" s="408">
        <v>0</v>
      </c>
      <c r="AB560" s="408">
        <v>0</v>
      </c>
      <c r="AC560" s="408">
        <v>0</v>
      </c>
      <c r="AD560" s="408">
        <v>0</v>
      </c>
      <c r="AE560" s="408">
        <v>0</v>
      </c>
      <c r="AF560" s="408">
        <v>7410.0526857055793</v>
      </c>
      <c r="AG560" s="408">
        <v>0</v>
      </c>
      <c r="AH560" s="408">
        <v>0</v>
      </c>
      <c r="AI560" s="408">
        <v>0</v>
      </c>
      <c r="AJ560" s="408">
        <v>0</v>
      </c>
      <c r="AK560" s="408">
        <v>0</v>
      </c>
      <c r="AL560" s="408">
        <v>280.89347639671456</v>
      </c>
      <c r="AM560" s="408"/>
      <c r="AN560" s="408">
        <v>70.683116417694706</v>
      </c>
      <c r="AO560" s="408">
        <v>0</v>
      </c>
      <c r="AP560" s="408">
        <v>0</v>
      </c>
      <c r="AQ560" s="408">
        <v>0</v>
      </c>
      <c r="AR560" s="408">
        <v>0</v>
      </c>
      <c r="AS560" s="408">
        <v>0</v>
      </c>
      <c r="AT560" s="408">
        <v>0</v>
      </c>
      <c r="AU560" s="408">
        <v>0</v>
      </c>
      <c r="AV560" s="408">
        <v>0</v>
      </c>
      <c r="AW560" s="408">
        <v>0</v>
      </c>
      <c r="AX560" s="408">
        <v>0</v>
      </c>
      <c r="AY560" s="408">
        <v>0</v>
      </c>
      <c r="AZ560" s="408">
        <v>0</v>
      </c>
      <c r="BA560" s="408"/>
      <c r="BB560" s="408">
        <v>0</v>
      </c>
      <c r="BC560" s="408">
        <v>0</v>
      </c>
      <c r="BD560" s="408">
        <v>0</v>
      </c>
      <c r="BE560" s="408">
        <v>0</v>
      </c>
      <c r="BF560" s="408">
        <v>0</v>
      </c>
      <c r="BG560" s="408">
        <v>453.10765374293254</v>
      </c>
      <c r="BH560" s="408">
        <v>0</v>
      </c>
      <c r="BI560" s="408">
        <v>0</v>
      </c>
      <c r="BJ560" s="408">
        <v>0</v>
      </c>
      <c r="BK560" s="408">
        <v>0</v>
      </c>
      <c r="BL560" s="408">
        <v>0</v>
      </c>
      <c r="BM560" s="408"/>
      <c r="BN560" s="408"/>
      <c r="BO560" s="408"/>
      <c r="BP560" s="408"/>
      <c r="BQ560" s="408"/>
      <c r="BR560" s="408">
        <v>389.61254640000061</v>
      </c>
      <c r="BS560" s="408"/>
      <c r="BT560" s="408"/>
      <c r="BU560" s="408"/>
      <c r="BV560" s="408">
        <v>7863.1603394485119</v>
      </c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>
        <v>9349.4279999999999</v>
      </c>
      <c r="CJ560" s="408">
        <v>-54.326332800001182</v>
      </c>
      <c r="CK560" s="408"/>
      <c r="CL560" s="408"/>
      <c r="CM560" s="408"/>
      <c r="CN560" s="408"/>
      <c r="CO560" s="408">
        <v>-55.232520000000285</v>
      </c>
      <c r="CP560" s="408">
        <v>0</v>
      </c>
      <c r="CQ560" s="408">
        <v>31</v>
      </c>
      <c r="CR560" s="408">
        <v>-55.321364056415405</v>
      </c>
      <c r="CS560" s="408">
        <v>0</v>
      </c>
      <c r="CT560" s="408">
        <v>0</v>
      </c>
      <c r="CU560" s="408">
        <v>0</v>
      </c>
      <c r="CV560" s="408">
        <v>0</v>
      </c>
      <c r="CW560" s="408">
        <v>0</v>
      </c>
      <c r="CX560" s="408">
        <v>0</v>
      </c>
      <c r="CY560" s="408">
        <v>0</v>
      </c>
      <c r="CZ560" s="408">
        <v>0</v>
      </c>
      <c r="DA560" s="408">
        <v>0</v>
      </c>
      <c r="DB560" s="408">
        <v>0</v>
      </c>
      <c r="DC560" s="408">
        <v>-1.0388421287643723E-6</v>
      </c>
      <c r="DD560" s="408">
        <v>0</v>
      </c>
      <c r="DE560" s="408">
        <v>0</v>
      </c>
      <c r="DF560" s="408">
        <v>0</v>
      </c>
      <c r="DG560" s="408">
        <v>-6.3523259541398147E-8</v>
      </c>
      <c r="DH560" s="408">
        <v>0</v>
      </c>
      <c r="DI560" s="408">
        <v>-45.96942341722638</v>
      </c>
      <c r="DJ560" s="408"/>
      <c r="DK560" s="408">
        <v>0</v>
      </c>
      <c r="DL560" s="408">
        <v>0</v>
      </c>
      <c r="DM560" s="408">
        <v>0</v>
      </c>
      <c r="DN560" s="408">
        <v>0</v>
      </c>
      <c r="DO560" s="408">
        <v>-7.0566379632068674</v>
      </c>
      <c r="DP560" s="408">
        <v>-2.2953015736166549</v>
      </c>
      <c r="DQ560" s="408">
        <v>0</v>
      </c>
      <c r="DR560" s="408">
        <v>0</v>
      </c>
      <c r="DS560" s="408"/>
      <c r="DT560" s="408"/>
      <c r="DU560" s="408"/>
      <c r="DV560" s="408">
        <v>0</v>
      </c>
      <c r="DW560" s="408">
        <v>0</v>
      </c>
      <c r="DX560" s="408">
        <v>0</v>
      </c>
      <c r="DY560" s="408">
        <v>-55.232520000000477</v>
      </c>
      <c r="DZ560" s="408">
        <v>0</v>
      </c>
      <c r="EA560" s="408">
        <v>0</v>
      </c>
      <c r="EB560" s="408">
        <v>0</v>
      </c>
      <c r="EC560" s="408">
        <v>0</v>
      </c>
      <c r="ED560" s="408">
        <v>0</v>
      </c>
      <c r="EE560" s="408">
        <v>0</v>
      </c>
      <c r="EF560" s="408">
        <v>0</v>
      </c>
      <c r="EG560" s="408">
        <v>0</v>
      </c>
      <c r="EH560" s="408">
        <v>0</v>
      </c>
      <c r="EI560" s="408">
        <v>0</v>
      </c>
      <c r="EJ560" s="408">
        <v>0</v>
      </c>
      <c r="EK560" s="408">
        <v>0</v>
      </c>
      <c r="EL560" s="408">
        <v>0</v>
      </c>
      <c r="EM560" s="408">
        <v>0</v>
      </c>
      <c r="EN560" s="408">
        <v>0</v>
      </c>
      <c r="EO560" s="408">
        <v>0</v>
      </c>
      <c r="EP560" s="408">
        <v>0</v>
      </c>
      <c r="EQ560" s="408">
        <v>0</v>
      </c>
      <c r="ER560" s="408">
        <v>0</v>
      </c>
      <c r="ES560" s="408">
        <v>0</v>
      </c>
      <c r="ET560" s="408">
        <v>0</v>
      </c>
      <c r="EU560" s="408">
        <v>0</v>
      </c>
      <c r="EV560" s="408">
        <v>265</v>
      </c>
      <c r="EW560" s="408">
        <v>0</v>
      </c>
      <c r="EX560" s="408">
        <v>0</v>
      </c>
      <c r="EY560" s="408">
        <v>0</v>
      </c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567</v>
      </c>
      <c r="B561" s="408" t="s">
        <v>1031</v>
      </c>
      <c r="C561" s="408" t="s">
        <v>2235</v>
      </c>
      <c r="D561" s="408" t="s">
        <v>596</v>
      </c>
      <c r="E561" s="408" t="s">
        <v>969</v>
      </c>
      <c r="F561" s="408" t="s">
        <v>2245</v>
      </c>
      <c r="G561" s="408" t="s">
        <v>1317</v>
      </c>
      <c r="H561" s="408" t="s">
        <v>1317</v>
      </c>
      <c r="I561" s="408" t="s">
        <v>1317</v>
      </c>
      <c r="J561" s="408" t="s">
        <v>2228</v>
      </c>
      <c r="K561" s="828">
        <v>44682</v>
      </c>
      <c r="L561" s="408">
        <v>637</v>
      </c>
      <c r="M561" s="408">
        <v>611.52</v>
      </c>
      <c r="N561" s="408">
        <v>0</v>
      </c>
      <c r="O561" s="408">
        <v>0</v>
      </c>
      <c r="P561" s="408">
        <v>0</v>
      </c>
      <c r="Q561" s="408">
        <v>0</v>
      </c>
      <c r="R561" s="408">
        <v>74.44</v>
      </c>
      <c r="S561" s="408"/>
      <c r="T561" s="408"/>
      <c r="U561" s="408">
        <v>47418.28</v>
      </c>
      <c r="V561" s="408"/>
      <c r="W561" s="408">
        <v>47418.28</v>
      </c>
      <c r="X561" s="408">
        <v>28932.54</v>
      </c>
      <c r="Y561" s="408">
        <v>0</v>
      </c>
      <c r="Z561" s="408">
        <v>0</v>
      </c>
      <c r="AA561" s="408">
        <v>0</v>
      </c>
      <c r="AB561" s="408">
        <v>0</v>
      </c>
      <c r="AC561" s="408">
        <v>0</v>
      </c>
      <c r="AD561" s="408">
        <v>17337.287941897797</v>
      </c>
      <c r="AE561" s="408">
        <v>30080.119664071513</v>
      </c>
      <c r="AF561" s="408"/>
      <c r="AG561" s="408"/>
      <c r="AH561" s="408"/>
      <c r="AI561" s="408">
        <v>0</v>
      </c>
      <c r="AJ561" s="408">
        <v>0</v>
      </c>
      <c r="AK561" s="408">
        <v>0</v>
      </c>
      <c r="AL561" s="408">
        <v>0</v>
      </c>
      <c r="AM561" s="408"/>
      <c r="AN561" s="408">
        <v>0</v>
      </c>
      <c r="AO561" s="408">
        <v>0</v>
      </c>
      <c r="AP561" s="408">
        <v>0</v>
      </c>
      <c r="AQ561" s="408">
        <v>0</v>
      </c>
      <c r="AR561" s="408">
        <v>0</v>
      </c>
      <c r="AS561" s="408"/>
      <c r="AT561" s="408"/>
      <c r="AU561" s="408">
        <v>0</v>
      </c>
      <c r="AV561" s="408">
        <v>0</v>
      </c>
      <c r="AW561" s="408">
        <v>0</v>
      </c>
      <c r="AX561" s="408"/>
      <c r="AY561" s="408"/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0</v>
      </c>
      <c r="BF561" s="408"/>
      <c r="BG561" s="408">
        <v>0</v>
      </c>
      <c r="BH561" s="408">
        <v>0</v>
      </c>
      <c r="BI561" s="408">
        <v>0</v>
      </c>
      <c r="BJ561" s="408">
        <v>0</v>
      </c>
      <c r="BK561" s="408">
        <v>166.41</v>
      </c>
      <c r="BL561" s="408">
        <v>24</v>
      </c>
      <c r="BM561" s="408"/>
      <c r="BN561" s="408"/>
      <c r="BO561" s="408"/>
      <c r="BP561" s="408"/>
      <c r="BQ561" s="408"/>
      <c r="BR561" s="408">
        <v>1157.3016000000009</v>
      </c>
      <c r="BS561" s="408"/>
      <c r="BT561" s="408"/>
      <c r="BU561" s="408"/>
      <c r="BV561" s="408">
        <v>0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27775.238400000002</v>
      </c>
      <c r="CJ561" s="408">
        <v>-17746.340400000001</v>
      </c>
      <c r="CK561" s="408"/>
      <c r="CL561" s="408"/>
      <c r="CM561" s="408"/>
      <c r="CN561" s="408"/>
      <c r="CO561" s="408">
        <v>-18485.739999999998</v>
      </c>
      <c r="CP561" s="408">
        <v>0</v>
      </c>
      <c r="CQ561" s="408">
        <v>31</v>
      </c>
      <c r="CR561" s="408">
        <v>-44.55835676580682</v>
      </c>
      <c r="CS561" s="408">
        <v>0</v>
      </c>
      <c r="CT561" s="408">
        <v>0</v>
      </c>
      <c r="CU561" s="408">
        <v>0</v>
      </c>
      <c r="CV561" s="408">
        <v>0</v>
      </c>
      <c r="CW561" s="408"/>
      <c r="CX561" s="408"/>
      <c r="CY561" s="408"/>
      <c r="CZ561" s="408">
        <v>-44.55835676580682</v>
      </c>
      <c r="DA561" s="408">
        <v>0</v>
      </c>
      <c r="DB561" s="408">
        <v>0</v>
      </c>
      <c r="DC561" s="408"/>
      <c r="DD561" s="408"/>
      <c r="DE561" s="408">
        <v>0</v>
      </c>
      <c r="DF561" s="408">
        <v>0</v>
      </c>
      <c r="DG561" s="408">
        <v>0</v>
      </c>
      <c r="DH561" s="408">
        <v>0</v>
      </c>
      <c r="DI561" s="408">
        <v>0</v>
      </c>
      <c r="DJ561" s="408"/>
      <c r="DK561" s="408">
        <v>0</v>
      </c>
      <c r="DL561" s="408">
        <v>0</v>
      </c>
      <c r="DM561" s="408"/>
      <c r="DN561" s="408">
        <v>0</v>
      </c>
      <c r="DO561" s="408">
        <v>0</v>
      </c>
      <c r="DP561" s="408">
        <v>0</v>
      </c>
      <c r="DQ561" s="408">
        <v>0</v>
      </c>
      <c r="DR561" s="408">
        <v>0</v>
      </c>
      <c r="DS561" s="408"/>
      <c r="DT561" s="408"/>
      <c r="DU561" s="408">
        <v>30080.119664071513</v>
      </c>
      <c r="DV561" s="408"/>
      <c r="DW561" s="408">
        <v>0</v>
      </c>
      <c r="DX561" s="408">
        <v>0</v>
      </c>
      <c r="DY561" s="408">
        <v>-18485.739999999998</v>
      </c>
      <c r="DZ561" s="408"/>
      <c r="EA561" s="408">
        <v>0</v>
      </c>
      <c r="EB561" s="408"/>
      <c r="EC561" s="408">
        <v>-18443.478635631276</v>
      </c>
      <c r="ED561" s="408"/>
      <c r="EE561" s="408">
        <v>0</v>
      </c>
      <c r="EF561" s="408">
        <v>0</v>
      </c>
      <c r="EG561" s="408"/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/>
      <c r="EN561" s="408"/>
      <c r="EO561" s="408">
        <v>0</v>
      </c>
      <c r="EP561" s="408">
        <v>0</v>
      </c>
      <c r="EQ561" s="408"/>
      <c r="ER561" s="408">
        <v>0</v>
      </c>
      <c r="ES561" s="408"/>
      <c r="ET561" s="408">
        <v>0</v>
      </c>
      <c r="EU561" s="408"/>
      <c r="EV561" s="408">
        <v>265</v>
      </c>
      <c r="EW561" s="408"/>
      <c r="EX561" s="408"/>
      <c r="EY561" s="408"/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568</v>
      </c>
      <c r="B562" s="408" t="s">
        <v>2229</v>
      </c>
      <c r="C562" s="408" t="s">
        <v>2235</v>
      </c>
      <c r="D562" s="408" t="s">
        <v>596</v>
      </c>
      <c r="E562" s="408" t="s">
        <v>969</v>
      </c>
      <c r="F562" s="408" t="s">
        <v>2245</v>
      </c>
      <c r="G562" s="408" t="s">
        <v>1317</v>
      </c>
      <c r="H562" s="408" t="s">
        <v>1317</v>
      </c>
      <c r="I562" s="408" t="s">
        <v>1317</v>
      </c>
      <c r="J562" s="408" t="s">
        <v>2228</v>
      </c>
      <c r="K562" s="828">
        <v>44682</v>
      </c>
      <c r="L562" s="408">
        <v>-3781</v>
      </c>
      <c r="M562" s="408">
        <v>-3629.76</v>
      </c>
      <c r="N562" s="408">
        <v>0</v>
      </c>
      <c r="O562" s="408">
        <v>0</v>
      </c>
      <c r="P562" s="408">
        <v>0</v>
      </c>
      <c r="Q562" s="408">
        <v>0</v>
      </c>
      <c r="R562" s="408">
        <v>74.44</v>
      </c>
      <c r="S562" s="408"/>
      <c r="T562" s="408"/>
      <c r="U562" s="408">
        <v>-281457.64</v>
      </c>
      <c r="V562" s="408"/>
      <c r="W562" s="408">
        <v>-281457.64</v>
      </c>
      <c r="X562" s="408">
        <v>-171733.02000000002</v>
      </c>
      <c r="Y562" s="408">
        <v>0</v>
      </c>
      <c r="Z562" s="408">
        <v>0</v>
      </c>
      <c r="AA562" s="408">
        <v>0</v>
      </c>
      <c r="AB562" s="408">
        <v>0</v>
      </c>
      <c r="AC562" s="408">
        <v>0</v>
      </c>
      <c r="AD562" s="408">
        <v>-102907.82685763825</v>
      </c>
      <c r="AE562" s="408">
        <v>-178544.63492912779</v>
      </c>
      <c r="AF562" s="408"/>
      <c r="AG562" s="408"/>
      <c r="AH562" s="408"/>
      <c r="AI562" s="408">
        <v>0</v>
      </c>
      <c r="AJ562" s="408">
        <v>0</v>
      </c>
      <c r="AK562" s="408">
        <v>0</v>
      </c>
      <c r="AL562" s="408">
        <v>0</v>
      </c>
      <c r="AM562" s="408"/>
      <c r="AN562" s="408">
        <v>0</v>
      </c>
      <c r="AO562" s="408">
        <v>0</v>
      </c>
      <c r="AP562" s="408">
        <v>0</v>
      </c>
      <c r="AQ562" s="408">
        <v>0</v>
      </c>
      <c r="AR562" s="408">
        <v>0</v>
      </c>
      <c r="AS562" s="408"/>
      <c r="AT562" s="408"/>
      <c r="AU562" s="408">
        <v>0</v>
      </c>
      <c r="AV562" s="408">
        <v>0</v>
      </c>
      <c r="AW562" s="408">
        <v>0</v>
      </c>
      <c r="AX562" s="408"/>
      <c r="AY562" s="408"/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0</v>
      </c>
      <c r="BF562" s="408"/>
      <c r="BG562" s="408">
        <v>0</v>
      </c>
      <c r="BH562" s="408">
        <v>0</v>
      </c>
      <c r="BI562" s="408">
        <v>0</v>
      </c>
      <c r="BJ562" s="408">
        <v>0</v>
      </c>
      <c r="BK562" s="408">
        <v>0</v>
      </c>
      <c r="BL562" s="408">
        <v>0</v>
      </c>
      <c r="BM562" s="408"/>
      <c r="BN562" s="408"/>
      <c r="BO562" s="408"/>
      <c r="BP562" s="408"/>
      <c r="BQ562" s="408"/>
      <c r="BR562" s="408">
        <v>-6869.3207999999904</v>
      </c>
      <c r="BS562" s="408"/>
      <c r="BT562" s="408"/>
      <c r="BU562" s="408"/>
      <c r="BV562" s="408">
        <v>0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-164863.6992</v>
      </c>
      <c r="CJ562" s="408">
        <v>105335.60519999996</v>
      </c>
      <c r="CK562" s="408"/>
      <c r="CL562" s="408"/>
      <c r="CM562" s="408"/>
      <c r="CN562" s="408"/>
      <c r="CO562" s="408">
        <v>109724.61999999998</v>
      </c>
      <c r="CP562" s="408">
        <v>0</v>
      </c>
      <c r="CQ562" s="408">
        <v>31</v>
      </c>
      <c r="CR562" s="408">
        <v>264.48217728651071</v>
      </c>
      <c r="CS562" s="408">
        <v>0</v>
      </c>
      <c r="CT562" s="408">
        <v>0</v>
      </c>
      <c r="CU562" s="408">
        <v>0</v>
      </c>
      <c r="CV562" s="408">
        <v>0</v>
      </c>
      <c r="CW562" s="408"/>
      <c r="CX562" s="408"/>
      <c r="CY562" s="408"/>
      <c r="CZ562" s="408">
        <v>264.48217728651071</v>
      </c>
      <c r="DA562" s="408">
        <v>0</v>
      </c>
      <c r="DB562" s="408">
        <v>0</v>
      </c>
      <c r="DC562" s="408"/>
      <c r="DD562" s="408"/>
      <c r="DE562" s="408">
        <v>0</v>
      </c>
      <c r="DF562" s="408">
        <v>0</v>
      </c>
      <c r="DG562" s="408">
        <v>0</v>
      </c>
      <c r="DH562" s="408">
        <v>0</v>
      </c>
      <c r="DI562" s="408">
        <v>0</v>
      </c>
      <c r="DJ562" s="408"/>
      <c r="DK562" s="408">
        <v>0</v>
      </c>
      <c r="DL562" s="408">
        <v>0</v>
      </c>
      <c r="DM562" s="408"/>
      <c r="DN562" s="408">
        <v>0</v>
      </c>
      <c r="DO562" s="408">
        <v>0</v>
      </c>
      <c r="DP562" s="408">
        <v>0</v>
      </c>
      <c r="DQ562" s="408">
        <v>0</v>
      </c>
      <c r="DR562" s="408">
        <v>0</v>
      </c>
      <c r="DS562" s="408"/>
      <c r="DT562" s="408"/>
      <c r="DU562" s="408">
        <v>-178544.63492912779</v>
      </c>
      <c r="DV562" s="408"/>
      <c r="DW562" s="408">
        <v>0</v>
      </c>
      <c r="DX562" s="408">
        <v>0</v>
      </c>
      <c r="DY562" s="408">
        <v>109724.62</v>
      </c>
      <c r="DZ562" s="408"/>
      <c r="EA562" s="408">
        <v>0</v>
      </c>
      <c r="EB562" s="408"/>
      <c r="EC562" s="408">
        <v>109473.77193300136</v>
      </c>
      <c r="ED562" s="408"/>
      <c r="EE562" s="408">
        <v>0</v>
      </c>
      <c r="EF562" s="408">
        <v>0</v>
      </c>
      <c r="EG562" s="408"/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/>
      <c r="EN562" s="408"/>
      <c r="EO562" s="408">
        <v>0</v>
      </c>
      <c r="EP562" s="408">
        <v>0</v>
      </c>
      <c r="EQ562" s="408"/>
      <c r="ER562" s="408">
        <v>0</v>
      </c>
      <c r="ES562" s="408"/>
      <c r="ET562" s="408">
        <v>0</v>
      </c>
      <c r="EU562" s="408"/>
      <c r="EV562" s="408">
        <v>265</v>
      </c>
      <c r="EW562" s="408"/>
      <c r="EX562" s="408"/>
      <c r="EY562" s="408"/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569</v>
      </c>
      <c r="B563" s="408" t="s">
        <v>2230</v>
      </c>
      <c r="C563" s="408" t="s">
        <v>2235</v>
      </c>
      <c r="D563" s="408" t="s">
        <v>596</v>
      </c>
      <c r="E563" s="408" t="s">
        <v>969</v>
      </c>
      <c r="F563" s="408" t="s">
        <v>2245</v>
      </c>
      <c r="G563" s="408" t="s">
        <v>1317</v>
      </c>
      <c r="H563" s="408" t="s">
        <v>1317</v>
      </c>
      <c r="I563" s="408" t="s">
        <v>1317</v>
      </c>
      <c r="J563" s="408" t="s">
        <v>2228</v>
      </c>
      <c r="K563" s="828">
        <v>44682</v>
      </c>
      <c r="L563" s="408">
        <v>44</v>
      </c>
      <c r="M563" s="408">
        <v>42.239999999999995</v>
      </c>
      <c r="N563" s="408">
        <v>0</v>
      </c>
      <c r="O563" s="408">
        <v>0</v>
      </c>
      <c r="P563" s="408">
        <v>0</v>
      </c>
      <c r="Q563" s="408">
        <v>0</v>
      </c>
      <c r="R563" s="408">
        <v>74.44</v>
      </c>
      <c r="S563" s="408"/>
      <c r="T563" s="408"/>
      <c r="U563" s="408">
        <v>3275.3599999999997</v>
      </c>
      <c r="V563" s="408"/>
      <c r="W563" s="408">
        <v>3275.3599999999997</v>
      </c>
      <c r="X563" s="408">
        <v>1998.48</v>
      </c>
      <c r="Y563" s="408">
        <v>0</v>
      </c>
      <c r="Z563" s="408">
        <v>0</v>
      </c>
      <c r="AA563" s="408">
        <v>0</v>
      </c>
      <c r="AB563" s="408">
        <v>0</v>
      </c>
      <c r="AC563" s="408">
        <v>0</v>
      </c>
      <c r="AD563" s="408">
        <v>1197.5520713398791</v>
      </c>
      <c r="AE563" s="408">
        <v>2077.747669103841</v>
      </c>
      <c r="AF563" s="408"/>
      <c r="AG563" s="408"/>
      <c r="AH563" s="408"/>
      <c r="AI563" s="408">
        <v>0</v>
      </c>
      <c r="AJ563" s="408">
        <v>0</v>
      </c>
      <c r="AK563" s="408">
        <v>0</v>
      </c>
      <c r="AL563" s="408">
        <v>0</v>
      </c>
      <c r="AM563" s="408"/>
      <c r="AN563" s="408">
        <v>0</v>
      </c>
      <c r="AO563" s="408">
        <v>0</v>
      </c>
      <c r="AP563" s="408">
        <v>0</v>
      </c>
      <c r="AQ563" s="408">
        <v>0</v>
      </c>
      <c r="AR563" s="408">
        <v>0</v>
      </c>
      <c r="AS563" s="408"/>
      <c r="AT563" s="408"/>
      <c r="AU563" s="408">
        <v>0</v>
      </c>
      <c r="AV563" s="408">
        <v>0</v>
      </c>
      <c r="AW563" s="408">
        <v>0</v>
      </c>
      <c r="AX563" s="408"/>
      <c r="AY563" s="408"/>
      <c r="AZ563" s="408">
        <v>0</v>
      </c>
      <c r="BA563" s="408"/>
      <c r="BB563" s="408">
        <v>0</v>
      </c>
      <c r="BC563" s="408">
        <v>0</v>
      </c>
      <c r="BD563" s="408">
        <v>0</v>
      </c>
      <c r="BE563" s="408">
        <v>0</v>
      </c>
      <c r="BF563" s="408"/>
      <c r="BG563" s="408">
        <v>0</v>
      </c>
      <c r="BH563" s="408">
        <v>0</v>
      </c>
      <c r="BI563" s="408">
        <v>0</v>
      </c>
      <c r="BJ563" s="408">
        <v>0</v>
      </c>
      <c r="BK563" s="408">
        <v>12.49</v>
      </c>
      <c r="BL563" s="408">
        <v>3</v>
      </c>
      <c r="BM563" s="408"/>
      <c r="BN563" s="408"/>
      <c r="BO563" s="408"/>
      <c r="BP563" s="408"/>
      <c r="BQ563" s="408"/>
      <c r="BR563" s="408">
        <v>79.939200000000241</v>
      </c>
      <c r="BS563" s="408"/>
      <c r="BT563" s="408"/>
      <c r="BU563" s="408"/>
      <c r="BV563" s="408">
        <v>0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1918.5408000000002</v>
      </c>
      <c r="CJ563" s="408">
        <v>-1225.8348000000001</v>
      </c>
      <c r="CK563" s="408"/>
      <c r="CL563" s="408"/>
      <c r="CM563" s="408"/>
      <c r="CN563" s="408"/>
      <c r="CO563" s="408">
        <v>-1276.8799999999999</v>
      </c>
      <c r="CP563" s="408">
        <v>0</v>
      </c>
      <c r="CQ563" s="408">
        <v>31</v>
      </c>
      <c r="CR563" s="408">
        <v>-3.0778142820963694</v>
      </c>
      <c r="CS563" s="408">
        <v>0</v>
      </c>
      <c r="CT563" s="408">
        <v>0</v>
      </c>
      <c r="CU563" s="408">
        <v>0</v>
      </c>
      <c r="CV563" s="408">
        <v>0</v>
      </c>
      <c r="CW563" s="408"/>
      <c r="CX563" s="408"/>
      <c r="CY563" s="408"/>
      <c r="CZ563" s="408">
        <v>-3.0778142820963694</v>
      </c>
      <c r="DA563" s="408">
        <v>0</v>
      </c>
      <c r="DB563" s="408">
        <v>0</v>
      </c>
      <c r="DC563" s="408"/>
      <c r="DD563" s="408"/>
      <c r="DE563" s="408">
        <v>0</v>
      </c>
      <c r="DF563" s="408">
        <v>0</v>
      </c>
      <c r="DG563" s="408">
        <v>0</v>
      </c>
      <c r="DH563" s="408">
        <v>0</v>
      </c>
      <c r="DI563" s="408">
        <v>0</v>
      </c>
      <c r="DJ563" s="408"/>
      <c r="DK563" s="408">
        <v>0</v>
      </c>
      <c r="DL563" s="408">
        <v>0</v>
      </c>
      <c r="DM563" s="408"/>
      <c r="DN563" s="408">
        <v>0</v>
      </c>
      <c r="DO563" s="408">
        <v>0</v>
      </c>
      <c r="DP563" s="408">
        <v>0</v>
      </c>
      <c r="DQ563" s="408">
        <v>0</v>
      </c>
      <c r="DR563" s="408">
        <v>0</v>
      </c>
      <c r="DS563" s="408"/>
      <c r="DT563" s="408"/>
      <c r="DU563" s="408">
        <v>2077.747669103841</v>
      </c>
      <c r="DV563" s="408"/>
      <c r="DW563" s="408">
        <v>0</v>
      </c>
      <c r="DX563" s="408">
        <v>0</v>
      </c>
      <c r="DY563" s="408">
        <v>-1276.8799999999997</v>
      </c>
      <c r="DZ563" s="408"/>
      <c r="EA563" s="408">
        <v>0</v>
      </c>
      <c r="EB563" s="408"/>
      <c r="EC563" s="408">
        <v>-1273.9608476731182</v>
      </c>
      <c r="ED563" s="408"/>
      <c r="EE563" s="408">
        <v>0</v>
      </c>
      <c r="EF563" s="408">
        <v>0</v>
      </c>
      <c r="EG563" s="408"/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/>
      <c r="EN563" s="408"/>
      <c r="EO563" s="408">
        <v>0</v>
      </c>
      <c r="EP563" s="408">
        <v>0</v>
      </c>
      <c r="EQ563" s="408"/>
      <c r="ER563" s="408">
        <v>0</v>
      </c>
      <c r="ES563" s="408"/>
      <c r="ET563" s="408">
        <v>0</v>
      </c>
      <c r="EU563" s="408"/>
      <c r="EV563" s="408">
        <v>265</v>
      </c>
      <c r="EW563" s="408"/>
      <c r="EX563" s="408"/>
      <c r="EY563" s="408"/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570</v>
      </c>
      <c r="B564" s="408" t="s">
        <v>1031</v>
      </c>
      <c r="C564" s="408" t="s">
        <v>2235</v>
      </c>
      <c r="D564" s="408" t="s">
        <v>596</v>
      </c>
      <c r="E564" s="408" t="s">
        <v>969</v>
      </c>
      <c r="F564" s="408" t="s">
        <v>2245</v>
      </c>
      <c r="G564" s="408" t="s">
        <v>2247</v>
      </c>
      <c r="H564" s="408" t="s">
        <v>1317</v>
      </c>
      <c r="I564" s="408" t="s">
        <v>2236</v>
      </c>
      <c r="J564" s="408" t="s">
        <v>2228</v>
      </c>
      <c r="K564" s="828">
        <v>44682</v>
      </c>
      <c r="L564" s="408">
        <v>0</v>
      </c>
      <c r="M564" s="408">
        <v>0</v>
      </c>
      <c r="N564" s="408">
        <v>18.097999999999999</v>
      </c>
      <c r="O564" s="408">
        <v>5.4294000000000002</v>
      </c>
      <c r="P564" s="408">
        <v>18.097999999999999</v>
      </c>
      <c r="Q564" s="408">
        <v>5.4294000000000002</v>
      </c>
      <c r="R564" s="408"/>
      <c r="S564" s="408">
        <v>81.2</v>
      </c>
      <c r="T564" s="408">
        <v>252.22</v>
      </c>
      <c r="U564" s="408"/>
      <c r="V564" s="408">
        <v>6034.2351600000002</v>
      </c>
      <c r="W564" s="408">
        <v>6034.2351600000002</v>
      </c>
      <c r="X564" s="408">
        <v>6000.2109199999995</v>
      </c>
      <c r="Y564" s="408">
        <v>0</v>
      </c>
      <c r="Z564" s="408">
        <v>973.89403285625099</v>
      </c>
      <c r="AA564" s="408">
        <v>0</v>
      </c>
      <c r="AB564" s="408">
        <v>0</v>
      </c>
      <c r="AC564" s="408">
        <v>0</v>
      </c>
      <c r="AD564" s="408">
        <v>0</v>
      </c>
      <c r="AE564" s="408">
        <v>0</v>
      </c>
      <c r="AF564" s="408">
        <v>4564.7276457980042</v>
      </c>
      <c r="AG564" s="408">
        <v>0</v>
      </c>
      <c r="AH564" s="408">
        <v>0</v>
      </c>
      <c r="AI564" s="408">
        <v>0</v>
      </c>
      <c r="AJ564" s="408">
        <v>0</v>
      </c>
      <c r="AK564" s="408">
        <v>0</v>
      </c>
      <c r="AL564" s="408">
        <v>173.03550617201878</v>
      </c>
      <c r="AM564" s="408"/>
      <c r="AN564" s="408">
        <v>43.542089278989714</v>
      </c>
      <c r="AO564" s="408">
        <v>0</v>
      </c>
      <c r="AP564" s="408">
        <v>0</v>
      </c>
      <c r="AQ564" s="408">
        <v>0</v>
      </c>
      <c r="AR564" s="408">
        <v>0</v>
      </c>
      <c r="AS564" s="408">
        <v>0</v>
      </c>
      <c r="AT564" s="408">
        <v>0</v>
      </c>
      <c r="AU564" s="408">
        <v>0</v>
      </c>
      <c r="AV564" s="408">
        <v>0</v>
      </c>
      <c r="AW564" s="408">
        <v>0</v>
      </c>
      <c r="AX564" s="408">
        <v>0</v>
      </c>
      <c r="AY564" s="408">
        <v>0</v>
      </c>
      <c r="AZ564" s="408">
        <v>0</v>
      </c>
      <c r="BA564" s="408"/>
      <c r="BB564" s="408">
        <v>0</v>
      </c>
      <c r="BC564" s="408">
        <v>0</v>
      </c>
      <c r="BD564" s="408">
        <v>0</v>
      </c>
      <c r="BE564" s="408">
        <v>0</v>
      </c>
      <c r="BF564" s="408">
        <v>0</v>
      </c>
      <c r="BG564" s="408">
        <v>279.12258134856842</v>
      </c>
      <c r="BH564" s="408">
        <v>0</v>
      </c>
      <c r="BI564" s="408">
        <v>0</v>
      </c>
      <c r="BJ564" s="408">
        <v>0</v>
      </c>
      <c r="BK564" s="408">
        <v>0</v>
      </c>
      <c r="BL564" s="408">
        <v>0</v>
      </c>
      <c r="BM564" s="408"/>
      <c r="BN564" s="408"/>
      <c r="BO564" s="408"/>
      <c r="BP564" s="408"/>
      <c r="BQ564" s="408"/>
      <c r="BR564" s="408"/>
      <c r="BS564" s="408">
        <v>4200.1476439999997</v>
      </c>
      <c r="BT564" s="408"/>
      <c r="BU564" s="408"/>
      <c r="BV564" s="408">
        <v>4843.8502271465723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1800.2621999999999</v>
      </c>
      <c r="CJ564" s="408">
        <v>-10.038348000000042</v>
      </c>
      <c r="CK564" s="408"/>
      <c r="CL564" s="408"/>
      <c r="CM564" s="408"/>
      <c r="CN564" s="408"/>
      <c r="CO564" s="408">
        <v>-34.024240000000169</v>
      </c>
      <c r="CP564" s="408">
        <v>0</v>
      </c>
      <c r="CQ564" s="408">
        <v>31</v>
      </c>
      <c r="CR564" s="408">
        <v>-34.078969559651341</v>
      </c>
      <c r="CS564" s="408">
        <v>0</v>
      </c>
      <c r="CT564" s="408">
        <v>0</v>
      </c>
      <c r="CU564" s="408">
        <v>0</v>
      </c>
      <c r="CV564" s="408">
        <v>0</v>
      </c>
      <c r="CW564" s="408">
        <v>0</v>
      </c>
      <c r="CX564" s="408">
        <v>0</v>
      </c>
      <c r="CY564" s="408">
        <v>0</v>
      </c>
      <c r="CZ564" s="408">
        <v>0</v>
      </c>
      <c r="DA564" s="408">
        <v>0</v>
      </c>
      <c r="DB564" s="408">
        <v>0</v>
      </c>
      <c r="DC564" s="408">
        <v>-6.3994593801908195E-7</v>
      </c>
      <c r="DD564" s="408">
        <v>0</v>
      </c>
      <c r="DE564" s="408">
        <v>0</v>
      </c>
      <c r="DF564" s="408">
        <v>0</v>
      </c>
      <c r="DG564" s="408">
        <v>-3.9131464291131124E-8</v>
      </c>
      <c r="DH564" s="408">
        <v>0</v>
      </c>
      <c r="DI564" s="408">
        <v>-28.318003506074547</v>
      </c>
      <c r="DJ564" s="408"/>
      <c r="DK564" s="408">
        <v>0</v>
      </c>
      <c r="DL564" s="408">
        <v>0</v>
      </c>
      <c r="DM564" s="408">
        <v>0</v>
      </c>
      <c r="DN564" s="408">
        <v>0</v>
      </c>
      <c r="DO564" s="408">
        <v>-4.3470177289260334</v>
      </c>
      <c r="DP564" s="408">
        <v>-1.413947645573856</v>
      </c>
      <c r="DQ564" s="408">
        <v>0</v>
      </c>
      <c r="DR564" s="408">
        <v>0</v>
      </c>
      <c r="DS564" s="408"/>
      <c r="DT564" s="408"/>
      <c r="DU564" s="408"/>
      <c r="DV564" s="408">
        <v>0</v>
      </c>
      <c r="DW564" s="408">
        <v>0</v>
      </c>
      <c r="DX564" s="408">
        <v>0</v>
      </c>
      <c r="DY564" s="408">
        <v>-34.024239999999963</v>
      </c>
      <c r="DZ564" s="408">
        <v>0</v>
      </c>
      <c r="EA564" s="408">
        <v>0</v>
      </c>
      <c r="EB564" s="408">
        <v>0</v>
      </c>
      <c r="EC564" s="408">
        <v>0</v>
      </c>
      <c r="ED564" s="408">
        <v>0</v>
      </c>
      <c r="EE564" s="408">
        <v>0</v>
      </c>
      <c r="EF564" s="408">
        <v>0</v>
      </c>
      <c r="EG564" s="408">
        <v>0</v>
      </c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>
        <v>0</v>
      </c>
      <c r="EN564" s="408">
        <v>0</v>
      </c>
      <c r="EO564" s="408">
        <v>0</v>
      </c>
      <c r="EP564" s="408">
        <v>0</v>
      </c>
      <c r="EQ564" s="408">
        <v>0</v>
      </c>
      <c r="ER564" s="408">
        <v>0</v>
      </c>
      <c r="ES564" s="408">
        <v>0</v>
      </c>
      <c r="ET564" s="408">
        <v>0</v>
      </c>
      <c r="EU564" s="408">
        <v>0</v>
      </c>
      <c r="EV564" s="408">
        <v>265</v>
      </c>
      <c r="EW564" s="408">
        <v>0</v>
      </c>
      <c r="EX564" s="408">
        <v>0</v>
      </c>
      <c r="EY564" s="408">
        <v>0</v>
      </c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571</v>
      </c>
      <c r="B565" s="408" t="s">
        <v>1031</v>
      </c>
      <c r="C565" s="408" t="s">
        <v>2227</v>
      </c>
      <c r="D565" s="408" t="s">
        <v>1949</v>
      </c>
      <c r="E565" s="408" t="s">
        <v>964</v>
      </c>
      <c r="F565" s="408" t="s">
        <v>964</v>
      </c>
      <c r="G565" s="408" t="s">
        <v>1317</v>
      </c>
      <c r="H565" s="408" t="s">
        <v>1317</v>
      </c>
      <c r="I565" s="408" t="s">
        <v>1317</v>
      </c>
      <c r="J565" s="408" t="s">
        <v>2228</v>
      </c>
      <c r="K565" s="828">
        <v>44713</v>
      </c>
      <c r="L565" s="408">
        <v>0</v>
      </c>
      <c r="M565" s="408">
        <v>0</v>
      </c>
      <c r="N565" s="408">
        <v>943.17600000000004</v>
      </c>
      <c r="O565" s="408">
        <v>943.17600000000004</v>
      </c>
      <c r="P565" s="408">
        <v>943.17600000000004</v>
      </c>
      <c r="Q565" s="408">
        <v>943.17600000000004</v>
      </c>
      <c r="R565" s="408"/>
      <c r="S565" s="408">
        <v>739.04</v>
      </c>
      <c r="T565" s="408">
        <v>252.22</v>
      </c>
      <c r="U565" s="408"/>
      <c r="V565" s="408">
        <v>934932.64176000003</v>
      </c>
      <c r="W565" s="408">
        <v>934932.64176000003</v>
      </c>
      <c r="X565" s="408">
        <v>639445.03272000002</v>
      </c>
      <c r="Y565" s="408">
        <v>0</v>
      </c>
      <c r="Z565" s="408">
        <v>58338.412851437672</v>
      </c>
      <c r="AA565" s="408">
        <v>0</v>
      </c>
      <c r="AB565" s="408">
        <v>0</v>
      </c>
      <c r="AC565" s="408">
        <v>0</v>
      </c>
      <c r="AD565" s="408">
        <v>116479.95435938734</v>
      </c>
      <c r="AE565" s="408">
        <v>478178.69700800732</v>
      </c>
      <c r="AF565" s="408">
        <v>237890.46093784829</v>
      </c>
      <c r="AG565" s="408">
        <v>0</v>
      </c>
      <c r="AH565" s="408">
        <v>0</v>
      </c>
      <c r="AI565" s="408">
        <v>0</v>
      </c>
      <c r="AJ565" s="408">
        <v>0</v>
      </c>
      <c r="AK565" s="408">
        <v>0</v>
      </c>
      <c r="AL565" s="408">
        <v>9017.7332616476961</v>
      </c>
      <c r="AM565" s="408"/>
      <c r="AN565" s="408">
        <v>2210.142942992597</v>
      </c>
      <c r="AO565" s="408">
        <v>0</v>
      </c>
      <c r="AP565" s="408">
        <v>0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0</v>
      </c>
      <c r="BF565" s="408">
        <v>0</v>
      </c>
      <c r="BG565" s="408">
        <v>32817.099615400053</v>
      </c>
      <c r="BH565" s="408">
        <v>0</v>
      </c>
      <c r="BI565" s="408">
        <v>0</v>
      </c>
      <c r="BJ565" s="408">
        <v>0</v>
      </c>
      <c r="BK565" s="408">
        <v>203321.89</v>
      </c>
      <c r="BL565" s="408">
        <v>7704</v>
      </c>
      <c r="BM565" s="408"/>
      <c r="BN565" s="408"/>
      <c r="BO565" s="408"/>
      <c r="BP565" s="408"/>
      <c r="BQ565" s="408"/>
      <c r="BR565" s="408"/>
      <c r="BS565" s="408"/>
      <c r="BT565" s="408"/>
      <c r="BU565" s="408"/>
      <c r="BV565" s="408">
        <v>270707.56055324833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639447.74459999998</v>
      </c>
      <c r="CJ565" s="408">
        <v>-295484.92716000008</v>
      </c>
      <c r="CK565" s="408"/>
      <c r="CL565" s="408"/>
      <c r="CM565" s="408"/>
      <c r="CN565" s="408"/>
      <c r="CO565" s="408">
        <v>-295487.60903999995</v>
      </c>
      <c r="CP565" s="408">
        <v>0</v>
      </c>
      <c r="CQ565" s="408">
        <v>30</v>
      </c>
      <c r="CR565" s="408">
        <v>-2293.9897716588457</v>
      </c>
      <c r="CS565" s="408">
        <v>0</v>
      </c>
      <c r="CT565" s="408">
        <v>0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-299.36374015353795</v>
      </c>
      <c r="DA565" s="408">
        <v>0</v>
      </c>
      <c r="DB565" s="408">
        <v>0</v>
      </c>
      <c r="DC565" s="408">
        <v>-3.3350719604641199E-5</v>
      </c>
      <c r="DD565" s="408">
        <v>0</v>
      </c>
      <c r="DE565" s="408">
        <v>0</v>
      </c>
      <c r="DF565" s="408">
        <v>0</v>
      </c>
      <c r="DG565" s="408">
        <v>-4.6007189666852355E-6</v>
      </c>
      <c r="DH565" s="408">
        <v>0</v>
      </c>
      <c r="DI565" s="408">
        <v>-1696.3112247651297</v>
      </c>
      <c r="DJ565" s="408"/>
      <c r="DK565" s="408">
        <v>0</v>
      </c>
      <c r="DL565" s="408">
        <v>0</v>
      </c>
      <c r="DM565" s="408">
        <v>0</v>
      </c>
      <c r="DN565" s="408">
        <v>0</v>
      </c>
      <c r="DO565" s="408">
        <v>-226.54452389753351</v>
      </c>
      <c r="DP565" s="408">
        <v>-71.7702448911582</v>
      </c>
      <c r="DQ565" s="408">
        <v>0</v>
      </c>
      <c r="DR565" s="408">
        <v>0</v>
      </c>
      <c r="DS565" s="408"/>
      <c r="DT565" s="408"/>
      <c r="DU565" s="408"/>
      <c r="DV565" s="408">
        <v>478178.69700800732</v>
      </c>
      <c r="DW565" s="408">
        <v>0</v>
      </c>
      <c r="DX565" s="408">
        <v>0</v>
      </c>
      <c r="DY565" s="408">
        <v>-295487.60904000001</v>
      </c>
      <c r="DZ565" s="408">
        <v>0</v>
      </c>
      <c r="EA565" s="408">
        <v>0</v>
      </c>
      <c r="EB565" s="408">
        <v>0</v>
      </c>
      <c r="EC565" s="408">
        <v>-293192.9354262228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0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265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572</v>
      </c>
      <c r="B566" s="408" t="s">
        <v>2230</v>
      </c>
      <c r="C566" s="408" t="s">
        <v>2227</v>
      </c>
      <c r="D566" s="408" t="s">
        <v>1949</v>
      </c>
      <c r="E566" s="408" t="s">
        <v>964</v>
      </c>
      <c r="F566" s="408" t="s">
        <v>964</v>
      </c>
      <c r="G566" s="408" t="s">
        <v>1317</v>
      </c>
      <c r="H566" s="408" t="s">
        <v>1317</v>
      </c>
      <c r="I566" s="408" t="s">
        <v>1317</v>
      </c>
      <c r="J566" s="408" t="s">
        <v>2228</v>
      </c>
      <c r="K566" s="828">
        <v>44713</v>
      </c>
      <c r="L566" s="408">
        <v>0</v>
      </c>
      <c r="M566" s="408">
        <v>0</v>
      </c>
      <c r="N566" s="408">
        <v>54.265999999999998</v>
      </c>
      <c r="O566" s="408">
        <v>54.265999999999998</v>
      </c>
      <c r="P566" s="408">
        <v>54.265999999999998</v>
      </c>
      <c r="Q566" s="408">
        <v>54.265999999999998</v>
      </c>
      <c r="R566" s="408"/>
      <c r="S566" s="408">
        <v>739.04</v>
      </c>
      <c r="T566" s="408">
        <v>252.22</v>
      </c>
      <c r="U566" s="408"/>
      <c r="V566" s="408">
        <v>53791.715159999992</v>
      </c>
      <c r="W566" s="408">
        <v>53791.715159999992</v>
      </c>
      <c r="X566" s="408">
        <v>36790.720019999993</v>
      </c>
      <c r="Y566" s="408">
        <v>0</v>
      </c>
      <c r="Z566" s="408">
        <v>3356.5233973257555</v>
      </c>
      <c r="AA566" s="408">
        <v>0</v>
      </c>
      <c r="AB566" s="408">
        <v>0</v>
      </c>
      <c r="AC566" s="408">
        <v>0</v>
      </c>
      <c r="AD566" s="408">
        <v>6701.7197249150877</v>
      </c>
      <c r="AE566" s="408">
        <v>27512.198329724804</v>
      </c>
      <c r="AF566" s="408">
        <v>13687.120699904657</v>
      </c>
      <c r="AG566" s="408">
        <v>0</v>
      </c>
      <c r="AH566" s="408">
        <v>0</v>
      </c>
      <c r="AI566" s="408">
        <v>0</v>
      </c>
      <c r="AJ566" s="408">
        <v>0</v>
      </c>
      <c r="AK566" s="408">
        <v>0</v>
      </c>
      <c r="AL566" s="408">
        <v>518.83880969890436</v>
      </c>
      <c r="AM566" s="408"/>
      <c r="AN566" s="408">
        <v>127.16143852731226</v>
      </c>
      <c r="AO566" s="408">
        <v>0</v>
      </c>
      <c r="AP566" s="408">
        <v>0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0</v>
      </c>
      <c r="BF566" s="408">
        <v>0</v>
      </c>
      <c r="BG566" s="408">
        <v>1888.14465988246</v>
      </c>
      <c r="BH566" s="408">
        <v>0</v>
      </c>
      <c r="BI566" s="408">
        <v>0</v>
      </c>
      <c r="BJ566" s="408">
        <v>0</v>
      </c>
      <c r="BK566" s="408">
        <v>28470.82</v>
      </c>
      <c r="BL566" s="408">
        <v>532</v>
      </c>
      <c r="BM566" s="408"/>
      <c r="BN566" s="408"/>
      <c r="BO566" s="408"/>
      <c r="BP566" s="408"/>
      <c r="BQ566" s="408"/>
      <c r="BR566" s="408"/>
      <c r="BS566" s="408"/>
      <c r="BT566" s="408"/>
      <c r="BU566" s="408"/>
      <c r="BV566" s="408">
        <v>15575.265359787118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36793.431900000003</v>
      </c>
      <c r="CJ566" s="408">
        <v>-16998.313259999995</v>
      </c>
      <c r="CK566" s="408"/>
      <c r="CL566" s="408"/>
      <c r="CM566" s="408"/>
      <c r="CN566" s="408"/>
      <c r="CO566" s="408">
        <v>-17000.995139999999</v>
      </c>
      <c r="CP566" s="408">
        <v>0</v>
      </c>
      <c r="CQ566" s="408">
        <v>30</v>
      </c>
      <c r="CR566" s="408">
        <v>-131.98559860390378</v>
      </c>
      <c r="CS566" s="408">
        <v>0</v>
      </c>
      <c r="CT566" s="408">
        <v>0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-17.224009859423859</v>
      </c>
      <c r="DA566" s="408">
        <v>0</v>
      </c>
      <c r="DB566" s="408">
        <v>0</v>
      </c>
      <c r="DC566" s="408">
        <v>-1.9188464648323134E-6</v>
      </c>
      <c r="DD566" s="408">
        <v>0</v>
      </c>
      <c r="DE566" s="408">
        <v>0</v>
      </c>
      <c r="DF566" s="408">
        <v>0</v>
      </c>
      <c r="DG566" s="408">
        <v>-2.6470434022485279E-7</v>
      </c>
      <c r="DH566" s="408">
        <v>0</v>
      </c>
      <c r="DI566" s="408">
        <v>-97.597929679195204</v>
      </c>
      <c r="DJ566" s="408"/>
      <c r="DK566" s="408">
        <v>0</v>
      </c>
      <c r="DL566" s="408">
        <v>0</v>
      </c>
      <c r="DM566" s="408">
        <v>0</v>
      </c>
      <c r="DN566" s="408">
        <v>0</v>
      </c>
      <c r="DO566" s="408">
        <v>-13.034327775328791</v>
      </c>
      <c r="DP566" s="408">
        <v>-4.1293291064060185</v>
      </c>
      <c r="DQ566" s="408">
        <v>0</v>
      </c>
      <c r="DR566" s="408">
        <v>0</v>
      </c>
      <c r="DS566" s="408"/>
      <c r="DT566" s="408"/>
      <c r="DU566" s="408"/>
      <c r="DV566" s="408">
        <v>27512.198329724804</v>
      </c>
      <c r="DW566" s="408">
        <v>0</v>
      </c>
      <c r="DX566" s="408">
        <v>0</v>
      </c>
      <c r="DY566" s="408">
        <v>-17000.995139999999</v>
      </c>
      <c r="DZ566" s="408">
        <v>0</v>
      </c>
      <c r="EA566" s="408">
        <v>0</v>
      </c>
      <c r="EB566" s="408">
        <v>0</v>
      </c>
      <c r="EC566" s="408">
        <v>-16868.970196272385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0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265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573</v>
      </c>
      <c r="B567" s="408" t="s">
        <v>2230</v>
      </c>
      <c r="C567" s="408" t="s">
        <v>2227</v>
      </c>
      <c r="D567" s="408" t="s">
        <v>1949</v>
      </c>
      <c r="E567" s="408" t="s">
        <v>964</v>
      </c>
      <c r="F567" s="408" t="s">
        <v>964</v>
      </c>
      <c r="G567" s="408" t="s">
        <v>1317</v>
      </c>
      <c r="H567" s="408" t="s">
        <v>1317</v>
      </c>
      <c r="I567" s="408" t="s">
        <v>1317</v>
      </c>
      <c r="J567" s="408" t="s">
        <v>2228</v>
      </c>
      <c r="K567" s="828">
        <v>44713</v>
      </c>
      <c r="L567" s="408">
        <v>0</v>
      </c>
      <c r="M567" s="408">
        <v>0</v>
      </c>
      <c r="N567" s="408">
        <v>-0.34799999999999998</v>
      </c>
      <c r="O567" s="408">
        <v>-0.34799999999999998</v>
      </c>
      <c r="P567" s="408">
        <v>-0.34799999999999998</v>
      </c>
      <c r="Q567" s="408">
        <v>-0.34799999999999998</v>
      </c>
      <c r="R567" s="408"/>
      <c r="S567" s="408">
        <v>739.04</v>
      </c>
      <c r="T567" s="408">
        <v>252.22</v>
      </c>
      <c r="U567" s="408"/>
      <c r="V567" s="408">
        <v>-344.95847999999995</v>
      </c>
      <c r="W567" s="408">
        <v>-344.95847999999995</v>
      </c>
      <c r="X567" s="408">
        <v>-235.93356</v>
      </c>
      <c r="Y567" s="408">
        <v>0</v>
      </c>
      <c r="Z567" s="408">
        <v>-21.524898504945323</v>
      </c>
      <c r="AA567" s="408">
        <v>0</v>
      </c>
      <c r="AB567" s="408">
        <v>0</v>
      </c>
      <c r="AC567" s="408">
        <v>0</v>
      </c>
      <c r="AD567" s="408">
        <v>-42.977158151889775</v>
      </c>
      <c r="AE567" s="408">
        <v>-176.43174397862808</v>
      </c>
      <c r="AF567" s="408">
        <v>-87.773523081981722</v>
      </c>
      <c r="AG567" s="408">
        <v>0</v>
      </c>
      <c r="AH567" s="408">
        <v>0</v>
      </c>
      <c r="AI567" s="408">
        <v>0</v>
      </c>
      <c r="AJ567" s="408">
        <v>0</v>
      </c>
      <c r="AK567" s="408">
        <v>0</v>
      </c>
      <c r="AL567" s="408">
        <v>-3.3272381560317461</v>
      </c>
      <c r="AM567" s="408"/>
      <c r="AN567" s="408">
        <v>-0.81546789163573263</v>
      </c>
      <c r="AO567" s="408">
        <v>0</v>
      </c>
      <c r="AP567" s="408">
        <v>0</v>
      </c>
      <c r="AQ567" s="408">
        <v>0</v>
      </c>
      <c r="AR567" s="408">
        <v>0</v>
      </c>
      <c r="AS567" s="408">
        <v>0</v>
      </c>
      <c r="AT567" s="408">
        <v>0</v>
      </c>
      <c r="AU567" s="408">
        <v>0</v>
      </c>
      <c r="AV567" s="408">
        <v>0</v>
      </c>
      <c r="AW567" s="408">
        <v>0</v>
      </c>
      <c r="AX567" s="408">
        <v>0</v>
      </c>
      <c r="AY567" s="408">
        <v>0</v>
      </c>
      <c r="AZ567" s="408">
        <v>0</v>
      </c>
      <c r="BA567" s="408"/>
      <c r="BB567" s="408">
        <v>0</v>
      </c>
      <c r="BC567" s="408">
        <v>0</v>
      </c>
      <c r="BD567" s="408">
        <v>0</v>
      </c>
      <c r="BE567" s="408">
        <v>0</v>
      </c>
      <c r="BF567" s="408">
        <v>0</v>
      </c>
      <c r="BG567" s="408">
        <v>-12.108398290625734</v>
      </c>
      <c r="BH567" s="408">
        <v>0</v>
      </c>
      <c r="BI567" s="408">
        <v>0</v>
      </c>
      <c r="BJ567" s="408">
        <v>0</v>
      </c>
      <c r="BK567" s="408">
        <v>-83.01</v>
      </c>
      <c r="BL567" s="408">
        <v>2</v>
      </c>
      <c r="BM567" s="408"/>
      <c r="BN567" s="408"/>
      <c r="BO567" s="408"/>
      <c r="BP567" s="408"/>
      <c r="BQ567" s="408"/>
      <c r="BR567" s="408"/>
      <c r="BS567" s="408"/>
      <c r="BT567" s="408"/>
      <c r="BU567" s="408"/>
      <c r="BV567" s="408">
        <v>-99.881921372607451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-237.28949999999998</v>
      </c>
      <c r="CJ567" s="408">
        <v>107.63898</v>
      </c>
      <c r="CK567" s="408"/>
      <c r="CL567" s="408"/>
      <c r="CM567" s="408"/>
      <c r="CN567" s="408"/>
      <c r="CO567" s="408">
        <v>109.02491999999998</v>
      </c>
      <c r="CP567" s="408">
        <v>0</v>
      </c>
      <c r="CQ567" s="408">
        <v>30</v>
      </c>
      <c r="CR567" s="408">
        <v>0.84640453164334417</v>
      </c>
      <c r="CS567" s="408">
        <v>0</v>
      </c>
      <c r="CT567" s="408">
        <v>0</v>
      </c>
      <c r="CU567" s="408">
        <v>0</v>
      </c>
      <c r="CV567" s="408">
        <v>0</v>
      </c>
      <c r="CW567" s="408">
        <v>0</v>
      </c>
      <c r="CX567" s="408">
        <v>0</v>
      </c>
      <c r="CY567" s="408">
        <v>0</v>
      </c>
      <c r="CZ567" s="408">
        <v>0.11045508110197488</v>
      </c>
      <c r="DA567" s="408">
        <v>0</v>
      </c>
      <c r="DB567" s="408">
        <v>0</v>
      </c>
      <c r="DC567" s="408">
        <v>1.2305278573876421E-8</v>
      </c>
      <c r="DD567" s="408">
        <v>0</v>
      </c>
      <c r="DE567" s="408">
        <v>0</v>
      </c>
      <c r="DF567" s="408">
        <v>0</v>
      </c>
      <c r="DG567" s="408">
        <v>1.6975114647266309E-9</v>
      </c>
      <c r="DH567" s="408">
        <v>0</v>
      </c>
      <c r="DI567" s="408">
        <v>0.62588139034312462</v>
      </c>
      <c r="DJ567" s="408"/>
      <c r="DK567" s="408">
        <v>0</v>
      </c>
      <c r="DL567" s="408">
        <v>0</v>
      </c>
      <c r="DM567" s="408">
        <v>0</v>
      </c>
      <c r="DN567" s="408">
        <v>0</v>
      </c>
      <c r="DO567" s="408">
        <v>8.3587256584499503E-2</v>
      </c>
      <c r="DP567" s="408">
        <v>2.648078961097744E-2</v>
      </c>
      <c r="DQ567" s="408">
        <v>0</v>
      </c>
      <c r="DR567" s="408">
        <v>0</v>
      </c>
      <c r="DS567" s="408"/>
      <c r="DT567" s="408"/>
      <c r="DU567" s="408"/>
      <c r="DV567" s="408">
        <v>-176.43174397862808</v>
      </c>
      <c r="DW567" s="408">
        <v>0</v>
      </c>
      <c r="DX567" s="408">
        <v>0</v>
      </c>
      <c r="DY567" s="408">
        <v>109.02491999999995</v>
      </c>
      <c r="DZ567" s="408">
        <v>0</v>
      </c>
      <c r="EA567" s="408">
        <v>0</v>
      </c>
      <c r="EB567" s="408">
        <v>0</v>
      </c>
      <c r="EC567" s="408">
        <v>108.17826315377566</v>
      </c>
      <c r="ED567" s="408">
        <v>0</v>
      </c>
      <c r="EE567" s="408">
        <v>0</v>
      </c>
      <c r="EF567" s="408">
        <v>0</v>
      </c>
      <c r="EG567" s="408">
        <v>0</v>
      </c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>
        <v>0</v>
      </c>
      <c r="EN567" s="408">
        <v>0</v>
      </c>
      <c r="EO567" s="408">
        <v>0</v>
      </c>
      <c r="EP567" s="408">
        <v>0</v>
      </c>
      <c r="EQ567" s="408">
        <v>0</v>
      </c>
      <c r="ER567" s="408">
        <v>0</v>
      </c>
      <c r="ES567" s="408">
        <v>0</v>
      </c>
      <c r="ET567" s="408">
        <v>0</v>
      </c>
      <c r="EU567" s="408">
        <v>0</v>
      </c>
      <c r="EV567" s="408">
        <v>265</v>
      </c>
      <c r="EW567" s="408">
        <v>0</v>
      </c>
      <c r="EX567" s="408">
        <v>0</v>
      </c>
      <c r="EY567" s="408">
        <v>0</v>
      </c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574</v>
      </c>
      <c r="B568" s="408" t="s">
        <v>1031</v>
      </c>
      <c r="C568" s="408" t="s">
        <v>2227</v>
      </c>
      <c r="D568" s="408" t="s">
        <v>1949</v>
      </c>
      <c r="E568" s="408" t="s">
        <v>964</v>
      </c>
      <c r="F568" s="408" t="s">
        <v>2231</v>
      </c>
      <c r="G568" s="408" t="s">
        <v>1317</v>
      </c>
      <c r="H568" s="408" t="s">
        <v>1317</v>
      </c>
      <c r="I568" s="408" t="s">
        <v>1317</v>
      </c>
      <c r="J568" s="408" t="s">
        <v>2228</v>
      </c>
      <c r="K568" s="828">
        <v>44713</v>
      </c>
      <c r="L568" s="408">
        <v>0</v>
      </c>
      <c r="M568" s="408">
        <v>0</v>
      </c>
      <c r="N568" s="408">
        <v>24.93</v>
      </c>
      <c r="O568" s="408">
        <v>24.93</v>
      </c>
      <c r="P568" s="408">
        <v>24.93</v>
      </c>
      <c r="Q568" s="408">
        <v>24.93</v>
      </c>
      <c r="R568" s="408"/>
      <c r="S568" s="408">
        <v>667.62</v>
      </c>
      <c r="T568" s="408">
        <v>252.22</v>
      </c>
      <c r="U568" s="408"/>
      <c r="V568" s="408">
        <v>22931.611199999999</v>
      </c>
      <c r="W568" s="408">
        <v>22931.611199999999</v>
      </c>
      <c r="X568" s="408">
        <v>15172.148699999998</v>
      </c>
      <c r="Y568" s="408">
        <v>0</v>
      </c>
      <c r="Z568" s="408">
        <v>0</v>
      </c>
      <c r="AA568" s="408">
        <v>0</v>
      </c>
      <c r="AB568" s="408">
        <v>0</v>
      </c>
      <c r="AC568" s="408">
        <v>0</v>
      </c>
      <c r="AD568" s="408">
        <v>3078.7946917431382</v>
      </c>
      <c r="AE568" s="408">
        <v>12639.205107434478</v>
      </c>
      <c r="AF568" s="408">
        <v>6287.9135932005884</v>
      </c>
      <c r="AG568" s="408">
        <v>0</v>
      </c>
      <c r="AH568" s="408">
        <v>0</v>
      </c>
      <c r="AI568" s="408">
        <v>0</v>
      </c>
      <c r="AJ568" s="408">
        <v>0</v>
      </c>
      <c r="AK568" s="408">
        <v>0</v>
      </c>
      <c r="AL568" s="408">
        <v>0</v>
      </c>
      <c r="AM568" s="408"/>
      <c r="AN568" s="408">
        <v>58.418432581835674</v>
      </c>
      <c r="AO568" s="408">
        <v>0</v>
      </c>
      <c r="AP568" s="408">
        <v>0</v>
      </c>
      <c r="AQ568" s="408">
        <v>0</v>
      </c>
      <c r="AR568" s="408">
        <v>0</v>
      </c>
      <c r="AS568" s="408">
        <v>0</v>
      </c>
      <c r="AT568" s="408">
        <v>0</v>
      </c>
      <c r="AU568" s="408">
        <v>0</v>
      </c>
      <c r="AV568" s="408">
        <v>0</v>
      </c>
      <c r="AW568" s="408">
        <v>0</v>
      </c>
      <c r="AX568" s="408">
        <v>0</v>
      </c>
      <c r="AY568" s="408">
        <v>0</v>
      </c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0</v>
      </c>
      <c r="BF568" s="408">
        <v>0</v>
      </c>
      <c r="BG568" s="408">
        <v>867.42060168189528</v>
      </c>
      <c r="BH568" s="408">
        <v>0</v>
      </c>
      <c r="BI568" s="408">
        <v>0</v>
      </c>
      <c r="BJ568" s="408">
        <v>0</v>
      </c>
      <c r="BK568" s="408">
        <v>1527.88</v>
      </c>
      <c r="BL568" s="408">
        <v>96</v>
      </c>
      <c r="BM568" s="408"/>
      <c r="BN568" s="408"/>
      <c r="BO568" s="408"/>
      <c r="BP568" s="408"/>
      <c r="BQ568" s="408"/>
      <c r="BR568" s="408"/>
      <c r="BS568" s="408"/>
      <c r="BT568" s="408">
        <v>9861.8093999999983</v>
      </c>
      <c r="BU568" s="408"/>
      <c r="BV568" s="408">
        <v>7155.3341948824836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5310.3392999999996</v>
      </c>
      <c r="CJ568" s="408">
        <v>-2715.9042000000009</v>
      </c>
      <c r="CK568" s="408"/>
      <c r="CL568" s="408"/>
      <c r="CM568" s="408"/>
      <c r="CN568" s="408"/>
      <c r="CO568" s="408">
        <v>-7759.4624999999996</v>
      </c>
      <c r="CP568" s="408">
        <v>0</v>
      </c>
      <c r="CQ568" s="408">
        <v>30</v>
      </c>
      <c r="CR568" s="408">
        <v>-9.8098034654121875</v>
      </c>
      <c r="CS568" s="408">
        <v>0</v>
      </c>
      <c r="CT568" s="408">
        <v>0</v>
      </c>
      <c r="CU568" s="408">
        <v>0</v>
      </c>
      <c r="CV568" s="408">
        <v>0</v>
      </c>
      <c r="CW568" s="408">
        <v>0</v>
      </c>
      <c r="CX568" s="408">
        <v>0</v>
      </c>
      <c r="CY568" s="408">
        <v>0</v>
      </c>
      <c r="CZ568" s="408">
        <v>-7.9127734823910032</v>
      </c>
      <c r="DA568" s="408">
        <v>0</v>
      </c>
      <c r="DB568" s="408">
        <v>0</v>
      </c>
      <c r="DC568" s="408">
        <v>-8.8152592070400715E-7</v>
      </c>
      <c r="DD568" s="408">
        <v>0</v>
      </c>
      <c r="DE568" s="408">
        <v>0</v>
      </c>
      <c r="DF568" s="408">
        <v>0</v>
      </c>
      <c r="DG568" s="408">
        <v>-1.2160614915046608E-7</v>
      </c>
      <c r="DH568" s="408">
        <v>0</v>
      </c>
      <c r="DI568" s="408">
        <v>0</v>
      </c>
      <c r="DJ568" s="408"/>
      <c r="DK568" s="408">
        <v>0</v>
      </c>
      <c r="DL568" s="408">
        <v>0</v>
      </c>
      <c r="DM568" s="408">
        <v>0</v>
      </c>
      <c r="DN568" s="408">
        <v>0</v>
      </c>
      <c r="DO568" s="408">
        <v>0</v>
      </c>
      <c r="DP568" s="408">
        <v>-1.8970289798898392</v>
      </c>
      <c r="DQ568" s="408">
        <v>0</v>
      </c>
      <c r="DR568" s="408">
        <v>0</v>
      </c>
      <c r="DS568" s="408"/>
      <c r="DT568" s="408"/>
      <c r="DU568" s="408"/>
      <c r="DV568" s="408">
        <v>12639.205107434478</v>
      </c>
      <c r="DW568" s="408">
        <v>0</v>
      </c>
      <c r="DX568" s="408">
        <v>0</v>
      </c>
      <c r="DY568" s="408">
        <v>-7759.4624999999996</v>
      </c>
      <c r="DZ568" s="408">
        <v>0</v>
      </c>
      <c r="EA568" s="408">
        <v>0</v>
      </c>
      <c r="EB568" s="408">
        <v>0</v>
      </c>
      <c r="EC568" s="408">
        <v>-7749.6669552403082</v>
      </c>
      <c r="ED568" s="408">
        <v>0</v>
      </c>
      <c r="EE568" s="408">
        <v>0</v>
      </c>
      <c r="EF568" s="408">
        <v>0</v>
      </c>
      <c r="EG568" s="408">
        <v>0</v>
      </c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>
        <v>0</v>
      </c>
      <c r="EN568" s="408">
        <v>0</v>
      </c>
      <c r="EO568" s="408">
        <v>0</v>
      </c>
      <c r="EP568" s="408">
        <v>0</v>
      </c>
      <c r="EQ568" s="408">
        <v>0</v>
      </c>
      <c r="ER568" s="408">
        <v>0</v>
      </c>
      <c r="ES568" s="408">
        <v>0</v>
      </c>
      <c r="ET568" s="408">
        <v>0</v>
      </c>
      <c r="EU568" s="408">
        <v>0</v>
      </c>
      <c r="EV568" s="408">
        <v>265</v>
      </c>
      <c r="EW568" s="408">
        <v>0</v>
      </c>
      <c r="EX568" s="408">
        <v>0</v>
      </c>
      <c r="EY568" s="408">
        <v>0</v>
      </c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575</v>
      </c>
      <c r="B569" s="408" t="s">
        <v>2230</v>
      </c>
      <c r="C569" s="408" t="s">
        <v>2227</v>
      </c>
      <c r="D569" s="408" t="s">
        <v>1949</v>
      </c>
      <c r="E569" s="408" t="s">
        <v>964</v>
      </c>
      <c r="F569" s="408" t="s">
        <v>2231</v>
      </c>
      <c r="G569" s="408" t="s">
        <v>1317</v>
      </c>
      <c r="H569" s="408" t="s">
        <v>1317</v>
      </c>
      <c r="I569" s="408" t="s">
        <v>1317</v>
      </c>
      <c r="J569" s="408" t="s">
        <v>2228</v>
      </c>
      <c r="K569" s="828">
        <v>44713</v>
      </c>
      <c r="L569" s="408">
        <v>0</v>
      </c>
      <c r="M569" s="408">
        <v>0</v>
      </c>
      <c r="N569" s="408">
        <v>0.26300000000000001</v>
      </c>
      <c r="O569" s="408">
        <v>-1.6174500000000001</v>
      </c>
      <c r="P569" s="408">
        <v>0.26300000000000001</v>
      </c>
      <c r="Q569" s="408">
        <v>-1.6174500000000001</v>
      </c>
      <c r="R569" s="408"/>
      <c r="S569" s="408">
        <v>667.62</v>
      </c>
      <c r="T569" s="408">
        <v>252.22</v>
      </c>
      <c r="U569" s="408"/>
      <c r="V569" s="408">
        <v>241.91792000000004</v>
      </c>
      <c r="W569" s="408">
        <v>241.91792000000004</v>
      </c>
      <c r="X569" s="408">
        <v>160.05916999999999</v>
      </c>
      <c r="Y569" s="408">
        <v>0</v>
      </c>
      <c r="Z569" s="408">
        <v>0</v>
      </c>
      <c r="AA569" s="408">
        <v>0</v>
      </c>
      <c r="AB569" s="408">
        <v>0</v>
      </c>
      <c r="AC569" s="408">
        <v>0</v>
      </c>
      <c r="AD569" s="408">
        <v>32.479863775709802</v>
      </c>
      <c r="AE569" s="408">
        <v>133.33778352407813</v>
      </c>
      <c r="AF569" s="408">
        <v>66.334587846440215</v>
      </c>
      <c r="AG569" s="408">
        <v>0</v>
      </c>
      <c r="AH569" s="408">
        <v>0</v>
      </c>
      <c r="AI569" s="408">
        <v>0</v>
      </c>
      <c r="AJ569" s="408">
        <v>0</v>
      </c>
      <c r="AK569" s="408">
        <v>0</v>
      </c>
      <c r="AL569" s="408">
        <v>0</v>
      </c>
      <c r="AM569" s="408"/>
      <c r="AN569" s="408">
        <v>0.61628751580516583</v>
      </c>
      <c r="AO569" s="408">
        <v>0</v>
      </c>
      <c r="AP569" s="408">
        <v>0</v>
      </c>
      <c r="AQ569" s="408">
        <v>0</v>
      </c>
      <c r="AR569" s="408">
        <v>0</v>
      </c>
      <c r="AS569" s="408">
        <v>0</v>
      </c>
      <c r="AT569" s="408">
        <v>0</v>
      </c>
      <c r="AU569" s="408">
        <v>0</v>
      </c>
      <c r="AV569" s="408">
        <v>0</v>
      </c>
      <c r="AW569" s="408">
        <v>0</v>
      </c>
      <c r="AX569" s="408">
        <v>0</v>
      </c>
      <c r="AY569" s="408">
        <v>0</v>
      </c>
      <c r="AZ569" s="408">
        <v>0</v>
      </c>
      <c r="BA569" s="408"/>
      <c r="BB569" s="408">
        <v>0</v>
      </c>
      <c r="BC569" s="408">
        <v>0</v>
      </c>
      <c r="BD569" s="408">
        <v>0</v>
      </c>
      <c r="BE569" s="408">
        <v>0</v>
      </c>
      <c r="BF569" s="408">
        <v>0</v>
      </c>
      <c r="BG569" s="408">
        <v>9.1508872138924371</v>
      </c>
      <c r="BH569" s="408">
        <v>0</v>
      </c>
      <c r="BI569" s="408">
        <v>0</v>
      </c>
      <c r="BJ569" s="408">
        <v>0</v>
      </c>
      <c r="BK569" s="408">
        <v>20.63</v>
      </c>
      <c r="BL569" s="408">
        <v>0</v>
      </c>
      <c r="BM569" s="408"/>
      <c r="BN569" s="408"/>
      <c r="BO569" s="408"/>
      <c r="BP569" s="408"/>
      <c r="BQ569" s="408"/>
      <c r="BR569" s="408"/>
      <c r="BS569" s="408"/>
      <c r="BT569" s="408">
        <v>504.59219450000006</v>
      </c>
      <c r="BU569" s="408"/>
      <c r="BV569" s="408">
        <v>75.485475060332647</v>
      </c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>
        <v>-345.07620000000009</v>
      </c>
      <c r="CJ569" s="408">
        <v>175.63182749999999</v>
      </c>
      <c r="CK569" s="408"/>
      <c r="CL569" s="408"/>
      <c r="CM569" s="408"/>
      <c r="CN569" s="408"/>
      <c r="CO569" s="408">
        <v>-81.858750000000001</v>
      </c>
      <c r="CP569" s="408">
        <v>0</v>
      </c>
      <c r="CQ569" s="408">
        <v>30</v>
      </c>
      <c r="CR569" s="408">
        <v>-0.10348890137998978</v>
      </c>
      <c r="CS569" s="408">
        <v>0</v>
      </c>
      <c r="CT569" s="408">
        <v>0</v>
      </c>
      <c r="CU569" s="408">
        <v>0</v>
      </c>
      <c r="CV569" s="408">
        <v>0</v>
      </c>
      <c r="CW569" s="408">
        <v>0</v>
      </c>
      <c r="CX569" s="408">
        <v>0</v>
      </c>
      <c r="CY569" s="408">
        <v>0</v>
      </c>
      <c r="CZ569" s="408">
        <v>-8.3476110143152482E-2</v>
      </c>
      <c r="DA569" s="408">
        <v>0</v>
      </c>
      <c r="DB569" s="408">
        <v>0</v>
      </c>
      <c r="DC569" s="408">
        <v>-9.2996828016111976E-9</v>
      </c>
      <c r="DD569" s="408">
        <v>0</v>
      </c>
      <c r="DE569" s="408">
        <v>0</v>
      </c>
      <c r="DF569" s="408">
        <v>0</v>
      </c>
      <c r="DG569" s="408">
        <v>-1.2828884621285397E-9</v>
      </c>
      <c r="DH569" s="408">
        <v>0</v>
      </c>
      <c r="DI569" s="408">
        <v>0</v>
      </c>
      <c r="DJ569" s="408"/>
      <c r="DK569" s="408">
        <v>0</v>
      </c>
      <c r="DL569" s="408">
        <v>0</v>
      </c>
      <c r="DM569" s="408">
        <v>0</v>
      </c>
      <c r="DN569" s="408">
        <v>0</v>
      </c>
      <c r="DO569" s="408">
        <v>0</v>
      </c>
      <c r="DP569" s="408">
        <v>-2.0012780654273143E-2</v>
      </c>
      <c r="DQ569" s="408">
        <v>0</v>
      </c>
      <c r="DR569" s="408">
        <v>0</v>
      </c>
      <c r="DS569" s="408"/>
      <c r="DT569" s="408"/>
      <c r="DU569" s="408"/>
      <c r="DV569" s="408">
        <v>133.33778352407813</v>
      </c>
      <c r="DW569" s="408">
        <v>0</v>
      </c>
      <c r="DX569" s="408">
        <v>0</v>
      </c>
      <c r="DY569" s="408">
        <v>-81.858750000000015</v>
      </c>
      <c r="DZ569" s="408">
        <v>0</v>
      </c>
      <c r="EA569" s="408">
        <v>0</v>
      </c>
      <c r="EB569" s="408">
        <v>0</v>
      </c>
      <c r="EC569" s="408">
        <v>-81.755411521387941</v>
      </c>
      <c r="ED569" s="408">
        <v>0</v>
      </c>
      <c r="EE569" s="408">
        <v>0</v>
      </c>
      <c r="EF569" s="408">
        <v>0</v>
      </c>
      <c r="EG569" s="408">
        <v>0</v>
      </c>
      <c r="EH569" s="408">
        <v>0</v>
      </c>
      <c r="EI569" s="408">
        <v>0</v>
      </c>
      <c r="EJ569" s="408">
        <v>0</v>
      </c>
      <c r="EK569" s="408">
        <v>0</v>
      </c>
      <c r="EL569" s="408">
        <v>0</v>
      </c>
      <c r="EM569" s="408">
        <v>0</v>
      </c>
      <c r="EN569" s="408">
        <v>0</v>
      </c>
      <c r="EO569" s="408">
        <v>0</v>
      </c>
      <c r="EP569" s="408">
        <v>0</v>
      </c>
      <c r="EQ569" s="408">
        <v>0</v>
      </c>
      <c r="ER569" s="408">
        <v>0</v>
      </c>
      <c r="ES569" s="408">
        <v>0</v>
      </c>
      <c r="ET569" s="408">
        <v>0</v>
      </c>
      <c r="EU569" s="408">
        <v>0</v>
      </c>
      <c r="EV569" s="408">
        <v>265</v>
      </c>
      <c r="EW569" s="408">
        <v>0</v>
      </c>
      <c r="EX569" s="408">
        <v>0</v>
      </c>
      <c r="EY569" s="408">
        <v>0</v>
      </c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576</v>
      </c>
      <c r="B570" s="408" t="s">
        <v>1031</v>
      </c>
      <c r="C570" s="408" t="s">
        <v>2227</v>
      </c>
      <c r="D570" s="408" t="s">
        <v>1949</v>
      </c>
      <c r="E570" s="408" t="s">
        <v>964</v>
      </c>
      <c r="F570" s="408" t="s">
        <v>2232</v>
      </c>
      <c r="G570" s="408" t="s">
        <v>1317</v>
      </c>
      <c r="H570" s="408" t="s">
        <v>1317</v>
      </c>
      <c r="I570" s="408" t="s">
        <v>1317</v>
      </c>
      <c r="J570" s="408" t="s">
        <v>2228</v>
      </c>
      <c r="K570" s="828">
        <v>44713</v>
      </c>
      <c r="L570" s="408">
        <v>0</v>
      </c>
      <c r="M570" s="408">
        <v>0</v>
      </c>
      <c r="N570" s="408">
        <v>40.932000000000002</v>
      </c>
      <c r="O570" s="408">
        <v>40.932000000000002</v>
      </c>
      <c r="P570" s="408">
        <v>40.932000000000002</v>
      </c>
      <c r="Q570" s="408">
        <v>40.932000000000002</v>
      </c>
      <c r="R570" s="408"/>
      <c r="S570" s="408">
        <v>667.62</v>
      </c>
      <c r="T570" s="408">
        <v>252.22</v>
      </c>
      <c r="U570" s="408"/>
      <c r="V570" s="408">
        <v>37650.890880000006</v>
      </c>
      <c r="W570" s="408">
        <v>37650.890880000006</v>
      </c>
      <c r="X570" s="408">
        <v>24910.80588</v>
      </c>
      <c r="Y570" s="408">
        <v>0</v>
      </c>
      <c r="Z570" s="408">
        <v>0</v>
      </c>
      <c r="AA570" s="408">
        <v>0</v>
      </c>
      <c r="AB570" s="408">
        <v>0</v>
      </c>
      <c r="AC570" s="408">
        <v>0</v>
      </c>
      <c r="AD570" s="408">
        <v>5055.002981244691</v>
      </c>
      <c r="AE570" s="408">
        <v>20752.023403831052</v>
      </c>
      <c r="AF570" s="408">
        <v>10323.982318366887</v>
      </c>
      <c r="AG570" s="408">
        <v>0</v>
      </c>
      <c r="AH570" s="408">
        <v>0</v>
      </c>
      <c r="AI570" s="408">
        <v>0</v>
      </c>
      <c r="AJ570" s="408">
        <v>0</v>
      </c>
      <c r="AK570" s="408">
        <v>0</v>
      </c>
      <c r="AL570" s="408">
        <v>0</v>
      </c>
      <c r="AM570" s="408"/>
      <c r="AN570" s="408">
        <v>95.915895805844286</v>
      </c>
      <c r="AO570" s="408">
        <v>0</v>
      </c>
      <c r="AP570" s="408">
        <v>0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0</v>
      </c>
      <c r="BF570" s="408">
        <v>0</v>
      </c>
      <c r="BG570" s="408">
        <v>1424.1981575629097</v>
      </c>
      <c r="BH570" s="408">
        <v>0</v>
      </c>
      <c r="BI570" s="408">
        <v>0</v>
      </c>
      <c r="BJ570" s="408">
        <v>0</v>
      </c>
      <c r="BK570" s="408">
        <v>4906.21</v>
      </c>
      <c r="BL570" s="408">
        <v>320</v>
      </c>
      <c r="BM570" s="408"/>
      <c r="BN570" s="408"/>
      <c r="BO570" s="408"/>
      <c r="BP570" s="408"/>
      <c r="BQ570" s="408"/>
      <c r="BR570" s="408"/>
      <c r="BS570" s="408"/>
      <c r="BT570" s="408">
        <v>9964.4860800000006</v>
      </c>
      <c r="BU570" s="408"/>
      <c r="BV570" s="408">
        <v>11748.180475929796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14945.5895</v>
      </c>
      <c r="CJ570" s="408">
        <v>-7644.8112999999958</v>
      </c>
      <c r="CK570" s="408"/>
      <c r="CL570" s="408"/>
      <c r="CM570" s="408"/>
      <c r="CN570" s="408"/>
      <c r="CO570" s="408">
        <v>-12740.085000000001</v>
      </c>
      <c r="CP570" s="408">
        <v>0</v>
      </c>
      <c r="CQ570" s="408">
        <v>30</v>
      </c>
      <c r="CR570" s="408">
        <v>-16.106493198807584</v>
      </c>
      <c r="CS570" s="408">
        <v>0</v>
      </c>
      <c r="CT570" s="408">
        <v>0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-12.99180281513236</v>
      </c>
      <c r="DA570" s="408">
        <v>0</v>
      </c>
      <c r="DB570" s="408">
        <v>0</v>
      </c>
      <c r="DC570" s="408">
        <v>-1.4473571354756132E-6</v>
      </c>
      <c r="DD570" s="408">
        <v>0</v>
      </c>
      <c r="DE570" s="408">
        <v>0</v>
      </c>
      <c r="DF570" s="408">
        <v>0</v>
      </c>
      <c r="DG570" s="408">
        <v>-1.9966228137491271E-7</v>
      </c>
      <c r="DH570" s="408">
        <v>0</v>
      </c>
      <c r="DI570" s="408">
        <v>0</v>
      </c>
      <c r="DJ570" s="408"/>
      <c r="DK570" s="408">
        <v>0</v>
      </c>
      <c r="DL570" s="408">
        <v>0</v>
      </c>
      <c r="DM570" s="408">
        <v>0</v>
      </c>
      <c r="DN570" s="408">
        <v>0</v>
      </c>
      <c r="DO570" s="408">
        <v>0</v>
      </c>
      <c r="DP570" s="408">
        <v>-3.1146887366566887</v>
      </c>
      <c r="DQ570" s="408">
        <v>0</v>
      </c>
      <c r="DR570" s="408">
        <v>0</v>
      </c>
      <c r="DS570" s="408"/>
      <c r="DT570" s="408"/>
      <c r="DU570" s="408"/>
      <c r="DV570" s="408">
        <v>20752.023403831052</v>
      </c>
      <c r="DW570" s="408">
        <v>0</v>
      </c>
      <c r="DX570" s="408">
        <v>0</v>
      </c>
      <c r="DY570" s="408">
        <v>-12740.085000000001</v>
      </c>
      <c r="DZ570" s="408">
        <v>0</v>
      </c>
      <c r="EA570" s="408">
        <v>0</v>
      </c>
      <c r="EB570" s="408">
        <v>0</v>
      </c>
      <c r="EC570" s="408">
        <v>-12724.001917845822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0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265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577</v>
      </c>
      <c r="B571" s="408" t="s">
        <v>2230</v>
      </c>
      <c r="C571" s="408" t="s">
        <v>2227</v>
      </c>
      <c r="D571" s="408" t="s">
        <v>1949</v>
      </c>
      <c r="E571" s="408" t="s">
        <v>964</v>
      </c>
      <c r="F571" s="408" t="s">
        <v>2232</v>
      </c>
      <c r="G571" s="408" t="s">
        <v>1317</v>
      </c>
      <c r="H571" s="408" t="s">
        <v>1317</v>
      </c>
      <c r="I571" s="408" t="s">
        <v>1317</v>
      </c>
      <c r="J571" s="408" t="s">
        <v>2228</v>
      </c>
      <c r="K571" s="828">
        <v>44713</v>
      </c>
      <c r="L571" s="408">
        <v>0</v>
      </c>
      <c r="M571" s="408">
        <v>0</v>
      </c>
      <c r="N571" s="408">
        <v>0.20200000000000001</v>
      </c>
      <c r="O571" s="408">
        <v>-0.68679999999999997</v>
      </c>
      <c r="P571" s="408">
        <v>0.20200000000000001</v>
      </c>
      <c r="Q571" s="408">
        <v>-0.68679999999999997</v>
      </c>
      <c r="R571" s="408"/>
      <c r="S571" s="408">
        <v>667.62</v>
      </c>
      <c r="T571" s="408">
        <v>252.22</v>
      </c>
      <c r="U571" s="408"/>
      <c r="V571" s="408">
        <v>185.80768</v>
      </c>
      <c r="W571" s="408">
        <v>185.80768</v>
      </c>
      <c r="X571" s="408">
        <v>122.93518000000002</v>
      </c>
      <c r="Y571" s="408">
        <v>0</v>
      </c>
      <c r="Z571" s="408">
        <v>0</v>
      </c>
      <c r="AA571" s="408">
        <v>0</v>
      </c>
      <c r="AB571" s="408">
        <v>0</v>
      </c>
      <c r="AC571" s="408">
        <v>0</v>
      </c>
      <c r="AD571" s="408">
        <v>24.946511341039471</v>
      </c>
      <c r="AE571" s="408">
        <v>102.41152955081287</v>
      </c>
      <c r="AF571" s="408">
        <v>50.948999030345725</v>
      </c>
      <c r="AG571" s="408">
        <v>0</v>
      </c>
      <c r="AH571" s="408">
        <v>0</v>
      </c>
      <c r="AI571" s="408">
        <v>0</v>
      </c>
      <c r="AJ571" s="408">
        <v>0</v>
      </c>
      <c r="AK571" s="408">
        <v>0</v>
      </c>
      <c r="AL571" s="408">
        <v>0</v>
      </c>
      <c r="AM571" s="408"/>
      <c r="AN571" s="408">
        <v>0.47334630491499424</v>
      </c>
      <c r="AO571" s="408">
        <v>0</v>
      </c>
      <c r="AP571" s="408">
        <v>0</v>
      </c>
      <c r="AQ571" s="408">
        <v>0</v>
      </c>
      <c r="AR571" s="408">
        <v>0</v>
      </c>
      <c r="AS571" s="408">
        <v>0</v>
      </c>
      <c r="AT571" s="408">
        <v>0</v>
      </c>
      <c r="AU571" s="408">
        <v>0</v>
      </c>
      <c r="AV571" s="408">
        <v>0</v>
      </c>
      <c r="AW571" s="408">
        <v>0</v>
      </c>
      <c r="AX571" s="408">
        <v>0</v>
      </c>
      <c r="AY571" s="408">
        <v>0</v>
      </c>
      <c r="AZ571" s="408">
        <v>0</v>
      </c>
      <c r="BA571" s="408"/>
      <c r="BB571" s="408">
        <v>0</v>
      </c>
      <c r="BC571" s="408">
        <v>0</v>
      </c>
      <c r="BD571" s="408">
        <v>0</v>
      </c>
      <c r="BE571" s="408">
        <v>0</v>
      </c>
      <c r="BF571" s="408">
        <v>0</v>
      </c>
      <c r="BG571" s="408">
        <v>7.0284380882367774</v>
      </c>
      <c r="BH571" s="408">
        <v>0</v>
      </c>
      <c r="BI571" s="408">
        <v>0</v>
      </c>
      <c r="BJ571" s="408">
        <v>0</v>
      </c>
      <c r="BK571" s="408">
        <v>56.99</v>
      </c>
      <c r="BL571" s="408">
        <v>1</v>
      </c>
      <c r="BM571" s="408"/>
      <c r="BN571" s="408"/>
      <c r="BO571" s="408"/>
      <c r="BP571" s="408"/>
      <c r="BQ571" s="408"/>
      <c r="BR571" s="408"/>
      <c r="BS571" s="408"/>
      <c r="BT571" s="408">
        <v>373.72019999999998</v>
      </c>
      <c r="BU571" s="408"/>
      <c r="BV571" s="408">
        <v>57.9774371185825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-251.95349999999999</v>
      </c>
      <c r="CJ571" s="408">
        <v>127.06142000000003</v>
      </c>
      <c r="CK571" s="408"/>
      <c r="CL571" s="408"/>
      <c r="CM571" s="408"/>
      <c r="CN571" s="408"/>
      <c r="CO571" s="408">
        <v>-62.872500000000002</v>
      </c>
      <c r="CP571" s="408">
        <v>0</v>
      </c>
      <c r="CQ571" s="408">
        <v>30</v>
      </c>
      <c r="CR571" s="408">
        <v>-7.9485772162584567E-2</v>
      </c>
      <c r="CS571" s="408">
        <v>0</v>
      </c>
      <c r="CT571" s="408">
        <v>0</v>
      </c>
      <c r="CU571" s="408">
        <v>0</v>
      </c>
      <c r="CV571" s="408">
        <v>0</v>
      </c>
      <c r="CW571" s="408">
        <v>0</v>
      </c>
      <c r="CX571" s="408">
        <v>0</v>
      </c>
      <c r="CY571" s="408">
        <v>0</v>
      </c>
      <c r="CZ571" s="408">
        <v>-6.4114730984478285E-2</v>
      </c>
      <c r="DA571" s="408">
        <v>0</v>
      </c>
      <c r="DB571" s="408">
        <v>0</v>
      </c>
      <c r="DC571" s="408">
        <v>-7.1427237458010495E-9</v>
      </c>
      <c r="DD571" s="408">
        <v>0</v>
      </c>
      <c r="DE571" s="408">
        <v>0</v>
      </c>
      <c r="DF571" s="408">
        <v>0</v>
      </c>
      <c r="DG571" s="408">
        <v>-9.8533625703112193E-10</v>
      </c>
      <c r="DH571" s="408">
        <v>0</v>
      </c>
      <c r="DI571" s="408">
        <v>0</v>
      </c>
      <c r="DJ571" s="408"/>
      <c r="DK571" s="408">
        <v>0</v>
      </c>
      <c r="DL571" s="408">
        <v>0</v>
      </c>
      <c r="DM571" s="408">
        <v>0</v>
      </c>
      <c r="DN571" s="408">
        <v>0</v>
      </c>
      <c r="DO571" s="408">
        <v>0</v>
      </c>
      <c r="DP571" s="408">
        <v>-1.5371033050050054E-2</v>
      </c>
      <c r="DQ571" s="408">
        <v>0</v>
      </c>
      <c r="DR571" s="408">
        <v>0</v>
      </c>
      <c r="DS571" s="408"/>
      <c r="DT571" s="408"/>
      <c r="DU571" s="408"/>
      <c r="DV571" s="408">
        <v>102.41152955081287</v>
      </c>
      <c r="DW571" s="408">
        <v>0</v>
      </c>
      <c r="DX571" s="408">
        <v>0</v>
      </c>
      <c r="DY571" s="408">
        <v>-62.872499999999988</v>
      </c>
      <c r="DZ571" s="408">
        <v>0</v>
      </c>
      <c r="EA571" s="408">
        <v>0</v>
      </c>
      <c r="EB571" s="408">
        <v>0</v>
      </c>
      <c r="EC571" s="408">
        <v>-62.793129761674393</v>
      </c>
      <c r="ED571" s="408">
        <v>0</v>
      </c>
      <c r="EE571" s="408">
        <v>0</v>
      </c>
      <c r="EF571" s="408">
        <v>0</v>
      </c>
      <c r="EG571" s="408">
        <v>0</v>
      </c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>
        <v>0</v>
      </c>
      <c r="EN571" s="408">
        <v>0</v>
      </c>
      <c r="EO571" s="408">
        <v>0</v>
      </c>
      <c r="EP571" s="408">
        <v>0</v>
      </c>
      <c r="EQ571" s="408">
        <v>0</v>
      </c>
      <c r="ER571" s="408">
        <v>0</v>
      </c>
      <c r="ES571" s="408">
        <v>0</v>
      </c>
      <c r="ET571" s="408">
        <v>0</v>
      </c>
      <c r="EU571" s="408">
        <v>0</v>
      </c>
      <c r="EV571" s="408">
        <v>265</v>
      </c>
      <c r="EW571" s="408">
        <v>0</v>
      </c>
      <c r="EX571" s="408">
        <v>0</v>
      </c>
      <c r="EY571" s="408">
        <v>0</v>
      </c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578</v>
      </c>
      <c r="B572" s="408" t="s">
        <v>1031</v>
      </c>
      <c r="C572" s="408" t="s">
        <v>2227</v>
      </c>
      <c r="D572" s="408" t="s">
        <v>1949</v>
      </c>
      <c r="E572" s="408" t="s">
        <v>964</v>
      </c>
      <c r="F572" s="408" t="s">
        <v>2233</v>
      </c>
      <c r="G572" s="408" t="s">
        <v>1317</v>
      </c>
      <c r="H572" s="408" t="s">
        <v>1317</v>
      </c>
      <c r="I572" s="408" t="s">
        <v>1317</v>
      </c>
      <c r="J572" s="408" t="s">
        <v>2228</v>
      </c>
      <c r="K572" s="828">
        <v>44713</v>
      </c>
      <c r="L572" s="408">
        <v>0</v>
      </c>
      <c r="M572" s="408">
        <v>0</v>
      </c>
      <c r="N572" s="408">
        <v>23.856999999999999</v>
      </c>
      <c r="O572" s="408">
        <v>23.856999999999999</v>
      </c>
      <c r="P572" s="408">
        <v>23.856999999999999</v>
      </c>
      <c r="Q572" s="408">
        <v>23.856999999999999</v>
      </c>
      <c r="R572" s="408"/>
      <c r="S572" s="408">
        <v>667.62</v>
      </c>
      <c r="T572" s="408">
        <v>252.22</v>
      </c>
      <c r="U572" s="408"/>
      <c r="V572" s="408">
        <v>21944.622879999999</v>
      </c>
      <c r="W572" s="408">
        <v>21944.622879999999</v>
      </c>
      <c r="X572" s="408">
        <v>14519.13163</v>
      </c>
      <c r="Y572" s="408">
        <v>0</v>
      </c>
      <c r="Z572" s="408">
        <v>0</v>
      </c>
      <c r="AA572" s="408">
        <v>0</v>
      </c>
      <c r="AB572" s="408">
        <v>0</v>
      </c>
      <c r="AC572" s="408">
        <v>0</v>
      </c>
      <c r="AD572" s="408">
        <v>2946.2817874414782</v>
      </c>
      <c r="AE572" s="408">
        <v>12095.207230167041</v>
      </c>
      <c r="AF572" s="408">
        <v>6017.2785636978106</v>
      </c>
      <c r="AG572" s="408">
        <v>0</v>
      </c>
      <c r="AH572" s="408">
        <v>0</v>
      </c>
      <c r="AI572" s="408">
        <v>0</v>
      </c>
      <c r="AJ572" s="408">
        <v>0</v>
      </c>
      <c r="AK572" s="408">
        <v>0</v>
      </c>
      <c r="AL572" s="408">
        <v>0</v>
      </c>
      <c r="AM572" s="408"/>
      <c r="AN572" s="408">
        <v>55.904073249292168</v>
      </c>
      <c r="AO572" s="408">
        <v>0</v>
      </c>
      <c r="AP572" s="408">
        <v>0</v>
      </c>
      <c r="AQ572" s="408">
        <v>0</v>
      </c>
      <c r="AR572" s="408">
        <v>0</v>
      </c>
      <c r="AS572" s="408">
        <v>0</v>
      </c>
      <c r="AT572" s="408">
        <v>0</v>
      </c>
      <c r="AU572" s="408">
        <v>0</v>
      </c>
      <c r="AV572" s="408">
        <v>0</v>
      </c>
      <c r="AW572" s="408">
        <v>0</v>
      </c>
      <c r="AX572" s="408">
        <v>0</v>
      </c>
      <c r="AY572" s="408">
        <v>0</v>
      </c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0</v>
      </c>
      <c r="BF572" s="408">
        <v>0</v>
      </c>
      <c r="BG572" s="408">
        <v>830.08637361913259</v>
      </c>
      <c r="BH572" s="408">
        <v>0</v>
      </c>
      <c r="BI572" s="408">
        <v>0</v>
      </c>
      <c r="BJ572" s="408">
        <v>0</v>
      </c>
      <c r="BK572" s="408">
        <v>4355.1099999999997</v>
      </c>
      <c r="BL572" s="408">
        <v>344</v>
      </c>
      <c r="BM572" s="408"/>
      <c r="BN572" s="408"/>
      <c r="BO572" s="408"/>
      <c r="BP572" s="408"/>
      <c r="BQ572" s="408"/>
      <c r="BR572" s="408"/>
      <c r="BS572" s="408"/>
      <c r="BT572" s="408">
        <v>1451.6984499999999</v>
      </c>
      <c r="BU572" s="408"/>
      <c r="BV572" s="408">
        <v>6847.3649373169428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13069.0764</v>
      </c>
      <c r="CJ572" s="408">
        <v>-6681.2096199999996</v>
      </c>
      <c r="CK572" s="408"/>
      <c r="CL572" s="408"/>
      <c r="CM572" s="408"/>
      <c r="CN572" s="408"/>
      <c r="CO572" s="408">
        <v>-7425.49125</v>
      </c>
      <c r="CP572" s="408">
        <v>0</v>
      </c>
      <c r="CQ572" s="408">
        <v>30</v>
      </c>
      <c r="CR572" s="408">
        <v>-9.3875844875383336</v>
      </c>
      <c r="CS572" s="408">
        <v>0</v>
      </c>
      <c r="CT572" s="408">
        <v>0</v>
      </c>
      <c r="CU572" s="408">
        <v>0</v>
      </c>
      <c r="CV572" s="408">
        <v>0</v>
      </c>
      <c r="CW572" s="408">
        <v>0</v>
      </c>
      <c r="CX572" s="408">
        <v>0</v>
      </c>
      <c r="CY572" s="408">
        <v>0</v>
      </c>
      <c r="CZ572" s="408">
        <v>-7.5722036489933089</v>
      </c>
      <c r="DA572" s="408">
        <v>0</v>
      </c>
      <c r="DB572" s="408">
        <v>0</v>
      </c>
      <c r="DC572" s="408">
        <v>-8.4358362073544413E-7</v>
      </c>
      <c r="DD572" s="408">
        <v>0</v>
      </c>
      <c r="DE572" s="408">
        <v>0</v>
      </c>
      <c r="DF572" s="408">
        <v>0</v>
      </c>
      <c r="DG572" s="408">
        <v>-1.163721208286006E-7</v>
      </c>
      <c r="DH572" s="408">
        <v>0</v>
      </c>
      <c r="DI572" s="408">
        <v>0</v>
      </c>
      <c r="DJ572" s="408"/>
      <c r="DK572" s="408">
        <v>0</v>
      </c>
      <c r="DL572" s="408">
        <v>0</v>
      </c>
      <c r="DM572" s="408">
        <v>0</v>
      </c>
      <c r="DN572" s="408">
        <v>0</v>
      </c>
      <c r="DO572" s="408">
        <v>0</v>
      </c>
      <c r="DP572" s="408">
        <v>-1.8153798785893329</v>
      </c>
      <c r="DQ572" s="408">
        <v>0</v>
      </c>
      <c r="DR572" s="408">
        <v>0</v>
      </c>
      <c r="DS572" s="408"/>
      <c r="DT572" s="408"/>
      <c r="DU572" s="408"/>
      <c r="DV572" s="408">
        <v>12095.207230167041</v>
      </c>
      <c r="DW572" s="408">
        <v>0</v>
      </c>
      <c r="DX572" s="408">
        <v>0</v>
      </c>
      <c r="DY572" s="408">
        <v>-7425.4912500000009</v>
      </c>
      <c r="DZ572" s="408">
        <v>0</v>
      </c>
      <c r="EA572" s="408">
        <v>0</v>
      </c>
      <c r="EB572" s="408">
        <v>0</v>
      </c>
      <c r="EC572" s="408">
        <v>-7416.117310516167</v>
      </c>
      <c r="ED572" s="408">
        <v>0</v>
      </c>
      <c r="EE572" s="408">
        <v>0</v>
      </c>
      <c r="EF572" s="408">
        <v>0</v>
      </c>
      <c r="EG572" s="408">
        <v>0</v>
      </c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>
        <v>0</v>
      </c>
      <c r="EN572" s="408">
        <v>0</v>
      </c>
      <c r="EO572" s="408">
        <v>0</v>
      </c>
      <c r="EP572" s="408">
        <v>0</v>
      </c>
      <c r="EQ572" s="408">
        <v>0</v>
      </c>
      <c r="ER572" s="408">
        <v>0</v>
      </c>
      <c r="ES572" s="408">
        <v>0</v>
      </c>
      <c r="ET572" s="408">
        <v>0</v>
      </c>
      <c r="EU572" s="408">
        <v>0</v>
      </c>
      <c r="EV572" s="408">
        <v>265</v>
      </c>
      <c r="EW572" s="408">
        <v>0</v>
      </c>
      <c r="EX572" s="408">
        <v>0</v>
      </c>
      <c r="EY572" s="408">
        <v>0</v>
      </c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579</v>
      </c>
      <c r="B573" s="408" t="s">
        <v>2230</v>
      </c>
      <c r="C573" s="408" t="s">
        <v>2227</v>
      </c>
      <c r="D573" s="408" t="s">
        <v>1949</v>
      </c>
      <c r="E573" s="408" t="s">
        <v>964</v>
      </c>
      <c r="F573" s="408" t="s">
        <v>2233</v>
      </c>
      <c r="G573" s="408" t="s">
        <v>1317</v>
      </c>
      <c r="H573" s="408" t="s">
        <v>1317</v>
      </c>
      <c r="I573" s="408" t="s">
        <v>1317</v>
      </c>
      <c r="J573" s="408" t="s">
        <v>2228</v>
      </c>
      <c r="K573" s="828">
        <v>44713</v>
      </c>
      <c r="L573" s="408">
        <v>0</v>
      </c>
      <c r="M573" s="408">
        <v>0</v>
      </c>
      <c r="N573" s="408">
        <v>3.5999999999999997E-2</v>
      </c>
      <c r="O573" s="408">
        <v>0</v>
      </c>
      <c r="P573" s="408">
        <v>3.5999999999999997E-2</v>
      </c>
      <c r="Q573" s="408">
        <v>0</v>
      </c>
      <c r="R573" s="408"/>
      <c r="S573" s="408">
        <v>667.62</v>
      </c>
      <c r="T573" s="408">
        <v>252.22</v>
      </c>
      <c r="U573" s="408"/>
      <c r="V573" s="408">
        <v>33.114239999999995</v>
      </c>
      <c r="W573" s="408">
        <v>33.114239999999995</v>
      </c>
      <c r="X573" s="408">
        <v>21.909239999999997</v>
      </c>
      <c r="Y573" s="408">
        <v>0</v>
      </c>
      <c r="Z573" s="408">
        <v>0</v>
      </c>
      <c r="AA573" s="408">
        <v>0</v>
      </c>
      <c r="AB573" s="408">
        <v>0</v>
      </c>
      <c r="AC573" s="408">
        <v>0</v>
      </c>
      <c r="AD573" s="408">
        <v>4.4459129122644594</v>
      </c>
      <c r="AE573" s="408">
        <v>18.251559721927041</v>
      </c>
      <c r="AF573" s="408">
        <v>9.0800196291705237</v>
      </c>
      <c r="AG573" s="408">
        <v>0</v>
      </c>
      <c r="AH573" s="408">
        <v>0</v>
      </c>
      <c r="AI573" s="408">
        <v>0</v>
      </c>
      <c r="AJ573" s="408">
        <v>0</v>
      </c>
      <c r="AK573" s="408">
        <v>0</v>
      </c>
      <c r="AL573" s="408">
        <v>0</v>
      </c>
      <c r="AM573" s="408"/>
      <c r="AN573" s="408">
        <v>8.435874741059303E-2</v>
      </c>
      <c r="AO573" s="408">
        <v>0</v>
      </c>
      <c r="AP573" s="408">
        <v>0</v>
      </c>
      <c r="AQ573" s="408">
        <v>0</v>
      </c>
      <c r="AR573" s="408">
        <v>0</v>
      </c>
      <c r="AS573" s="408">
        <v>0</v>
      </c>
      <c r="AT573" s="408">
        <v>0</v>
      </c>
      <c r="AU573" s="408">
        <v>0</v>
      </c>
      <c r="AV573" s="408">
        <v>0</v>
      </c>
      <c r="AW573" s="408">
        <v>0</v>
      </c>
      <c r="AX573" s="408">
        <v>0</v>
      </c>
      <c r="AY573" s="408">
        <v>0</v>
      </c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>
        <v>0</v>
      </c>
      <c r="BG573" s="408">
        <v>1.2525929266164553</v>
      </c>
      <c r="BH573" s="408">
        <v>0</v>
      </c>
      <c r="BI573" s="408">
        <v>0</v>
      </c>
      <c r="BJ573" s="408">
        <v>0</v>
      </c>
      <c r="BK573" s="408">
        <v>99.64</v>
      </c>
      <c r="BL573" s="408">
        <v>6</v>
      </c>
      <c r="BM573" s="408"/>
      <c r="BN573" s="408"/>
      <c r="BO573" s="408"/>
      <c r="BP573" s="408"/>
      <c r="BQ573" s="408"/>
      <c r="BR573" s="408"/>
      <c r="BS573" s="408"/>
      <c r="BT573" s="408">
        <v>21.90924</v>
      </c>
      <c r="BU573" s="408"/>
      <c r="BV573" s="408">
        <v>10.332612555786978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0</v>
      </c>
      <c r="CJ573" s="408">
        <v>-0.03</v>
      </c>
      <c r="CK573" s="408"/>
      <c r="CL573" s="408"/>
      <c r="CM573" s="408"/>
      <c r="CN573" s="408"/>
      <c r="CO573" s="408">
        <v>-11.204999999999998</v>
      </c>
      <c r="CP573" s="408">
        <v>0</v>
      </c>
      <c r="CQ573" s="408">
        <v>30</v>
      </c>
      <c r="CR573" s="408">
        <v>-1.4165781177489123E-2</v>
      </c>
      <c r="CS573" s="408">
        <v>0</v>
      </c>
      <c r="CT573" s="408">
        <v>0</v>
      </c>
      <c r="CU573" s="408">
        <v>0</v>
      </c>
      <c r="CV573" s="408">
        <v>0</v>
      </c>
      <c r="CW573" s="408">
        <v>0</v>
      </c>
      <c r="CX573" s="408">
        <v>0</v>
      </c>
      <c r="CY573" s="408">
        <v>0</v>
      </c>
      <c r="CZ573" s="408">
        <v>-1.1426387700203655E-2</v>
      </c>
      <c r="DA573" s="408">
        <v>0</v>
      </c>
      <c r="DB573" s="408">
        <v>0</v>
      </c>
      <c r="DC573" s="408">
        <v>-1.2729604037531317E-9</v>
      </c>
      <c r="DD573" s="408">
        <v>0</v>
      </c>
      <c r="DE573" s="408">
        <v>0</v>
      </c>
      <c r="DF573" s="408">
        <v>0</v>
      </c>
      <c r="DG573" s="408">
        <v>-1.7560464193877579E-10</v>
      </c>
      <c r="DH573" s="408">
        <v>0</v>
      </c>
      <c r="DI573" s="408">
        <v>0</v>
      </c>
      <c r="DJ573" s="408"/>
      <c r="DK573" s="408">
        <v>0</v>
      </c>
      <c r="DL573" s="408">
        <v>0</v>
      </c>
      <c r="DM573" s="408">
        <v>0</v>
      </c>
      <c r="DN573" s="408">
        <v>0</v>
      </c>
      <c r="DO573" s="408">
        <v>0</v>
      </c>
      <c r="DP573" s="408">
        <v>-2.739392028721796E-3</v>
      </c>
      <c r="DQ573" s="408">
        <v>0</v>
      </c>
      <c r="DR573" s="408">
        <v>0</v>
      </c>
      <c r="DS573" s="408"/>
      <c r="DT573" s="408"/>
      <c r="DU573" s="408"/>
      <c r="DV573" s="408">
        <v>18.251559721927041</v>
      </c>
      <c r="DW573" s="408">
        <v>0</v>
      </c>
      <c r="DX573" s="408">
        <v>0</v>
      </c>
      <c r="DY573" s="408">
        <v>-11.204999999999998</v>
      </c>
      <c r="DZ573" s="408">
        <v>0</v>
      </c>
      <c r="EA573" s="408">
        <v>0</v>
      </c>
      <c r="EB573" s="408">
        <v>0</v>
      </c>
      <c r="EC573" s="408">
        <v>-11.190854809011274</v>
      </c>
      <c r="ED573" s="408">
        <v>0</v>
      </c>
      <c r="EE573" s="408">
        <v>0</v>
      </c>
      <c r="EF573" s="408">
        <v>0</v>
      </c>
      <c r="EG573" s="408">
        <v>0</v>
      </c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>
        <v>0</v>
      </c>
      <c r="EN573" s="408">
        <v>0</v>
      </c>
      <c r="EO573" s="408">
        <v>0</v>
      </c>
      <c r="EP573" s="408">
        <v>0</v>
      </c>
      <c r="EQ573" s="408">
        <v>0</v>
      </c>
      <c r="ER573" s="408">
        <v>0</v>
      </c>
      <c r="ES573" s="408">
        <v>0</v>
      </c>
      <c r="ET573" s="408">
        <v>0</v>
      </c>
      <c r="EU573" s="408">
        <v>0</v>
      </c>
      <c r="EV573" s="408">
        <v>265</v>
      </c>
      <c r="EW573" s="408">
        <v>0</v>
      </c>
      <c r="EX573" s="408">
        <v>0</v>
      </c>
      <c r="EY573" s="408">
        <v>0</v>
      </c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580</v>
      </c>
      <c r="B574" s="408" t="s">
        <v>1031</v>
      </c>
      <c r="C574" s="408" t="s">
        <v>2227</v>
      </c>
      <c r="D574" s="408" t="s">
        <v>1949</v>
      </c>
      <c r="E574" s="408" t="s">
        <v>964</v>
      </c>
      <c r="F574" s="408" t="s">
        <v>2234</v>
      </c>
      <c r="G574" s="408" t="s">
        <v>1317</v>
      </c>
      <c r="H574" s="408" t="s">
        <v>1317</v>
      </c>
      <c r="I574" s="408" t="s">
        <v>1317</v>
      </c>
      <c r="J574" s="408" t="s">
        <v>2228</v>
      </c>
      <c r="K574" s="828">
        <v>44713</v>
      </c>
      <c r="L574" s="408">
        <v>0</v>
      </c>
      <c r="M574" s="408">
        <v>0</v>
      </c>
      <c r="N574" s="408">
        <v>5.8520000000000003</v>
      </c>
      <c r="O574" s="408">
        <v>5.8520000000000003</v>
      </c>
      <c r="P574" s="408">
        <v>5.8520000000000003</v>
      </c>
      <c r="Q574" s="408">
        <v>5.8520000000000003</v>
      </c>
      <c r="R574" s="408"/>
      <c r="S574" s="408">
        <v>667.62</v>
      </c>
      <c r="T574" s="408">
        <v>252.22</v>
      </c>
      <c r="U574" s="408"/>
      <c r="V574" s="408">
        <v>5382.9036800000003</v>
      </c>
      <c r="W574" s="408">
        <v>5382.9036800000003</v>
      </c>
      <c r="X574" s="408">
        <v>3561.4686799999999</v>
      </c>
      <c r="Y574" s="408">
        <v>0</v>
      </c>
      <c r="Z574" s="408">
        <v>0</v>
      </c>
      <c r="AA574" s="408">
        <v>0</v>
      </c>
      <c r="AB574" s="408">
        <v>0</v>
      </c>
      <c r="AC574" s="408">
        <v>0</v>
      </c>
      <c r="AD574" s="408">
        <v>722.70784340476723</v>
      </c>
      <c r="AE574" s="408">
        <v>2966.8924303532517</v>
      </c>
      <c r="AF574" s="408">
        <v>1476.0076352751641</v>
      </c>
      <c r="AG574" s="408">
        <v>0</v>
      </c>
      <c r="AH574" s="408">
        <v>0</v>
      </c>
      <c r="AI574" s="408">
        <v>0</v>
      </c>
      <c r="AJ574" s="408">
        <v>0</v>
      </c>
      <c r="AK574" s="408">
        <v>0</v>
      </c>
      <c r="AL574" s="408">
        <v>0</v>
      </c>
      <c r="AM574" s="408"/>
      <c r="AN574" s="408">
        <v>13.712983051299735</v>
      </c>
      <c r="AO574" s="408">
        <v>0</v>
      </c>
      <c r="AP574" s="408">
        <v>0</v>
      </c>
      <c r="AQ574" s="408">
        <v>0</v>
      </c>
      <c r="AR574" s="408">
        <v>0</v>
      </c>
      <c r="AS574" s="408">
        <v>0</v>
      </c>
      <c r="AT574" s="408">
        <v>0</v>
      </c>
      <c r="AU574" s="408">
        <v>0</v>
      </c>
      <c r="AV574" s="408">
        <v>0</v>
      </c>
      <c r="AW574" s="408">
        <v>0</v>
      </c>
      <c r="AX574" s="408">
        <v>0</v>
      </c>
      <c r="AY574" s="408">
        <v>0</v>
      </c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0</v>
      </c>
      <c r="BF574" s="408">
        <v>0</v>
      </c>
      <c r="BG574" s="408">
        <v>203.61593907109713</v>
      </c>
      <c r="BH574" s="408">
        <v>0</v>
      </c>
      <c r="BI574" s="408">
        <v>0</v>
      </c>
      <c r="BJ574" s="408">
        <v>0</v>
      </c>
      <c r="BK574" s="408">
        <v>1186.82</v>
      </c>
      <c r="BL574" s="408">
        <v>69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1679.6235743462612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3560.2514999999994</v>
      </c>
      <c r="CJ574" s="408">
        <v>-1822.6821800000016</v>
      </c>
      <c r="CK574" s="408"/>
      <c r="CL574" s="408"/>
      <c r="CM574" s="408"/>
      <c r="CN574" s="408"/>
      <c r="CO574" s="408">
        <v>-1821.4350000000002</v>
      </c>
      <c r="CP574" s="408">
        <v>0</v>
      </c>
      <c r="CQ574" s="408">
        <v>30</v>
      </c>
      <c r="CR574" s="408">
        <v>-2.3027264291854408</v>
      </c>
      <c r="CS574" s="408">
        <v>0</v>
      </c>
      <c r="CT574" s="408">
        <v>0</v>
      </c>
      <c r="CU574" s="408">
        <v>0</v>
      </c>
      <c r="CV574" s="408">
        <v>0</v>
      </c>
      <c r="CW574" s="408">
        <v>0</v>
      </c>
      <c r="CX574" s="408">
        <v>0</v>
      </c>
      <c r="CY574" s="408">
        <v>0</v>
      </c>
      <c r="CZ574" s="408">
        <v>-1.8574228005998066</v>
      </c>
      <c r="DA574" s="408">
        <v>0</v>
      </c>
      <c r="DB574" s="408">
        <v>0</v>
      </c>
      <c r="DC574" s="408">
        <v>-2.0692687030532397E-7</v>
      </c>
      <c r="DD574" s="408">
        <v>0</v>
      </c>
      <c r="DE574" s="408">
        <v>0</v>
      </c>
      <c r="DF574" s="408">
        <v>0</v>
      </c>
      <c r="DG574" s="408">
        <v>-2.8545485974973417E-8</v>
      </c>
      <c r="DH574" s="408">
        <v>0</v>
      </c>
      <c r="DI574" s="408">
        <v>0</v>
      </c>
      <c r="DJ574" s="408"/>
      <c r="DK574" s="408">
        <v>0</v>
      </c>
      <c r="DL574" s="408">
        <v>0</v>
      </c>
      <c r="DM574" s="408">
        <v>0</v>
      </c>
      <c r="DN574" s="408">
        <v>0</v>
      </c>
      <c r="DO574" s="408">
        <v>0</v>
      </c>
      <c r="DP574" s="408">
        <v>-0.445303393113333</v>
      </c>
      <c r="DQ574" s="408">
        <v>0</v>
      </c>
      <c r="DR574" s="408">
        <v>0</v>
      </c>
      <c r="DS574" s="408"/>
      <c r="DT574" s="408"/>
      <c r="DU574" s="408"/>
      <c r="DV574" s="408">
        <v>2966.8924303532517</v>
      </c>
      <c r="DW574" s="408">
        <v>0</v>
      </c>
      <c r="DX574" s="408">
        <v>0</v>
      </c>
      <c r="DY574" s="408">
        <v>-1821.4349999999999</v>
      </c>
      <c r="DZ574" s="408">
        <v>0</v>
      </c>
      <c r="EA574" s="408">
        <v>0</v>
      </c>
      <c r="EB574" s="408">
        <v>0</v>
      </c>
      <c r="EC574" s="408">
        <v>-1819.1356206203884</v>
      </c>
      <c r="ED574" s="408">
        <v>0</v>
      </c>
      <c r="EE574" s="408">
        <v>0</v>
      </c>
      <c r="EF574" s="408">
        <v>0</v>
      </c>
      <c r="EG574" s="408">
        <v>0</v>
      </c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>
        <v>0</v>
      </c>
      <c r="EN574" s="408">
        <v>0</v>
      </c>
      <c r="EO574" s="408">
        <v>0</v>
      </c>
      <c r="EP574" s="408">
        <v>0</v>
      </c>
      <c r="EQ574" s="408">
        <v>0</v>
      </c>
      <c r="ER574" s="408">
        <v>0</v>
      </c>
      <c r="ES574" s="408">
        <v>0</v>
      </c>
      <c r="ET574" s="408">
        <v>0</v>
      </c>
      <c r="EU574" s="408">
        <v>0</v>
      </c>
      <c r="EV574" s="408">
        <v>265</v>
      </c>
      <c r="EW574" s="408">
        <v>0</v>
      </c>
      <c r="EX574" s="408">
        <v>0</v>
      </c>
      <c r="EY574" s="408">
        <v>0</v>
      </c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581</v>
      </c>
      <c r="B575" s="408" t="s">
        <v>2230</v>
      </c>
      <c r="C575" s="408" t="s">
        <v>2227</v>
      </c>
      <c r="D575" s="408" t="s">
        <v>1949</v>
      </c>
      <c r="E575" s="408" t="s">
        <v>964</v>
      </c>
      <c r="F575" s="408" t="s">
        <v>2234</v>
      </c>
      <c r="G575" s="408" t="s">
        <v>1317</v>
      </c>
      <c r="H575" s="408" t="s">
        <v>1317</v>
      </c>
      <c r="I575" s="408" t="s">
        <v>1317</v>
      </c>
      <c r="J575" s="408" t="s">
        <v>2228</v>
      </c>
      <c r="K575" s="828">
        <v>44713</v>
      </c>
      <c r="L575" s="408">
        <v>0</v>
      </c>
      <c r="M575" s="408">
        <v>0</v>
      </c>
      <c r="N575" s="408">
        <v>0</v>
      </c>
      <c r="O575" s="408">
        <v>0</v>
      </c>
      <c r="P575" s="408">
        <v>0</v>
      </c>
      <c r="Q575" s="408">
        <v>0</v>
      </c>
      <c r="R575" s="408"/>
      <c r="S575" s="408"/>
      <c r="T575" s="408"/>
      <c r="U575" s="408"/>
      <c r="V575" s="408"/>
      <c r="W575" s="408"/>
      <c r="X575" s="408"/>
      <c r="Y575" s="408"/>
      <c r="Z575" s="408"/>
      <c r="AA575" s="408">
        <v>0</v>
      </c>
      <c r="AB575" s="408"/>
      <c r="AC575" s="408"/>
      <c r="AD575" s="408"/>
      <c r="AE575" s="408"/>
      <c r="AF575" s="408"/>
      <c r="AG575" s="408"/>
      <c r="AH575" s="408"/>
      <c r="AI575" s="408"/>
      <c r="AJ575" s="408"/>
      <c r="AK575" s="408"/>
      <c r="AL575" s="408"/>
      <c r="AM575" s="408"/>
      <c r="AN575" s="408"/>
      <c r="AO575" s="408"/>
      <c r="AP575" s="408"/>
      <c r="AQ575" s="408"/>
      <c r="AR575" s="408"/>
      <c r="AS575" s="408"/>
      <c r="AT575" s="408"/>
      <c r="AU575" s="408"/>
      <c r="AV575" s="408"/>
      <c r="AW575" s="408"/>
      <c r="AX575" s="408"/>
      <c r="AY575" s="408"/>
      <c r="AZ575" s="408">
        <v>0</v>
      </c>
      <c r="BA575" s="408"/>
      <c r="BB575" s="408"/>
      <c r="BC575" s="408"/>
      <c r="BD575" s="408"/>
      <c r="BE575" s="408"/>
      <c r="BF575" s="408"/>
      <c r="BG575" s="408"/>
      <c r="BH575" s="408"/>
      <c r="BI575" s="408">
        <v>0</v>
      </c>
      <c r="BJ575" s="408">
        <v>0</v>
      </c>
      <c r="BK575" s="408">
        <v>47.51</v>
      </c>
      <c r="BL575" s="408">
        <v>4</v>
      </c>
      <c r="BM575" s="408"/>
      <c r="BN575" s="408"/>
      <c r="BO575" s="408"/>
      <c r="BP575" s="408"/>
      <c r="BQ575" s="408"/>
      <c r="BR575" s="408"/>
      <c r="BS575" s="408"/>
      <c r="BT575" s="408"/>
      <c r="BU575" s="408"/>
      <c r="BV575" s="408"/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/>
      <c r="CJ575" s="408">
        <v>-0.03</v>
      </c>
      <c r="CK575" s="408"/>
      <c r="CL575" s="408"/>
      <c r="CM575" s="408"/>
      <c r="CN575" s="408"/>
      <c r="CO575" s="408">
        <v>0</v>
      </c>
      <c r="CP575" s="408">
        <v>0</v>
      </c>
      <c r="CQ575" s="408">
        <v>30</v>
      </c>
      <c r="CR575" s="408"/>
      <c r="CS575" s="408"/>
      <c r="CT575" s="408"/>
      <c r="CU575" s="408"/>
      <c r="CV575" s="408"/>
      <c r="CW575" s="408"/>
      <c r="CX575" s="408"/>
      <c r="CY575" s="408"/>
      <c r="CZ575" s="408"/>
      <c r="DA575" s="408"/>
      <c r="DB575" s="408"/>
      <c r="DC575" s="408"/>
      <c r="DD575" s="408"/>
      <c r="DE575" s="408"/>
      <c r="DF575" s="408"/>
      <c r="DG575" s="408"/>
      <c r="DH575" s="408"/>
      <c r="DI575" s="408"/>
      <c r="DJ575" s="408"/>
      <c r="DK575" s="408">
        <v>0</v>
      </c>
      <c r="DL575" s="408"/>
      <c r="DM575" s="408"/>
      <c r="DN575" s="408"/>
      <c r="DO575" s="408"/>
      <c r="DP575" s="408"/>
      <c r="DQ575" s="408"/>
      <c r="DR575" s="408"/>
      <c r="DS575" s="408"/>
      <c r="DT575" s="408"/>
      <c r="DU575" s="408"/>
      <c r="DV575" s="408"/>
      <c r="DW575" s="408"/>
      <c r="DX575" s="408"/>
      <c r="DY575" s="408"/>
      <c r="DZ575" s="408"/>
      <c r="EA575" s="408"/>
      <c r="EB575" s="408"/>
      <c r="EC575" s="408"/>
      <c r="ED575" s="408"/>
      <c r="EE575" s="408"/>
      <c r="EF575" s="408"/>
      <c r="EG575" s="408"/>
      <c r="EH575" s="408"/>
      <c r="EI575" s="408"/>
      <c r="EJ575" s="408"/>
      <c r="EK575" s="408"/>
      <c r="EL575" s="408"/>
      <c r="EM575" s="408"/>
      <c r="EN575" s="408"/>
      <c r="EO575" s="408"/>
      <c r="EP575" s="408"/>
      <c r="EQ575" s="408"/>
      <c r="ER575" s="408"/>
      <c r="ES575" s="408"/>
      <c r="ET575" s="408"/>
      <c r="EU575" s="408"/>
      <c r="EV575" s="408">
        <v>265</v>
      </c>
      <c r="EW575" s="408"/>
      <c r="EX575" s="408"/>
      <c r="EY575" s="408"/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582</v>
      </c>
      <c r="B576" s="408" t="s">
        <v>1031</v>
      </c>
      <c r="C576" s="408" t="s">
        <v>2227</v>
      </c>
      <c r="D576" s="408" t="s">
        <v>1952</v>
      </c>
      <c r="E576" s="408" t="s">
        <v>965</v>
      </c>
      <c r="F576" s="408" t="s">
        <v>1317</v>
      </c>
      <c r="G576" s="408" t="s">
        <v>1317</v>
      </c>
      <c r="H576" s="408" t="s">
        <v>1317</v>
      </c>
      <c r="I576" s="408" t="s">
        <v>1317</v>
      </c>
      <c r="J576" s="408" t="s">
        <v>2228</v>
      </c>
      <c r="K576" s="828">
        <v>44713</v>
      </c>
      <c r="L576" s="408">
        <v>0</v>
      </c>
      <c r="M576" s="408">
        <v>0</v>
      </c>
      <c r="N576" s="408">
        <v>19.295000000000002</v>
      </c>
      <c r="O576" s="408">
        <v>19.295000000000002</v>
      </c>
      <c r="P576" s="408">
        <v>19.295000000000002</v>
      </c>
      <c r="Q576" s="408">
        <v>19.295000000000002</v>
      </c>
      <c r="R576" s="408"/>
      <c r="S576" s="408">
        <v>739.04</v>
      </c>
      <c r="T576" s="408">
        <v>252.22</v>
      </c>
      <c r="U576" s="408"/>
      <c r="V576" s="408">
        <v>19126.361700000001</v>
      </c>
      <c r="W576" s="408">
        <v>19126.361700000001</v>
      </c>
      <c r="X576" s="408">
        <v>13081.43115</v>
      </c>
      <c r="Y576" s="408">
        <v>0</v>
      </c>
      <c r="Z576" s="408">
        <v>1193.4566570486209</v>
      </c>
      <c r="AA576" s="408">
        <v>0</v>
      </c>
      <c r="AB576" s="408">
        <v>0</v>
      </c>
      <c r="AC576" s="408">
        <v>0</v>
      </c>
      <c r="AD576" s="408">
        <v>2382.8858233928545</v>
      </c>
      <c r="AE576" s="408">
        <v>9782.3290231828432</v>
      </c>
      <c r="AF576" s="408">
        <v>4866.6382984679249</v>
      </c>
      <c r="AG576" s="408">
        <v>0</v>
      </c>
      <c r="AH576" s="408">
        <v>0</v>
      </c>
      <c r="AI576" s="408">
        <v>0</v>
      </c>
      <c r="AJ576" s="408">
        <v>0</v>
      </c>
      <c r="AK576" s="408">
        <v>0</v>
      </c>
      <c r="AL576" s="408">
        <v>184.48005810526595</v>
      </c>
      <c r="AM576" s="408"/>
      <c r="AN576" s="408">
        <v>45.213945313538687</v>
      </c>
      <c r="AO576" s="408">
        <v>0</v>
      </c>
      <c r="AP576" s="408">
        <v>0</v>
      </c>
      <c r="AQ576" s="408">
        <v>0</v>
      </c>
      <c r="AR576" s="408">
        <v>0</v>
      </c>
      <c r="AS576" s="408">
        <v>0</v>
      </c>
      <c r="AT576" s="408">
        <v>0</v>
      </c>
      <c r="AU576" s="408">
        <v>0</v>
      </c>
      <c r="AV576" s="408">
        <v>0</v>
      </c>
      <c r="AW576" s="408">
        <v>0</v>
      </c>
      <c r="AX576" s="408">
        <v>0</v>
      </c>
      <c r="AY576" s="408">
        <v>0</v>
      </c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0</v>
      </c>
      <c r="BF576" s="408">
        <v>0</v>
      </c>
      <c r="BG576" s="408">
        <v>671.3550144184585</v>
      </c>
      <c r="BH576" s="408">
        <v>0</v>
      </c>
      <c r="BI576" s="408">
        <v>0</v>
      </c>
      <c r="BJ576" s="408">
        <v>0</v>
      </c>
      <c r="BK576" s="408">
        <v>2679.25</v>
      </c>
      <c r="BL576" s="408">
        <v>14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5537.9933128863831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13084.821</v>
      </c>
      <c r="CJ576" s="408">
        <v>-6041.5707000000002</v>
      </c>
      <c r="CK576" s="408"/>
      <c r="CL576" s="408"/>
      <c r="CM576" s="408"/>
      <c r="CN576" s="408"/>
      <c r="CO576" s="408">
        <v>-6044.93055</v>
      </c>
      <c r="CP576" s="408">
        <v>0</v>
      </c>
      <c r="CQ576" s="408">
        <v>30</v>
      </c>
      <c r="CR576" s="408">
        <v>-46.92923976453676</v>
      </c>
      <c r="CS576" s="408">
        <v>0</v>
      </c>
      <c r="CT576" s="408">
        <v>0</v>
      </c>
      <c r="CU576" s="408">
        <v>0</v>
      </c>
      <c r="CV576" s="408">
        <v>0</v>
      </c>
      <c r="CW576" s="408">
        <v>0</v>
      </c>
      <c r="CX576" s="408">
        <v>0</v>
      </c>
      <c r="CY576" s="408">
        <v>0</v>
      </c>
      <c r="CZ576" s="408">
        <v>-6.1242264076508945</v>
      </c>
      <c r="DA576" s="408">
        <v>0</v>
      </c>
      <c r="DB576" s="408">
        <v>0</v>
      </c>
      <c r="DC576" s="408">
        <v>-6.8227200245019048E-7</v>
      </c>
      <c r="DD576" s="408">
        <v>0</v>
      </c>
      <c r="DE576" s="408">
        <v>0</v>
      </c>
      <c r="DF576" s="408">
        <v>0</v>
      </c>
      <c r="DG576" s="408">
        <v>-9.41191728998092E-8</v>
      </c>
      <c r="DH576" s="408">
        <v>0</v>
      </c>
      <c r="DI576" s="408">
        <v>-34.702245478938494</v>
      </c>
      <c r="DJ576" s="408"/>
      <c r="DK576" s="408">
        <v>0</v>
      </c>
      <c r="DL576" s="408">
        <v>0</v>
      </c>
      <c r="DM576" s="408">
        <v>0</v>
      </c>
      <c r="DN576" s="408">
        <v>0</v>
      </c>
      <c r="DO576" s="408">
        <v>-4.6345290683848077</v>
      </c>
      <c r="DP576" s="408">
        <v>-1.4682380331718647</v>
      </c>
      <c r="DQ576" s="408">
        <v>0</v>
      </c>
      <c r="DR576" s="408">
        <v>0</v>
      </c>
      <c r="DS576" s="408"/>
      <c r="DT576" s="408"/>
      <c r="DU576" s="408"/>
      <c r="DV576" s="408">
        <v>9782.3290231828432</v>
      </c>
      <c r="DW576" s="408">
        <v>0</v>
      </c>
      <c r="DX576" s="408">
        <v>0</v>
      </c>
      <c r="DY576" s="408">
        <v>-6044.9305500000009</v>
      </c>
      <c r="DZ576" s="408">
        <v>0</v>
      </c>
      <c r="EA576" s="408">
        <v>0</v>
      </c>
      <c r="EB576" s="408">
        <v>0</v>
      </c>
      <c r="EC576" s="408">
        <v>-5997.9873205520162</v>
      </c>
      <c r="ED576" s="408">
        <v>0</v>
      </c>
      <c r="EE576" s="408">
        <v>0</v>
      </c>
      <c r="EF576" s="408">
        <v>0</v>
      </c>
      <c r="EG576" s="408">
        <v>0</v>
      </c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>
        <v>0</v>
      </c>
      <c r="EN576" s="408">
        <v>0</v>
      </c>
      <c r="EO576" s="408">
        <v>0</v>
      </c>
      <c r="EP576" s="408">
        <v>0</v>
      </c>
      <c r="EQ576" s="408">
        <v>0</v>
      </c>
      <c r="ER576" s="408">
        <v>0</v>
      </c>
      <c r="ES576" s="408">
        <v>0</v>
      </c>
      <c r="ET576" s="408">
        <v>0</v>
      </c>
      <c r="EU576" s="408">
        <v>0</v>
      </c>
      <c r="EV576" s="408">
        <v>265</v>
      </c>
      <c r="EW576" s="408">
        <v>0</v>
      </c>
      <c r="EX576" s="408">
        <v>0</v>
      </c>
      <c r="EY576" s="408">
        <v>0</v>
      </c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583</v>
      </c>
      <c r="B577" s="408" t="s">
        <v>2230</v>
      </c>
      <c r="C577" s="408" t="s">
        <v>2227</v>
      </c>
      <c r="D577" s="408" t="s">
        <v>1952</v>
      </c>
      <c r="E577" s="408" t="s">
        <v>965</v>
      </c>
      <c r="F577" s="408" t="s">
        <v>1317</v>
      </c>
      <c r="G577" s="408" t="s">
        <v>1317</v>
      </c>
      <c r="H577" s="408" t="s">
        <v>1317</v>
      </c>
      <c r="I577" s="408" t="s">
        <v>1317</v>
      </c>
      <c r="J577" s="408" t="s">
        <v>2228</v>
      </c>
      <c r="K577" s="828">
        <v>44713</v>
      </c>
      <c r="L577" s="408">
        <v>0</v>
      </c>
      <c r="M577" s="408">
        <v>0</v>
      </c>
      <c r="N577" s="408">
        <v>7.5369999999999999</v>
      </c>
      <c r="O577" s="408">
        <v>7.5369999999999999</v>
      </c>
      <c r="P577" s="408">
        <v>7.5369999999999999</v>
      </c>
      <c r="Q577" s="408">
        <v>7.5369999999999999</v>
      </c>
      <c r="R577" s="408"/>
      <c r="S577" s="408">
        <v>739.04</v>
      </c>
      <c r="T577" s="408">
        <v>252.22</v>
      </c>
      <c r="U577" s="408"/>
      <c r="V577" s="408">
        <v>7471.12662</v>
      </c>
      <c r="W577" s="408">
        <v>7471.12662</v>
      </c>
      <c r="X577" s="408">
        <v>5109.8598899999997</v>
      </c>
      <c r="Y577" s="408">
        <v>0</v>
      </c>
      <c r="Z577" s="408">
        <v>466.18724147061175</v>
      </c>
      <c r="AA577" s="408">
        <v>0</v>
      </c>
      <c r="AB577" s="408">
        <v>0</v>
      </c>
      <c r="AC577" s="408">
        <v>0</v>
      </c>
      <c r="AD577" s="408">
        <v>930.80126721492309</v>
      </c>
      <c r="AE577" s="408">
        <v>3821.1668228934482</v>
      </c>
      <c r="AF577" s="408">
        <v>1901.0029984738401</v>
      </c>
      <c r="AG577" s="408">
        <v>0</v>
      </c>
      <c r="AH577" s="408">
        <v>0</v>
      </c>
      <c r="AI577" s="408">
        <v>0</v>
      </c>
      <c r="AJ577" s="408">
        <v>0</v>
      </c>
      <c r="AK577" s="408">
        <v>0</v>
      </c>
      <c r="AL577" s="408">
        <v>72.061476959802505</v>
      </c>
      <c r="AM577" s="408"/>
      <c r="AN577" s="408">
        <v>17.661441089823324</v>
      </c>
      <c r="AO577" s="408">
        <v>0</v>
      </c>
      <c r="AP577" s="408">
        <v>0</v>
      </c>
      <c r="AQ577" s="408">
        <v>0</v>
      </c>
      <c r="AR577" s="408">
        <v>0</v>
      </c>
      <c r="AS577" s="408">
        <v>0</v>
      </c>
      <c r="AT577" s="408">
        <v>0</v>
      </c>
      <c r="AU577" s="408">
        <v>0</v>
      </c>
      <c r="AV577" s="408">
        <v>0</v>
      </c>
      <c r="AW577" s="408">
        <v>0</v>
      </c>
      <c r="AX577" s="408">
        <v>0</v>
      </c>
      <c r="AY577" s="408">
        <v>0</v>
      </c>
      <c r="AZ577" s="408">
        <v>0</v>
      </c>
      <c r="BA577" s="408"/>
      <c r="BB577" s="408">
        <v>0</v>
      </c>
      <c r="BC577" s="408">
        <v>0</v>
      </c>
      <c r="BD577" s="408">
        <v>0</v>
      </c>
      <c r="BE577" s="408">
        <v>0</v>
      </c>
      <c r="BF577" s="408">
        <v>0</v>
      </c>
      <c r="BG577" s="408">
        <v>262.24424688633957</v>
      </c>
      <c r="BH577" s="408">
        <v>0</v>
      </c>
      <c r="BI577" s="408">
        <v>0</v>
      </c>
      <c r="BJ577" s="408">
        <v>0</v>
      </c>
      <c r="BK577" s="408">
        <v>2356.1</v>
      </c>
      <c r="BL577" s="408">
        <v>11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2163.2472453601795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5111.8937999999998</v>
      </c>
      <c r="CJ577" s="408">
        <v>-2359.2628200000008</v>
      </c>
      <c r="CK577" s="408"/>
      <c r="CL577" s="408"/>
      <c r="CM577" s="408"/>
      <c r="CN577" s="408"/>
      <c r="CO577" s="408">
        <v>-2361.2667299999998</v>
      </c>
      <c r="CP577" s="408">
        <v>0</v>
      </c>
      <c r="CQ577" s="408">
        <v>30</v>
      </c>
      <c r="CR577" s="408">
        <v>-18.331468261482314</v>
      </c>
      <c r="CS577" s="408">
        <v>0</v>
      </c>
      <c r="CT577" s="408">
        <v>0</v>
      </c>
      <c r="CU577" s="408">
        <v>0</v>
      </c>
      <c r="CV577" s="408">
        <v>0</v>
      </c>
      <c r="CW577" s="408">
        <v>0</v>
      </c>
      <c r="CX577" s="408">
        <v>0</v>
      </c>
      <c r="CY577" s="408">
        <v>0</v>
      </c>
      <c r="CZ577" s="408">
        <v>-2.3922412249009994</v>
      </c>
      <c r="DA577" s="408">
        <v>0</v>
      </c>
      <c r="DB577" s="408">
        <v>0</v>
      </c>
      <c r="DC577" s="408">
        <v>-2.6650855033949483E-7</v>
      </c>
      <c r="DD577" s="408">
        <v>0</v>
      </c>
      <c r="DE577" s="408">
        <v>0</v>
      </c>
      <c r="DF577" s="408">
        <v>0</v>
      </c>
      <c r="DG577" s="408">
        <v>-3.6764788546861382E-8</v>
      </c>
      <c r="DH577" s="408">
        <v>0</v>
      </c>
      <c r="DI577" s="408">
        <v>-13.555367928207204</v>
      </c>
      <c r="DJ577" s="408"/>
      <c r="DK577" s="408">
        <v>0</v>
      </c>
      <c r="DL577" s="408">
        <v>0</v>
      </c>
      <c r="DM577" s="408">
        <v>0</v>
      </c>
      <c r="DN577" s="408">
        <v>0</v>
      </c>
      <c r="DO577" s="408">
        <v>-1.810336646199346</v>
      </c>
      <c r="DP577" s="408">
        <v>-0.57352215890211511</v>
      </c>
      <c r="DQ577" s="408">
        <v>0</v>
      </c>
      <c r="DR577" s="408">
        <v>0</v>
      </c>
      <c r="DS577" s="408"/>
      <c r="DT577" s="408"/>
      <c r="DU577" s="408"/>
      <c r="DV577" s="408">
        <v>3821.1668228934482</v>
      </c>
      <c r="DW577" s="408">
        <v>0</v>
      </c>
      <c r="DX577" s="408">
        <v>0</v>
      </c>
      <c r="DY577" s="408">
        <v>-2361.2667299999998</v>
      </c>
      <c r="DZ577" s="408">
        <v>0</v>
      </c>
      <c r="EA577" s="408">
        <v>0</v>
      </c>
      <c r="EB577" s="408">
        <v>0</v>
      </c>
      <c r="EC577" s="408">
        <v>-2342.9297970977218</v>
      </c>
      <c r="ED577" s="408">
        <v>0</v>
      </c>
      <c r="EE577" s="408">
        <v>0</v>
      </c>
      <c r="EF577" s="408">
        <v>0</v>
      </c>
      <c r="EG577" s="408">
        <v>0</v>
      </c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>
        <v>0</v>
      </c>
      <c r="EN577" s="408">
        <v>0</v>
      </c>
      <c r="EO577" s="408">
        <v>0</v>
      </c>
      <c r="EP577" s="408">
        <v>0</v>
      </c>
      <c r="EQ577" s="408">
        <v>0</v>
      </c>
      <c r="ER577" s="408">
        <v>0</v>
      </c>
      <c r="ES577" s="408">
        <v>0</v>
      </c>
      <c r="ET577" s="408">
        <v>0</v>
      </c>
      <c r="EU577" s="408">
        <v>0</v>
      </c>
      <c r="EV577" s="408">
        <v>265</v>
      </c>
      <c r="EW577" s="408">
        <v>0</v>
      </c>
      <c r="EX577" s="408">
        <v>0</v>
      </c>
      <c r="EY577" s="408">
        <v>0</v>
      </c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584</v>
      </c>
      <c r="B578" s="408" t="s">
        <v>1031</v>
      </c>
      <c r="C578" s="408" t="s">
        <v>2239</v>
      </c>
      <c r="D578" s="408" t="s">
        <v>596</v>
      </c>
      <c r="E578" s="408" t="s">
        <v>965</v>
      </c>
      <c r="F578" s="408" t="s">
        <v>1317</v>
      </c>
      <c r="G578" s="408" t="s">
        <v>1317</v>
      </c>
      <c r="H578" s="408" t="s">
        <v>1317</v>
      </c>
      <c r="I578" s="408" t="s">
        <v>968</v>
      </c>
      <c r="J578" s="408" t="s">
        <v>2228</v>
      </c>
      <c r="K578" s="828">
        <v>44713</v>
      </c>
      <c r="L578" s="408">
        <v>241</v>
      </c>
      <c r="M578" s="408">
        <v>241</v>
      </c>
      <c r="N578" s="408">
        <v>14.654999999999999</v>
      </c>
      <c r="O578" s="408">
        <v>14.654999999999999</v>
      </c>
      <c r="P578" s="408">
        <v>14.654999999999999</v>
      </c>
      <c r="Q578" s="408">
        <v>14.654999999999999</v>
      </c>
      <c r="R578" s="408">
        <v>106.38</v>
      </c>
      <c r="S578" s="408">
        <v>81.2</v>
      </c>
      <c r="T578" s="408">
        <v>252.22</v>
      </c>
      <c r="U578" s="408">
        <v>25637.579999999998</v>
      </c>
      <c r="V578" s="408">
        <v>4886.2700999999997</v>
      </c>
      <c r="W578" s="408">
        <v>30523.8501</v>
      </c>
      <c r="X578" s="408">
        <v>18730.6787</v>
      </c>
      <c r="Y578" s="408">
        <v>0</v>
      </c>
      <c r="Z578" s="408">
        <v>788.61846897493422</v>
      </c>
      <c r="AA578" s="408">
        <v>0</v>
      </c>
      <c r="AB578" s="408">
        <v>0</v>
      </c>
      <c r="AC578" s="408">
        <v>0</v>
      </c>
      <c r="AD578" s="408">
        <v>6477.3367232641021</v>
      </c>
      <c r="AE578" s="408">
        <v>19160.705510639211</v>
      </c>
      <c r="AF578" s="408">
        <v>3696.3246573748343</v>
      </c>
      <c r="AG578" s="408">
        <v>0</v>
      </c>
      <c r="AH578" s="408">
        <v>0</v>
      </c>
      <c r="AI578" s="408">
        <v>0</v>
      </c>
      <c r="AJ578" s="408">
        <v>0</v>
      </c>
      <c r="AK578" s="408">
        <v>0</v>
      </c>
      <c r="AL578" s="408">
        <v>140.11688269150929</v>
      </c>
      <c r="AM578" s="408"/>
      <c r="AN578" s="408">
        <v>35.25855444709881</v>
      </c>
      <c r="AO578" s="408">
        <v>0</v>
      </c>
      <c r="AP578" s="408">
        <v>0</v>
      </c>
      <c r="AQ578" s="408">
        <v>0</v>
      </c>
      <c r="AR578" s="408">
        <v>0</v>
      </c>
      <c r="AS578" s="408">
        <v>0</v>
      </c>
      <c r="AT578" s="408">
        <v>0</v>
      </c>
      <c r="AU578" s="408">
        <v>0</v>
      </c>
      <c r="AV578" s="408">
        <v>0</v>
      </c>
      <c r="AW578" s="408">
        <v>0</v>
      </c>
      <c r="AX578" s="408">
        <v>0</v>
      </c>
      <c r="AY578" s="408">
        <v>0</v>
      </c>
      <c r="AZ578" s="408">
        <v>0</v>
      </c>
      <c r="BA578" s="408"/>
      <c r="BB578" s="408">
        <v>0</v>
      </c>
      <c r="BC578" s="408">
        <v>0</v>
      </c>
      <c r="BD578" s="408">
        <v>0</v>
      </c>
      <c r="BE578" s="408">
        <v>0</v>
      </c>
      <c r="BF578" s="408">
        <v>0</v>
      </c>
      <c r="BG578" s="408">
        <v>226.02173884756715</v>
      </c>
      <c r="BH578" s="408">
        <v>0</v>
      </c>
      <c r="BI578" s="408">
        <v>0</v>
      </c>
      <c r="BJ578" s="408">
        <v>0</v>
      </c>
      <c r="BK578" s="408">
        <v>0</v>
      </c>
      <c r="BL578" s="408">
        <v>0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>
        <v>3922.3463962224014</v>
      </c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>
        <v>18732.3364</v>
      </c>
      <c r="CJ578" s="408">
        <v>-11791.543699999995</v>
      </c>
      <c r="CK578" s="408"/>
      <c r="CL578" s="408"/>
      <c r="CM578" s="408"/>
      <c r="CN578" s="408"/>
      <c r="CO578" s="408">
        <v>-11793.171399999999</v>
      </c>
      <c r="CP578" s="408">
        <v>0</v>
      </c>
      <c r="CQ578" s="408">
        <v>30</v>
      </c>
      <c r="CR578" s="408">
        <v>-44.243043483493238</v>
      </c>
      <c r="CS578" s="408">
        <v>0</v>
      </c>
      <c r="CT578" s="408">
        <v>0</v>
      </c>
      <c r="CU578" s="408">
        <v>0</v>
      </c>
      <c r="CV578" s="408">
        <v>0</v>
      </c>
      <c r="CW578" s="408">
        <v>0</v>
      </c>
      <c r="CX578" s="408">
        <v>0</v>
      </c>
      <c r="CY578" s="408">
        <v>0</v>
      </c>
      <c r="CZ578" s="408">
        <v>-16.647325785587782</v>
      </c>
      <c r="DA578" s="408">
        <v>0</v>
      </c>
      <c r="DB578" s="408">
        <v>0</v>
      </c>
      <c r="DC578" s="408">
        <v>-5.1820143198710866E-7</v>
      </c>
      <c r="DD578" s="408">
        <v>0</v>
      </c>
      <c r="DE578" s="408">
        <v>0</v>
      </c>
      <c r="DF578" s="408">
        <v>0</v>
      </c>
      <c r="DG578" s="408">
        <v>-3.1687022783444263E-8</v>
      </c>
      <c r="DH578" s="408">
        <v>0</v>
      </c>
      <c r="DI578" s="408">
        <v>-22.930729438696176</v>
      </c>
      <c r="DJ578" s="408"/>
      <c r="DK578" s="408">
        <v>0</v>
      </c>
      <c r="DL578" s="408">
        <v>0</v>
      </c>
      <c r="DM578" s="408">
        <v>0</v>
      </c>
      <c r="DN578" s="408">
        <v>0</v>
      </c>
      <c r="DO578" s="408">
        <v>-3.5200323139247871</v>
      </c>
      <c r="DP578" s="408">
        <v>-1.144955395396444</v>
      </c>
      <c r="DQ578" s="408">
        <v>0</v>
      </c>
      <c r="DR578" s="408">
        <v>0</v>
      </c>
      <c r="DS578" s="408"/>
      <c r="DT578" s="408"/>
      <c r="DU578" s="408">
        <v>19160.705510639211</v>
      </c>
      <c r="DV578" s="408">
        <v>0</v>
      </c>
      <c r="DW578" s="408">
        <v>0</v>
      </c>
      <c r="DX578" s="408">
        <v>0</v>
      </c>
      <c r="DY578" s="408">
        <v>-11793.171399999997</v>
      </c>
      <c r="DZ578" s="408">
        <v>0</v>
      </c>
      <c r="EA578" s="408">
        <v>0</v>
      </c>
      <c r="EB578" s="408">
        <v>0</v>
      </c>
      <c r="EC578" s="408">
        <v>-11748.293114378615</v>
      </c>
      <c r="ED578" s="408">
        <v>0</v>
      </c>
      <c r="EE578" s="408">
        <v>0</v>
      </c>
      <c r="EF578" s="408">
        <v>0</v>
      </c>
      <c r="EG578" s="408">
        <v>0</v>
      </c>
      <c r="EH578" s="408">
        <v>0</v>
      </c>
      <c r="EI578" s="408">
        <v>0</v>
      </c>
      <c r="EJ578" s="408">
        <v>0</v>
      </c>
      <c r="EK578" s="408">
        <v>0</v>
      </c>
      <c r="EL578" s="408">
        <v>0</v>
      </c>
      <c r="EM578" s="408">
        <v>0</v>
      </c>
      <c r="EN578" s="408">
        <v>0</v>
      </c>
      <c r="EO578" s="408">
        <v>0</v>
      </c>
      <c r="EP578" s="408">
        <v>0</v>
      </c>
      <c r="EQ578" s="408">
        <v>0</v>
      </c>
      <c r="ER578" s="408">
        <v>0</v>
      </c>
      <c r="ES578" s="408">
        <v>0</v>
      </c>
      <c r="ET578" s="408">
        <v>0</v>
      </c>
      <c r="EU578" s="408">
        <v>0</v>
      </c>
      <c r="EV578" s="408">
        <v>265</v>
      </c>
      <c r="EW578" s="408">
        <v>0</v>
      </c>
      <c r="EX578" s="408">
        <v>0</v>
      </c>
      <c r="EY578" s="408">
        <v>0</v>
      </c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585</v>
      </c>
      <c r="B579" s="408" t="s">
        <v>1031</v>
      </c>
      <c r="C579" s="408" t="s">
        <v>2239</v>
      </c>
      <c r="D579" s="408" t="s">
        <v>596</v>
      </c>
      <c r="E579" s="408" t="s">
        <v>965</v>
      </c>
      <c r="F579" s="408" t="s">
        <v>1317</v>
      </c>
      <c r="G579" s="408" t="s">
        <v>1317</v>
      </c>
      <c r="H579" s="408" t="s">
        <v>1317</v>
      </c>
      <c r="I579" s="408" t="s">
        <v>2236</v>
      </c>
      <c r="J579" s="408" t="s">
        <v>2228</v>
      </c>
      <c r="K579" s="828">
        <v>44713</v>
      </c>
      <c r="L579" s="408">
        <v>600</v>
      </c>
      <c r="M579" s="408">
        <v>600</v>
      </c>
      <c r="N579" s="408">
        <v>225.506</v>
      </c>
      <c r="O579" s="408">
        <v>225.506</v>
      </c>
      <c r="P579" s="408">
        <v>225.506</v>
      </c>
      <c r="Q579" s="408">
        <v>225.506</v>
      </c>
      <c r="R579" s="408">
        <v>74.44</v>
      </c>
      <c r="S579" s="408">
        <v>81.2</v>
      </c>
      <c r="T579" s="408">
        <v>252.22</v>
      </c>
      <c r="U579" s="408">
        <v>44664</v>
      </c>
      <c r="V579" s="408">
        <v>75188.210519999993</v>
      </c>
      <c r="W579" s="408">
        <v>119852.21051999999</v>
      </c>
      <c r="X579" s="408">
        <v>102016.25924</v>
      </c>
      <c r="Y579" s="408">
        <v>0</v>
      </c>
      <c r="Z579" s="408">
        <v>12134.984405640498</v>
      </c>
      <c r="AA579" s="408">
        <v>0</v>
      </c>
      <c r="AB579" s="408">
        <v>0</v>
      </c>
      <c r="AC579" s="408">
        <v>0</v>
      </c>
      <c r="AD579" s="408">
        <v>16330.25551827108</v>
      </c>
      <c r="AE579" s="408">
        <v>28332.922760506921</v>
      </c>
      <c r="AF579" s="408">
        <v>56877.747402659115</v>
      </c>
      <c r="AG579" s="408">
        <v>0</v>
      </c>
      <c r="AH579" s="408">
        <v>0</v>
      </c>
      <c r="AI579" s="408">
        <v>0</v>
      </c>
      <c r="AJ579" s="408">
        <v>0</v>
      </c>
      <c r="AK579" s="408">
        <v>0</v>
      </c>
      <c r="AL579" s="408">
        <v>2156.0694471669394</v>
      </c>
      <c r="AM579" s="408"/>
      <c r="AN579" s="408">
        <v>542.54626947440909</v>
      </c>
      <c r="AO579" s="408">
        <v>0</v>
      </c>
      <c r="AP579" s="408">
        <v>0</v>
      </c>
      <c r="AQ579" s="408">
        <v>0</v>
      </c>
      <c r="AR579" s="408">
        <v>0</v>
      </c>
      <c r="AS579" s="408">
        <v>0</v>
      </c>
      <c r="AT579" s="408">
        <v>0</v>
      </c>
      <c r="AU579" s="408">
        <v>0</v>
      </c>
      <c r="AV579" s="408">
        <v>0</v>
      </c>
      <c r="AW579" s="408">
        <v>0</v>
      </c>
      <c r="AX579" s="408">
        <v>0</v>
      </c>
      <c r="AY579" s="408">
        <v>0</v>
      </c>
      <c r="AZ579" s="408">
        <v>0</v>
      </c>
      <c r="BA579" s="408"/>
      <c r="BB579" s="408">
        <v>0</v>
      </c>
      <c r="BC579" s="408">
        <v>0</v>
      </c>
      <c r="BD579" s="408">
        <v>0</v>
      </c>
      <c r="BE579" s="408">
        <v>0</v>
      </c>
      <c r="BF579" s="408">
        <v>0</v>
      </c>
      <c r="BG579" s="408">
        <v>3477.9432439822231</v>
      </c>
      <c r="BH579" s="408">
        <v>0</v>
      </c>
      <c r="BI579" s="408">
        <v>0</v>
      </c>
      <c r="BJ579" s="408">
        <v>0</v>
      </c>
      <c r="BK579" s="408">
        <v>0</v>
      </c>
      <c r="BL579" s="408">
        <v>0</v>
      </c>
      <c r="BM579" s="408"/>
      <c r="BN579" s="408"/>
      <c r="BO579" s="408"/>
      <c r="BP579" s="408"/>
      <c r="BQ579" s="408"/>
      <c r="BR579" s="408"/>
      <c r="BS579" s="408"/>
      <c r="BT579" s="408"/>
      <c r="BU579" s="408"/>
      <c r="BV579" s="408">
        <v>60355.690646641335</v>
      </c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>
        <v>102017.5854</v>
      </c>
      <c r="CJ579" s="408">
        <v>-17834.65512000001</v>
      </c>
      <c r="CK579" s="408"/>
      <c r="CL579" s="408"/>
      <c r="CM579" s="408"/>
      <c r="CN579" s="408"/>
      <c r="CO579" s="408">
        <v>-17835.951279999997</v>
      </c>
      <c r="CP579" s="408">
        <v>0</v>
      </c>
      <c r="CQ579" s="408">
        <v>30</v>
      </c>
      <c r="CR579" s="408">
        <v>-466.60341994752525</v>
      </c>
      <c r="CS579" s="408">
        <v>0</v>
      </c>
      <c r="CT579" s="408">
        <v>0</v>
      </c>
      <c r="CU579" s="408">
        <v>0</v>
      </c>
      <c r="CV579" s="408">
        <v>0</v>
      </c>
      <c r="CW579" s="408">
        <v>0</v>
      </c>
      <c r="CX579" s="408">
        <v>0</v>
      </c>
      <c r="CY579" s="408">
        <v>0</v>
      </c>
      <c r="CZ579" s="408">
        <v>-41.970194755860575</v>
      </c>
      <c r="DA579" s="408">
        <v>0</v>
      </c>
      <c r="DB579" s="408">
        <v>0</v>
      </c>
      <c r="DC579" s="408">
        <v>-7.9738965723663568E-6</v>
      </c>
      <c r="DD579" s="408">
        <v>0</v>
      </c>
      <c r="DE579" s="408">
        <v>0</v>
      </c>
      <c r="DF579" s="408">
        <v>0</v>
      </c>
      <c r="DG579" s="408">
        <v>-4.8758874982013367E-7</v>
      </c>
      <c r="DH579" s="408">
        <v>0</v>
      </c>
      <c r="DI579" s="408">
        <v>-352.85002202678879</v>
      </c>
      <c r="DJ579" s="408"/>
      <c r="DK579" s="408">
        <v>0</v>
      </c>
      <c r="DL579" s="408">
        <v>0</v>
      </c>
      <c r="DM579" s="408">
        <v>0</v>
      </c>
      <c r="DN579" s="408">
        <v>0</v>
      </c>
      <c r="DO579" s="408">
        <v>-54.165022653287451</v>
      </c>
      <c r="DP579" s="408">
        <v>-17.618172050103794</v>
      </c>
      <c r="DQ579" s="408">
        <v>0</v>
      </c>
      <c r="DR579" s="408">
        <v>0</v>
      </c>
      <c r="DS579" s="408"/>
      <c r="DT579" s="408"/>
      <c r="DU579" s="408">
        <v>28332.922760506921</v>
      </c>
      <c r="DV579" s="408">
        <v>0</v>
      </c>
      <c r="DW579" s="408">
        <v>0</v>
      </c>
      <c r="DX579" s="408">
        <v>0</v>
      </c>
      <c r="DY579" s="408">
        <v>-17835.951280000001</v>
      </c>
      <c r="DZ579" s="408">
        <v>0</v>
      </c>
      <c r="EA579" s="408">
        <v>0</v>
      </c>
      <c r="EB579" s="408">
        <v>0</v>
      </c>
      <c r="EC579" s="408">
        <v>-17372.193377360702</v>
      </c>
      <c r="ED579" s="408">
        <v>0</v>
      </c>
      <c r="EE579" s="408">
        <v>0</v>
      </c>
      <c r="EF579" s="408">
        <v>0</v>
      </c>
      <c r="EG579" s="408">
        <v>0</v>
      </c>
      <c r="EH579" s="408">
        <v>0</v>
      </c>
      <c r="EI579" s="408">
        <v>0</v>
      </c>
      <c r="EJ579" s="408">
        <v>0</v>
      </c>
      <c r="EK579" s="408">
        <v>0</v>
      </c>
      <c r="EL579" s="408">
        <v>0</v>
      </c>
      <c r="EM579" s="408">
        <v>0</v>
      </c>
      <c r="EN579" s="408">
        <v>0</v>
      </c>
      <c r="EO579" s="408">
        <v>0</v>
      </c>
      <c r="EP579" s="408">
        <v>0</v>
      </c>
      <c r="EQ579" s="408">
        <v>0</v>
      </c>
      <c r="ER579" s="408">
        <v>0</v>
      </c>
      <c r="ES579" s="408">
        <v>0</v>
      </c>
      <c r="ET579" s="408">
        <v>0</v>
      </c>
      <c r="EU579" s="408">
        <v>0</v>
      </c>
      <c r="EV579" s="408">
        <v>265</v>
      </c>
      <c r="EW579" s="408">
        <v>0</v>
      </c>
      <c r="EX579" s="408">
        <v>0</v>
      </c>
      <c r="EY579" s="408">
        <v>0</v>
      </c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586</v>
      </c>
      <c r="B580" s="408" t="s">
        <v>1031</v>
      </c>
      <c r="C580" s="408" t="s">
        <v>2239</v>
      </c>
      <c r="D580" s="408" t="s">
        <v>596</v>
      </c>
      <c r="E580" s="408" t="s">
        <v>965</v>
      </c>
      <c r="F580" s="408" t="s">
        <v>1317</v>
      </c>
      <c r="G580" s="408" t="s">
        <v>1317</v>
      </c>
      <c r="H580" s="408" t="s">
        <v>1317</v>
      </c>
      <c r="I580" s="408" t="s">
        <v>1317</v>
      </c>
      <c r="J580" s="408" t="s">
        <v>2228</v>
      </c>
      <c r="K580" s="828">
        <v>44713</v>
      </c>
      <c r="L580" s="408">
        <v>0</v>
      </c>
      <c r="M580" s="408">
        <v>0</v>
      </c>
      <c r="N580" s="408">
        <v>0</v>
      </c>
      <c r="O580" s="408">
        <v>0</v>
      </c>
      <c r="P580" s="408">
        <v>0</v>
      </c>
      <c r="Q580" s="408">
        <v>0</v>
      </c>
      <c r="R580" s="408"/>
      <c r="S580" s="408"/>
      <c r="T580" s="408"/>
      <c r="U580" s="408"/>
      <c r="V580" s="408"/>
      <c r="W580" s="408"/>
      <c r="X580" s="408"/>
      <c r="Y580" s="408"/>
      <c r="Z580" s="408"/>
      <c r="AA580" s="408">
        <v>0</v>
      </c>
      <c r="AB580" s="408"/>
      <c r="AC580" s="408"/>
      <c r="AD580" s="408"/>
      <c r="AE580" s="408"/>
      <c r="AF580" s="408"/>
      <c r="AG580" s="408"/>
      <c r="AH580" s="408"/>
      <c r="AI580" s="408"/>
      <c r="AJ580" s="408"/>
      <c r="AK580" s="408"/>
      <c r="AL580" s="408"/>
      <c r="AM580" s="408"/>
      <c r="AN580" s="408"/>
      <c r="AO580" s="408"/>
      <c r="AP580" s="408"/>
      <c r="AQ580" s="408"/>
      <c r="AR580" s="408"/>
      <c r="AS580" s="408"/>
      <c r="AT580" s="408"/>
      <c r="AU580" s="408"/>
      <c r="AV580" s="408"/>
      <c r="AW580" s="408"/>
      <c r="AX580" s="408"/>
      <c r="AY580" s="408"/>
      <c r="AZ580" s="408">
        <v>0</v>
      </c>
      <c r="BA580" s="408"/>
      <c r="BB580" s="408"/>
      <c r="BC580" s="408"/>
      <c r="BD580" s="408"/>
      <c r="BE580" s="408"/>
      <c r="BF580" s="408"/>
      <c r="BG580" s="408"/>
      <c r="BH580" s="408"/>
      <c r="BI580" s="408">
        <v>0</v>
      </c>
      <c r="BJ580" s="408">
        <v>0</v>
      </c>
      <c r="BK580" s="408">
        <v>24619.65</v>
      </c>
      <c r="BL580" s="408">
        <v>1</v>
      </c>
      <c r="BM580" s="408"/>
      <c r="BN580" s="408"/>
      <c r="BO580" s="408"/>
      <c r="BP580" s="408"/>
      <c r="BQ580" s="408"/>
      <c r="BR580" s="408"/>
      <c r="BS580" s="408"/>
      <c r="BT580" s="408"/>
      <c r="BU580" s="408"/>
      <c r="BV580" s="408"/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/>
      <c r="CJ580" s="408">
        <v>-0.03</v>
      </c>
      <c r="CK580" s="408"/>
      <c r="CL580" s="408"/>
      <c r="CM580" s="408"/>
      <c r="CN580" s="408"/>
      <c r="CO580" s="408">
        <v>0</v>
      </c>
      <c r="CP580" s="408">
        <v>0</v>
      </c>
      <c r="CQ580" s="408">
        <v>30</v>
      </c>
      <c r="CR580" s="408"/>
      <c r="CS580" s="408"/>
      <c r="CT580" s="408"/>
      <c r="CU580" s="408"/>
      <c r="CV580" s="408"/>
      <c r="CW580" s="408"/>
      <c r="CX580" s="408"/>
      <c r="CY580" s="408"/>
      <c r="CZ580" s="408"/>
      <c r="DA580" s="408"/>
      <c r="DB580" s="408"/>
      <c r="DC580" s="408"/>
      <c r="DD580" s="408"/>
      <c r="DE580" s="408"/>
      <c r="DF580" s="408"/>
      <c r="DG580" s="408"/>
      <c r="DH580" s="408"/>
      <c r="DI580" s="408"/>
      <c r="DJ580" s="408"/>
      <c r="DK580" s="408">
        <v>0</v>
      </c>
      <c r="DL580" s="408"/>
      <c r="DM580" s="408"/>
      <c r="DN580" s="408"/>
      <c r="DO580" s="408"/>
      <c r="DP580" s="408"/>
      <c r="DQ580" s="408"/>
      <c r="DR580" s="408"/>
      <c r="DS580" s="408"/>
      <c r="DT580" s="408"/>
      <c r="DU580" s="408"/>
      <c r="DV580" s="408"/>
      <c r="DW580" s="408"/>
      <c r="DX580" s="408"/>
      <c r="DY580" s="408"/>
      <c r="DZ580" s="408"/>
      <c r="EA580" s="408"/>
      <c r="EB580" s="408"/>
      <c r="EC580" s="408"/>
      <c r="ED580" s="408"/>
      <c r="EE580" s="408"/>
      <c r="EF580" s="408"/>
      <c r="EG580" s="408"/>
      <c r="EH580" s="408"/>
      <c r="EI580" s="408"/>
      <c r="EJ580" s="408"/>
      <c r="EK580" s="408"/>
      <c r="EL580" s="408"/>
      <c r="EM580" s="408"/>
      <c r="EN580" s="408"/>
      <c r="EO580" s="408"/>
      <c r="EP580" s="408"/>
      <c r="EQ580" s="408"/>
      <c r="ER580" s="408"/>
      <c r="ES580" s="408"/>
      <c r="ET580" s="408"/>
      <c r="EU580" s="408"/>
      <c r="EV580" s="408">
        <v>265</v>
      </c>
      <c r="EW580" s="408"/>
      <c r="EX580" s="408"/>
      <c r="EY580" s="408"/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587</v>
      </c>
      <c r="B581" s="408" t="s">
        <v>1031</v>
      </c>
      <c r="C581" s="408" t="s">
        <v>2235</v>
      </c>
      <c r="D581" s="408" t="s">
        <v>596</v>
      </c>
      <c r="E581" s="408" t="s">
        <v>965</v>
      </c>
      <c r="F581" s="408" t="s">
        <v>1317</v>
      </c>
      <c r="G581" s="408" t="s">
        <v>1317</v>
      </c>
      <c r="H581" s="408" t="s">
        <v>1317</v>
      </c>
      <c r="I581" s="408" t="s">
        <v>968</v>
      </c>
      <c r="J581" s="408" t="s">
        <v>2228</v>
      </c>
      <c r="K581" s="828">
        <v>44713</v>
      </c>
      <c r="L581" s="408">
        <v>0</v>
      </c>
      <c r="M581" s="408">
        <v>0</v>
      </c>
      <c r="N581" s="408">
        <v>24.045000000000002</v>
      </c>
      <c r="O581" s="408">
        <v>24.045000000000002</v>
      </c>
      <c r="P581" s="408">
        <v>24.045000000000002</v>
      </c>
      <c r="Q581" s="408">
        <v>24.045000000000002</v>
      </c>
      <c r="R581" s="408"/>
      <c r="S581" s="408">
        <v>2641.06</v>
      </c>
      <c r="T581" s="408">
        <v>252.22</v>
      </c>
      <c r="U581" s="408"/>
      <c r="V581" s="408">
        <v>69568.917600000001</v>
      </c>
      <c r="W581" s="408">
        <v>69568.917600000001</v>
      </c>
      <c r="X581" s="408">
        <v>41293.440300000002</v>
      </c>
      <c r="Y581" s="408">
        <v>0</v>
      </c>
      <c r="Z581" s="408">
        <v>1293.9154613785256</v>
      </c>
      <c r="AA581" s="408">
        <v>0</v>
      </c>
      <c r="AB581" s="408">
        <v>0</v>
      </c>
      <c r="AC581" s="408">
        <v>0</v>
      </c>
      <c r="AD581" s="408">
        <v>15575.557287515954</v>
      </c>
      <c r="AE581" s="408">
        <v>45976.21224213727</v>
      </c>
      <c r="AF581" s="408">
        <v>6064.6964439834801</v>
      </c>
      <c r="AG581" s="408">
        <v>0</v>
      </c>
      <c r="AH581" s="408">
        <v>0</v>
      </c>
      <c r="AI581" s="408">
        <v>0</v>
      </c>
      <c r="AJ581" s="408">
        <v>0</v>
      </c>
      <c r="AK581" s="408">
        <v>0</v>
      </c>
      <c r="AL581" s="408">
        <v>229.89494672926247</v>
      </c>
      <c r="AM581" s="408"/>
      <c r="AN581" s="408">
        <v>57.850013079528551</v>
      </c>
      <c r="AO581" s="408">
        <v>0</v>
      </c>
      <c r="AP581" s="408">
        <v>0</v>
      </c>
      <c r="AQ581" s="408">
        <v>0</v>
      </c>
      <c r="AR581" s="408">
        <v>0</v>
      </c>
      <c r="AS581" s="408">
        <v>0</v>
      </c>
      <c r="AT581" s="408">
        <v>0</v>
      </c>
      <c r="AU581" s="408">
        <v>0</v>
      </c>
      <c r="AV581" s="408">
        <v>0</v>
      </c>
      <c r="AW581" s="408">
        <v>0</v>
      </c>
      <c r="AX581" s="408">
        <v>0</v>
      </c>
      <c r="AY581" s="408">
        <v>0</v>
      </c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0</v>
      </c>
      <c r="BF581" s="408">
        <v>0</v>
      </c>
      <c r="BG581" s="408">
        <v>370.84221839575252</v>
      </c>
      <c r="BH581" s="408">
        <v>0</v>
      </c>
      <c r="BI581" s="408">
        <v>0</v>
      </c>
      <c r="BJ581" s="408">
        <v>0</v>
      </c>
      <c r="BK581" s="408">
        <v>0</v>
      </c>
      <c r="BL581" s="408">
        <v>0</v>
      </c>
      <c r="BM581" s="408"/>
      <c r="BN581" s="408"/>
      <c r="BO581" s="408"/>
      <c r="BP581" s="408"/>
      <c r="BQ581" s="408"/>
      <c r="BR581" s="408"/>
      <c r="BS581" s="408"/>
      <c r="BT581" s="408"/>
      <c r="BU581" s="408"/>
      <c r="BV581" s="408">
        <v>6435.5386623792328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41302.027000000002</v>
      </c>
      <c r="CJ581" s="408">
        <v>-28266.920599999998</v>
      </c>
      <c r="CK581" s="408"/>
      <c r="CL581" s="408"/>
      <c r="CM581" s="408"/>
      <c r="CN581" s="408"/>
      <c r="CO581" s="408">
        <v>-28275.477300000002</v>
      </c>
      <c r="CP581" s="408">
        <v>0</v>
      </c>
      <c r="CQ581" s="408">
        <v>30</v>
      </c>
      <c r="CR581" s="408">
        <v>-85.30786752712811</v>
      </c>
      <c r="CS581" s="408">
        <v>0</v>
      </c>
      <c r="CT581" s="408">
        <v>0</v>
      </c>
      <c r="CU581" s="408">
        <v>0</v>
      </c>
      <c r="CV581" s="408">
        <v>0</v>
      </c>
      <c r="CW581" s="408">
        <v>0</v>
      </c>
      <c r="CX581" s="408">
        <v>0</v>
      </c>
      <c r="CY581" s="408">
        <v>0</v>
      </c>
      <c r="CZ581" s="408">
        <v>-40.030553842641893</v>
      </c>
      <c r="DA581" s="408">
        <v>0</v>
      </c>
      <c r="DB581" s="408">
        <v>0</v>
      </c>
      <c r="DC581" s="408">
        <v>-8.5023202700540423E-7</v>
      </c>
      <c r="DD581" s="408">
        <v>0</v>
      </c>
      <c r="DE581" s="408">
        <v>0</v>
      </c>
      <c r="DF581" s="408">
        <v>0</v>
      </c>
      <c r="DG581" s="408">
        <v>-5.1990127758472227E-8</v>
      </c>
      <c r="DH581" s="408">
        <v>0</v>
      </c>
      <c r="DI581" s="408">
        <v>-37.623295077000876</v>
      </c>
      <c r="DJ581" s="408"/>
      <c r="DK581" s="408">
        <v>0</v>
      </c>
      <c r="DL581" s="408">
        <v>0</v>
      </c>
      <c r="DM581" s="408">
        <v>0</v>
      </c>
      <c r="DN581" s="408">
        <v>0</v>
      </c>
      <c r="DO581" s="408">
        <v>-5.7754470821099915</v>
      </c>
      <c r="DP581" s="408">
        <v>-1.878570623153017</v>
      </c>
      <c r="DQ581" s="408">
        <v>0</v>
      </c>
      <c r="DR581" s="408">
        <v>0</v>
      </c>
      <c r="DS581" s="408"/>
      <c r="DT581" s="408"/>
      <c r="DU581" s="408"/>
      <c r="DV581" s="408">
        <v>45976.21224213727</v>
      </c>
      <c r="DW581" s="408">
        <v>0</v>
      </c>
      <c r="DX581" s="408">
        <v>0</v>
      </c>
      <c r="DY581" s="408">
        <v>-28275.477299999999</v>
      </c>
      <c r="DZ581" s="408">
        <v>0</v>
      </c>
      <c r="EA581" s="408">
        <v>0</v>
      </c>
      <c r="EB581" s="408">
        <v>0</v>
      </c>
      <c r="EC581" s="408">
        <v>-28190.090255788902</v>
      </c>
      <c r="ED581" s="408">
        <v>0</v>
      </c>
      <c r="EE581" s="408">
        <v>0</v>
      </c>
      <c r="EF581" s="408">
        <v>0</v>
      </c>
      <c r="EG581" s="408">
        <v>0</v>
      </c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>
        <v>0</v>
      </c>
      <c r="EN581" s="408">
        <v>0</v>
      </c>
      <c r="EO581" s="408">
        <v>0</v>
      </c>
      <c r="EP581" s="408">
        <v>0</v>
      </c>
      <c r="EQ581" s="408">
        <v>0</v>
      </c>
      <c r="ER581" s="408">
        <v>0</v>
      </c>
      <c r="ES581" s="408">
        <v>0</v>
      </c>
      <c r="ET581" s="408">
        <v>0</v>
      </c>
      <c r="EU581" s="408">
        <v>0</v>
      </c>
      <c r="EV581" s="408">
        <v>265</v>
      </c>
      <c r="EW581" s="408">
        <v>0</v>
      </c>
      <c r="EX581" s="408">
        <v>0</v>
      </c>
      <c r="EY581" s="408">
        <v>0</v>
      </c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588</v>
      </c>
      <c r="B582" s="408" t="s">
        <v>2230</v>
      </c>
      <c r="C582" s="408" t="s">
        <v>2235</v>
      </c>
      <c r="D582" s="408" t="s">
        <v>596</v>
      </c>
      <c r="E582" s="408" t="s">
        <v>965</v>
      </c>
      <c r="F582" s="408" t="s">
        <v>1317</v>
      </c>
      <c r="G582" s="408" t="s">
        <v>1317</v>
      </c>
      <c r="H582" s="408" t="s">
        <v>1317</v>
      </c>
      <c r="I582" s="408" t="s">
        <v>968</v>
      </c>
      <c r="J582" s="408" t="s">
        <v>2228</v>
      </c>
      <c r="K582" s="828">
        <v>44713</v>
      </c>
      <c r="L582" s="408">
        <v>0</v>
      </c>
      <c r="M582" s="408">
        <v>0</v>
      </c>
      <c r="N582" s="408">
        <v>1.319</v>
      </c>
      <c r="O582" s="408">
        <v>1.319</v>
      </c>
      <c r="P582" s="408">
        <v>1.319</v>
      </c>
      <c r="Q582" s="408">
        <v>1.319</v>
      </c>
      <c r="R582" s="408"/>
      <c r="S582" s="408">
        <v>2641.06</v>
      </c>
      <c r="T582" s="408">
        <v>252.22</v>
      </c>
      <c r="U582" s="408"/>
      <c r="V582" s="408">
        <v>3816.2363199999995</v>
      </c>
      <c r="W582" s="408">
        <v>3816.2363199999995</v>
      </c>
      <c r="X582" s="408">
        <v>2265.1714599999996</v>
      </c>
      <c r="Y582" s="408">
        <v>0</v>
      </c>
      <c r="Z582" s="408">
        <v>70.978352820057196</v>
      </c>
      <c r="AA582" s="408">
        <v>0</v>
      </c>
      <c r="AB582" s="408">
        <v>0</v>
      </c>
      <c r="AC582" s="408">
        <v>0</v>
      </c>
      <c r="AD582" s="408">
        <v>854.4046605212535</v>
      </c>
      <c r="AE582" s="408">
        <v>2522.0471593836164</v>
      </c>
      <c r="AF582" s="408">
        <v>332.68183030210889</v>
      </c>
      <c r="AG582" s="408">
        <v>0</v>
      </c>
      <c r="AH582" s="408">
        <v>0</v>
      </c>
      <c r="AI582" s="408">
        <v>0</v>
      </c>
      <c r="AJ582" s="408">
        <v>0</v>
      </c>
      <c r="AK582" s="408">
        <v>0</v>
      </c>
      <c r="AL582" s="408">
        <v>12.610997493695038</v>
      </c>
      <c r="AM582" s="408"/>
      <c r="AN582" s="408">
        <v>3.1733901955457746</v>
      </c>
      <c r="AO582" s="408">
        <v>0</v>
      </c>
      <c r="AP582" s="408">
        <v>0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0</v>
      </c>
      <c r="BF582" s="408">
        <v>0</v>
      </c>
      <c r="BG582" s="408">
        <v>20.342727638344666</v>
      </c>
      <c r="BH582" s="408">
        <v>0</v>
      </c>
      <c r="BI582" s="408">
        <v>0</v>
      </c>
      <c r="BJ582" s="408">
        <v>0</v>
      </c>
      <c r="BK582" s="408">
        <v>0</v>
      </c>
      <c r="BL582" s="408">
        <v>0</v>
      </c>
      <c r="BM582" s="408"/>
      <c r="BN582" s="408"/>
      <c r="BO582" s="408"/>
      <c r="BP582" s="408"/>
      <c r="BQ582" s="408"/>
      <c r="BR582" s="408"/>
      <c r="BS582" s="408"/>
      <c r="BT582" s="408"/>
      <c r="BU582" s="408"/>
      <c r="BV582" s="408">
        <v>353.02455794045358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2266.8888000000002</v>
      </c>
      <c r="CJ582" s="408">
        <v>-1549.37752</v>
      </c>
      <c r="CK582" s="408"/>
      <c r="CL582" s="408"/>
      <c r="CM582" s="408"/>
      <c r="CN582" s="408"/>
      <c r="CO582" s="408">
        <v>-1551.06486</v>
      </c>
      <c r="CP582" s="408">
        <v>0</v>
      </c>
      <c r="CQ582" s="408">
        <v>30</v>
      </c>
      <c r="CR582" s="408">
        <v>-4.6796039620830925</v>
      </c>
      <c r="CS582" s="408">
        <v>0</v>
      </c>
      <c r="CT582" s="408">
        <v>0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-2.1958952180679034</v>
      </c>
      <c r="DA582" s="408">
        <v>0</v>
      </c>
      <c r="DB582" s="408">
        <v>0</v>
      </c>
      <c r="DC582" s="408">
        <v>-4.6639854645036394E-8</v>
      </c>
      <c r="DD582" s="408">
        <v>0</v>
      </c>
      <c r="DE582" s="408">
        <v>0</v>
      </c>
      <c r="DF582" s="408">
        <v>0</v>
      </c>
      <c r="DG582" s="408">
        <v>-2.8519409056571021E-9</v>
      </c>
      <c r="DH582" s="408">
        <v>0</v>
      </c>
      <c r="DI582" s="408">
        <v>-2.0638438846564497</v>
      </c>
      <c r="DJ582" s="408"/>
      <c r="DK582" s="408">
        <v>0</v>
      </c>
      <c r="DL582" s="408">
        <v>0</v>
      </c>
      <c r="DM582" s="408">
        <v>0</v>
      </c>
      <c r="DN582" s="408">
        <v>0</v>
      </c>
      <c r="DO582" s="408">
        <v>-0.31681491791653649</v>
      </c>
      <c r="DP582" s="408">
        <v>-0.10304989195004488</v>
      </c>
      <c r="DQ582" s="408">
        <v>0</v>
      </c>
      <c r="DR582" s="408">
        <v>0</v>
      </c>
      <c r="DS582" s="408"/>
      <c r="DT582" s="408"/>
      <c r="DU582" s="408"/>
      <c r="DV582" s="408">
        <v>2522.0471593836164</v>
      </c>
      <c r="DW582" s="408">
        <v>0</v>
      </c>
      <c r="DX582" s="408">
        <v>0</v>
      </c>
      <c r="DY582" s="408">
        <v>-1551.06486</v>
      </c>
      <c r="DZ582" s="408">
        <v>0</v>
      </c>
      <c r="EA582" s="408">
        <v>0</v>
      </c>
      <c r="EB582" s="408">
        <v>0</v>
      </c>
      <c r="EC582" s="408">
        <v>-1546.3809127629679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0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265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589</v>
      </c>
      <c r="B583" s="408" t="s">
        <v>1031</v>
      </c>
      <c r="C583" s="408" t="s">
        <v>2235</v>
      </c>
      <c r="D583" s="408" t="s">
        <v>596</v>
      </c>
      <c r="E583" s="408" t="s">
        <v>965</v>
      </c>
      <c r="F583" s="408" t="s">
        <v>1317</v>
      </c>
      <c r="G583" s="408" t="s">
        <v>1317</v>
      </c>
      <c r="H583" s="408" t="s">
        <v>1317</v>
      </c>
      <c r="I583" s="408" t="s">
        <v>2236</v>
      </c>
      <c r="J583" s="408" t="s">
        <v>2228</v>
      </c>
      <c r="K583" s="828">
        <v>44713</v>
      </c>
      <c r="L583" s="408">
        <v>0</v>
      </c>
      <c r="M583" s="408">
        <v>0</v>
      </c>
      <c r="N583" s="408">
        <v>340.99799999999999</v>
      </c>
      <c r="O583" s="408">
        <v>340.99799999999999</v>
      </c>
      <c r="P583" s="408">
        <v>340.99799999999999</v>
      </c>
      <c r="Q583" s="408">
        <v>340.99799999999999</v>
      </c>
      <c r="R583" s="408"/>
      <c r="S583" s="408">
        <v>81.2</v>
      </c>
      <c r="T583" s="408">
        <v>252.22</v>
      </c>
      <c r="U583" s="408"/>
      <c r="V583" s="408">
        <v>113695.55316</v>
      </c>
      <c r="W583" s="408">
        <v>113695.55316</v>
      </c>
      <c r="X583" s="408">
        <v>113054.47692</v>
      </c>
      <c r="Y583" s="408">
        <v>0</v>
      </c>
      <c r="Z583" s="408">
        <v>18349.86835097336</v>
      </c>
      <c r="AA583" s="408">
        <v>0</v>
      </c>
      <c r="AB583" s="408">
        <v>0</v>
      </c>
      <c r="AC583" s="408">
        <v>0</v>
      </c>
      <c r="AD583" s="408">
        <v>0</v>
      </c>
      <c r="AE583" s="408">
        <v>0</v>
      </c>
      <c r="AF583" s="408">
        <v>86007.459264108067</v>
      </c>
      <c r="AG583" s="408">
        <v>0</v>
      </c>
      <c r="AH583" s="408">
        <v>0</v>
      </c>
      <c r="AI583" s="408">
        <v>0</v>
      </c>
      <c r="AJ583" s="408">
        <v>0</v>
      </c>
      <c r="AK583" s="408">
        <v>0</v>
      </c>
      <c r="AL583" s="408">
        <v>3260.2918296853832</v>
      </c>
      <c r="AM583" s="408"/>
      <c r="AN583" s="408">
        <v>820.40918112260658</v>
      </c>
      <c r="AO583" s="408">
        <v>0</v>
      </c>
      <c r="AP583" s="408">
        <v>0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</v>
      </c>
      <c r="BF583" s="408">
        <v>0</v>
      </c>
      <c r="BG583" s="408">
        <v>5259.1580282185405</v>
      </c>
      <c r="BH583" s="408">
        <v>0</v>
      </c>
      <c r="BI583" s="408">
        <v>0</v>
      </c>
      <c r="BJ583" s="408">
        <v>0</v>
      </c>
      <c r="BK583" s="408">
        <v>0</v>
      </c>
      <c r="BL583" s="408">
        <v>0</v>
      </c>
      <c r="BM583" s="408"/>
      <c r="BN583" s="408"/>
      <c r="BO583" s="408"/>
      <c r="BP583" s="408"/>
      <c r="BQ583" s="408"/>
      <c r="BR583" s="408"/>
      <c r="BS583" s="408"/>
      <c r="BT583" s="408"/>
      <c r="BU583" s="408"/>
      <c r="BV583" s="408">
        <v>91266.617292326613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113055.14</v>
      </c>
      <c r="CJ583" s="408">
        <v>-640.44315999999526</v>
      </c>
      <c r="CK583" s="408"/>
      <c r="CL583" s="408"/>
      <c r="CM583" s="408"/>
      <c r="CN583" s="408"/>
      <c r="CO583" s="408">
        <v>-641.07624000000328</v>
      </c>
      <c r="CP583" s="408">
        <v>0</v>
      </c>
      <c r="CQ583" s="408">
        <v>30</v>
      </c>
      <c r="CR583" s="408">
        <v>-642.1074407062988</v>
      </c>
      <c r="CS583" s="408">
        <v>0</v>
      </c>
      <c r="CT583" s="408">
        <v>0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0</v>
      </c>
      <c r="DA583" s="408">
        <v>0</v>
      </c>
      <c r="DB583" s="408">
        <v>0</v>
      </c>
      <c r="DC583" s="408">
        <v>-1.2057702406309545E-5</v>
      </c>
      <c r="DD583" s="408">
        <v>0</v>
      </c>
      <c r="DE583" s="408">
        <v>0</v>
      </c>
      <c r="DF583" s="408">
        <v>0</v>
      </c>
      <c r="DG583" s="408">
        <v>-7.3730552685447037E-7</v>
      </c>
      <c r="DH583" s="408">
        <v>0</v>
      </c>
      <c r="DI583" s="408">
        <v>-533.56075586055886</v>
      </c>
      <c r="DJ583" s="408"/>
      <c r="DK583" s="408">
        <v>0</v>
      </c>
      <c r="DL583" s="408">
        <v>0</v>
      </c>
      <c r="DM583" s="408">
        <v>0</v>
      </c>
      <c r="DN583" s="408">
        <v>0</v>
      </c>
      <c r="DO583" s="408">
        <v>-81.905423335635078</v>
      </c>
      <c r="DP583" s="408">
        <v>-26.641248715073061</v>
      </c>
      <c r="DQ583" s="408">
        <v>0</v>
      </c>
      <c r="DR583" s="408">
        <v>0</v>
      </c>
      <c r="DS583" s="408"/>
      <c r="DT583" s="408"/>
      <c r="DU583" s="408"/>
      <c r="DV583" s="408">
        <v>0</v>
      </c>
      <c r="DW583" s="408">
        <v>0</v>
      </c>
      <c r="DX583" s="408">
        <v>0</v>
      </c>
      <c r="DY583" s="408">
        <v>-641.07624000000214</v>
      </c>
      <c r="DZ583" s="408">
        <v>0</v>
      </c>
      <c r="EA583" s="408">
        <v>0</v>
      </c>
      <c r="EB583" s="408">
        <v>0</v>
      </c>
      <c r="EC583" s="408">
        <v>0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0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265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590</v>
      </c>
      <c r="B584" s="408" t="s">
        <v>2230</v>
      </c>
      <c r="C584" s="408" t="s">
        <v>2235</v>
      </c>
      <c r="D584" s="408" t="s">
        <v>596</v>
      </c>
      <c r="E584" s="408" t="s">
        <v>965</v>
      </c>
      <c r="F584" s="408" t="s">
        <v>1317</v>
      </c>
      <c r="G584" s="408" t="s">
        <v>1317</v>
      </c>
      <c r="H584" s="408" t="s">
        <v>1317</v>
      </c>
      <c r="I584" s="408" t="s">
        <v>2236</v>
      </c>
      <c r="J584" s="408" t="s">
        <v>2228</v>
      </c>
      <c r="K584" s="828">
        <v>44713</v>
      </c>
      <c r="L584" s="408">
        <v>0</v>
      </c>
      <c r="M584" s="408">
        <v>0</v>
      </c>
      <c r="N584" s="408">
        <v>7.8609999999999998</v>
      </c>
      <c r="O584" s="408">
        <v>7.8609999999999998</v>
      </c>
      <c r="P584" s="408">
        <v>7.8609999999999998</v>
      </c>
      <c r="Q584" s="408">
        <v>7.8609999999999998</v>
      </c>
      <c r="R584" s="408"/>
      <c r="S584" s="408">
        <v>81.2</v>
      </c>
      <c r="T584" s="408">
        <v>252.22</v>
      </c>
      <c r="U584" s="408"/>
      <c r="V584" s="408">
        <v>2621.0146199999999</v>
      </c>
      <c r="W584" s="408">
        <v>2621.0146199999999</v>
      </c>
      <c r="X584" s="408">
        <v>2606.2359399999996</v>
      </c>
      <c r="Y584" s="408">
        <v>0</v>
      </c>
      <c r="Z584" s="408">
        <v>423.01806786843792</v>
      </c>
      <c r="AA584" s="408">
        <v>0</v>
      </c>
      <c r="AB584" s="408">
        <v>0</v>
      </c>
      <c r="AC584" s="408">
        <v>0</v>
      </c>
      <c r="AD584" s="408">
        <v>0</v>
      </c>
      <c r="AE584" s="408">
        <v>0</v>
      </c>
      <c r="AF584" s="408">
        <v>1982.7231751363747</v>
      </c>
      <c r="AG584" s="408">
        <v>0</v>
      </c>
      <c r="AH584" s="408">
        <v>0</v>
      </c>
      <c r="AI584" s="408">
        <v>0</v>
      </c>
      <c r="AJ584" s="408">
        <v>0</v>
      </c>
      <c r="AK584" s="408">
        <v>0</v>
      </c>
      <c r="AL584" s="408">
        <v>75.159250415418256</v>
      </c>
      <c r="AM584" s="408"/>
      <c r="AN584" s="408">
        <v>18.912828147979784</v>
      </c>
      <c r="AO584" s="408">
        <v>0</v>
      </c>
      <c r="AP584" s="408">
        <v>0</v>
      </c>
      <c r="AQ584" s="408">
        <v>0</v>
      </c>
      <c r="AR584" s="408">
        <v>0</v>
      </c>
      <c r="AS584" s="408">
        <v>0</v>
      </c>
      <c r="AT584" s="408">
        <v>0</v>
      </c>
      <c r="AU584" s="408">
        <v>0</v>
      </c>
      <c r="AV584" s="408">
        <v>0</v>
      </c>
      <c r="AW584" s="408">
        <v>0</v>
      </c>
      <c r="AX584" s="408">
        <v>0</v>
      </c>
      <c r="AY584" s="408">
        <v>0</v>
      </c>
      <c r="AZ584" s="408">
        <v>0</v>
      </c>
      <c r="BA584" s="408"/>
      <c r="BB584" s="408">
        <v>0</v>
      </c>
      <c r="BC584" s="408">
        <v>0</v>
      </c>
      <c r="BD584" s="408">
        <v>0</v>
      </c>
      <c r="BE584" s="408">
        <v>0</v>
      </c>
      <c r="BF584" s="408">
        <v>0</v>
      </c>
      <c r="BG584" s="408">
        <v>121.23895524262882</v>
      </c>
      <c r="BH584" s="408">
        <v>0</v>
      </c>
      <c r="BI584" s="408">
        <v>0</v>
      </c>
      <c r="BJ584" s="408">
        <v>0</v>
      </c>
      <c r="BK584" s="408">
        <v>0</v>
      </c>
      <c r="BL584" s="408">
        <v>0</v>
      </c>
      <c r="BM584" s="408"/>
      <c r="BN584" s="408"/>
      <c r="BO584" s="408"/>
      <c r="BP584" s="408"/>
      <c r="BQ584" s="408"/>
      <c r="BR584" s="408"/>
      <c r="BS584" s="408"/>
      <c r="BT584" s="408"/>
      <c r="BU584" s="408"/>
      <c r="BV584" s="408">
        <v>2103.9621303790036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2605.9043999999999</v>
      </c>
      <c r="CJ584" s="408">
        <v>-15.140220000000227</v>
      </c>
      <c r="CK584" s="408"/>
      <c r="CL584" s="408"/>
      <c r="CM584" s="408"/>
      <c r="CN584" s="408"/>
      <c r="CO584" s="408">
        <v>-14.778680000000076</v>
      </c>
      <c r="CP584" s="408">
        <v>0</v>
      </c>
      <c r="CQ584" s="408">
        <v>30</v>
      </c>
      <c r="CR584" s="408">
        <v>-14.802452188552252</v>
      </c>
      <c r="CS584" s="408">
        <v>0</v>
      </c>
      <c r="CT584" s="408">
        <v>0</v>
      </c>
      <c r="CU584" s="408">
        <v>0</v>
      </c>
      <c r="CV584" s="408">
        <v>0</v>
      </c>
      <c r="CW584" s="408">
        <v>0</v>
      </c>
      <c r="CX584" s="408">
        <v>0</v>
      </c>
      <c r="CY584" s="408">
        <v>0</v>
      </c>
      <c r="CZ584" s="408">
        <v>0</v>
      </c>
      <c r="DA584" s="408">
        <v>0</v>
      </c>
      <c r="DB584" s="408">
        <v>0</v>
      </c>
      <c r="DC584" s="408">
        <v>-2.7796522772405297E-7</v>
      </c>
      <c r="DD584" s="408">
        <v>0</v>
      </c>
      <c r="DE584" s="408">
        <v>0</v>
      </c>
      <c r="DF584" s="408">
        <v>0</v>
      </c>
      <c r="DG584" s="408">
        <v>-1.6997049101519224E-8</v>
      </c>
      <c r="DH584" s="408">
        <v>0</v>
      </c>
      <c r="DI584" s="408">
        <v>-12.300134023718215</v>
      </c>
      <c r="DJ584" s="408"/>
      <c r="DK584" s="408">
        <v>0</v>
      </c>
      <c r="DL584" s="408">
        <v>0</v>
      </c>
      <c r="DM584" s="408">
        <v>0</v>
      </c>
      <c r="DN584" s="408">
        <v>0</v>
      </c>
      <c r="DO584" s="408">
        <v>-1.8881592643986949</v>
      </c>
      <c r="DP584" s="408">
        <v>-0.61415860547331391</v>
      </c>
      <c r="DQ584" s="408">
        <v>0</v>
      </c>
      <c r="DR584" s="408">
        <v>0</v>
      </c>
      <c r="DS584" s="408"/>
      <c r="DT584" s="408"/>
      <c r="DU584" s="408"/>
      <c r="DV584" s="408">
        <v>0</v>
      </c>
      <c r="DW584" s="408">
        <v>0</v>
      </c>
      <c r="DX584" s="408">
        <v>0</v>
      </c>
      <c r="DY584" s="408">
        <v>-14.778680000000122</v>
      </c>
      <c r="DZ584" s="408">
        <v>0</v>
      </c>
      <c r="EA584" s="408">
        <v>0</v>
      </c>
      <c r="EB584" s="408">
        <v>0</v>
      </c>
      <c r="EC584" s="408">
        <v>0</v>
      </c>
      <c r="ED584" s="408">
        <v>0</v>
      </c>
      <c r="EE584" s="408">
        <v>0</v>
      </c>
      <c r="EF584" s="408">
        <v>0</v>
      </c>
      <c r="EG584" s="408">
        <v>0</v>
      </c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>
        <v>0</v>
      </c>
      <c r="EN584" s="408">
        <v>0</v>
      </c>
      <c r="EO584" s="408">
        <v>0</v>
      </c>
      <c r="EP584" s="408">
        <v>0</v>
      </c>
      <c r="EQ584" s="408">
        <v>0</v>
      </c>
      <c r="ER584" s="408">
        <v>0</v>
      </c>
      <c r="ES584" s="408">
        <v>0</v>
      </c>
      <c r="ET584" s="408">
        <v>0</v>
      </c>
      <c r="EU584" s="408">
        <v>0</v>
      </c>
      <c r="EV584" s="408">
        <v>265</v>
      </c>
      <c r="EW584" s="408">
        <v>0</v>
      </c>
      <c r="EX584" s="408">
        <v>0</v>
      </c>
      <c r="EY584" s="408">
        <v>0</v>
      </c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591</v>
      </c>
      <c r="B585" s="408" t="s">
        <v>1031</v>
      </c>
      <c r="C585" s="408" t="s">
        <v>2235</v>
      </c>
      <c r="D585" s="408" t="s">
        <v>596</v>
      </c>
      <c r="E585" s="408" t="s">
        <v>965</v>
      </c>
      <c r="F585" s="408" t="s">
        <v>1317</v>
      </c>
      <c r="G585" s="408" t="s">
        <v>1317</v>
      </c>
      <c r="H585" s="408" t="s">
        <v>1317</v>
      </c>
      <c r="I585" s="408" t="s">
        <v>1317</v>
      </c>
      <c r="J585" s="408" t="s">
        <v>2228</v>
      </c>
      <c r="K585" s="828">
        <v>44713</v>
      </c>
      <c r="L585" s="408">
        <v>2401</v>
      </c>
      <c r="M585" s="408">
        <v>2401</v>
      </c>
      <c r="N585" s="408">
        <v>0</v>
      </c>
      <c r="O585" s="408">
        <v>0</v>
      </c>
      <c r="P585" s="408">
        <v>0</v>
      </c>
      <c r="Q585" s="408">
        <v>0</v>
      </c>
      <c r="R585" s="408">
        <v>74.44</v>
      </c>
      <c r="S585" s="408"/>
      <c r="T585" s="408"/>
      <c r="U585" s="408">
        <v>178730.44</v>
      </c>
      <c r="V585" s="408"/>
      <c r="W585" s="408">
        <v>178730.44</v>
      </c>
      <c r="X585" s="408">
        <v>109053.42</v>
      </c>
      <c r="Y585" s="408">
        <v>0</v>
      </c>
      <c r="Z585" s="408">
        <v>0</v>
      </c>
      <c r="AA585" s="408">
        <v>0</v>
      </c>
      <c r="AB585" s="408">
        <v>0</v>
      </c>
      <c r="AC585" s="408">
        <v>0</v>
      </c>
      <c r="AD585" s="408">
        <v>65348.239165614774</v>
      </c>
      <c r="AE585" s="408">
        <v>113378.91257996186</v>
      </c>
      <c r="AF585" s="408"/>
      <c r="AG585" s="408"/>
      <c r="AH585" s="408"/>
      <c r="AI585" s="408">
        <v>0</v>
      </c>
      <c r="AJ585" s="408">
        <v>0</v>
      </c>
      <c r="AK585" s="408">
        <v>0</v>
      </c>
      <c r="AL585" s="408">
        <v>0</v>
      </c>
      <c r="AM585" s="408"/>
      <c r="AN585" s="408">
        <v>0</v>
      </c>
      <c r="AO585" s="408">
        <v>0</v>
      </c>
      <c r="AP585" s="408">
        <v>0</v>
      </c>
      <c r="AQ585" s="408">
        <v>0</v>
      </c>
      <c r="AR585" s="408">
        <v>0</v>
      </c>
      <c r="AS585" s="408"/>
      <c r="AT585" s="408"/>
      <c r="AU585" s="408">
        <v>0</v>
      </c>
      <c r="AV585" s="408">
        <v>0</v>
      </c>
      <c r="AW585" s="408">
        <v>0</v>
      </c>
      <c r="AX585" s="408"/>
      <c r="AY585" s="408"/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/>
      <c r="BG585" s="408">
        <v>0</v>
      </c>
      <c r="BH585" s="408">
        <v>0</v>
      </c>
      <c r="BI585" s="408">
        <v>0</v>
      </c>
      <c r="BJ585" s="408">
        <v>0</v>
      </c>
      <c r="BK585" s="408">
        <v>58266.09</v>
      </c>
      <c r="BL585" s="408">
        <v>11</v>
      </c>
      <c r="BM585" s="408"/>
      <c r="BN585" s="408"/>
      <c r="BO585" s="408"/>
      <c r="BP585" s="408"/>
      <c r="BQ585" s="408"/>
      <c r="BR585" s="408"/>
      <c r="BS585" s="408"/>
      <c r="BT585" s="408"/>
      <c r="BU585" s="408"/>
      <c r="BV585" s="408">
        <v>0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109053.42</v>
      </c>
      <c r="CJ585" s="408">
        <v>-69677.050000000032</v>
      </c>
      <c r="CK585" s="408"/>
      <c r="CL585" s="408"/>
      <c r="CM585" s="408"/>
      <c r="CN585" s="408"/>
      <c r="CO585" s="408">
        <v>-69677.01999999999</v>
      </c>
      <c r="CP585" s="408">
        <v>0</v>
      </c>
      <c r="CQ585" s="408">
        <v>30</v>
      </c>
      <c r="CR585" s="408">
        <v>-167.95072934803466</v>
      </c>
      <c r="CS585" s="408">
        <v>0</v>
      </c>
      <c r="CT585" s="408">
        <v>0</v>
      </c>
      <c r="CU585" s="408">
        <v>0</v>
      </c>
      <c r="CV585" s="408">
        <v>0</v>
      </c>
      <c r="CW585" s="408"/>
      <c r="CX585" s="408"/>
      <c r="CY585" s="408"/>
      <c r="CZ585" s="408">
        <v>-167.95072934803466</v>
      </c>
      <c r="DA585" s="408">
        <v>0</v>
      </c>
      <c r="DB585" s="408">
        <v>0</v>
      </c>
      <c r="DC585" s="408"/>
      <c r="DD585" s="408"/>
      <c r="DE585" s="408">
        <v>0</v>
      </c>
      <c r="DF585" s="408">
        <v>0</v>
      </c>
      <c r="DG585" s="408">
        <v>0</v>
      </c>
      <c r="DH585" s="408">
        <v>0</v>
      </c>
      <c r="DI585" s="408">
        <v>0</v>
      </c>
      <c r="DJ585" s="408"/>
      <c r="DK585" s="408">
        <v>0</v>
      </c>
      <c r="DL585" s="408">
        <v>0</v>
      </c>
      <c r="DM585" s="408"/>
      <c r="DN585" s="408">
        <v>0</v>
      </c>
      <c r="DO585" s="408">
        <v>0</v>
      </c>
      <c r="DP585" s="408">
        <v>0</v>
      </c>
      <c r="DQ585" s="408">
        <v>0</v>
      </c>
      <c r="DR585" s="408">
        <v>0</v>
      </c>
      <c r="DS585" s="408"/>
      <c r="DT585" s="408"/>
      <c r="DU585" s="408">
        <v>113378.91257996186</v>
      </c>
      <c r="DV585" s="408"/>
      <c r="DW585" s="408">
        <v>0</v>
      </c>
      <c r="DX585" s="408">
        <v>0</v>
      </c>
      <c r="DY585" s="408">
        <v>-69677.02</v>
      </c>
      <c r="DZ585" s="408"/>
      <c r="EA585" s="408">
        <v>0</v>
      </c>
      <c r="EB585" s="408"/>
      <c r="EC585" s="408">
        <v>-69517.727165071745</v>
      </c>
      <c r="ED585" s="408"/>
      <c r="EE585" s="408">
        <v>0</v>
      </c>
      <c r="EF585" s="408">
        <v>0</v>
      </c>
      <c r="EG585" s="408"/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/>
      <c r="EN585" s="408"/>
      <c r="EO585" s="408">
        <v>0</v>
      </c>
      <c r="EP585" s="408">
        <v>0</v>
      </c>
      <c r="EQ585" s="408"/>
      <c r="ER585" s="408">
        <v>0</v>
      </c>
      <c r="ES585" s="408"/>
      <c r="ET585" s="408">
        <v>0</v>
      </c>
      <c r="EU585" s="408"/>
      <c r="EV585" s="408">
        <v>265</v>
      </c>
      <c r="EW585" s="408"/>
      <c r="EX585" s="408"/>
      <c r="EY585" s="408"/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592</v>
      </c>
      <c r="B586" s="408" t="s">
        <v>2230</v>
      </c>
      <c r="C586" s="408" t="s">
        <v>2235</v>
      </c>
      <c r="D586" s="408" t="s">
        <v>596</v>
      </c>
      <c r="E586" s="408" t="s">
        <v>965</v>
      </c>
      <c r="F586" s="408" t="s">
        <v>1317</v>
      </c>
      <c r="G586" s="408" t="s">
        <v>1317</v>
      </c>
      <c r="H586" s="408" t="s">
        <v>1317</v>
      </c>
      <c r="I586" s="408" t="s">
        <v>1317</v>
      </c>
      <c r="J586" s="408" t="s">
        <v>2228</v>
      </c>
      <c r="K586" s="828">
        <v>44713</v>
      </c>
      <c r="L586" s="408">
        <v>199</v>
      </c>
      <c r="M586" s="408">
        <v>199</v>
      </c>
      <c r="N586" s="408">
        <v>0</v>
      </c>
      <c r="O586" s="408">
        <v>0</v>
      </c>
      <c r="P586" s="408">
        <v>0</v>
      </c>
      <c r="Q586" s="408">
        <v>0</v>
      </c>
      <c r="R586" s="408">
        <v>74.44</v>
      </c>
      <c r="S586" s="408"/>
      <c r="T586" s="408"/>
      <c r="U586" s="408">
        <v>14813.56</v>
      </c>
      <c r="V586" s="408"/>
      <c r="W586" s="408">
        <v>14813.56</v>
      </c>
      <c r="X586" s="408">
        <v>9038.58</v>
      </c>
      <c r="Y586" s="408">
        <v>0</v>
      </c>
      <c r="Z586" s="408">
        <v>0</v>
      </c>
      <c r="AA586" s="408">
        <v>0</v>
      </c>
      <c r="AB586" s="408">
        <v>0</v>
      </c>
      <c r="AC586" s="408">
        <v>0</v>
      </c>
      <c r="AD586" s="408">
        <v>5416.2014135599084</v>
      </c>
      <c r="AE586" s="408">
        <v>9397.0860489014613</v>
      </c>
      <c r="AF586" s="408"/>
      <c r="AG586" s="408"/>
      <c r="AH586" s="408"/>
      <c r="AI586" s="408">
        <v>0</v>
      </c>
      <c r="AJ586" s="408">
        <v>0</v>
      </c>
      <c r="AK586" s="408">
        <v>0</v>
      </c>
      <c r="AL586" s="408">
        <v>0</v>
      </c>
      <c r="AM586" s="408"/>
      <c r="AN586" s="408">
        <v>0</v>
      </c>
      <c r="AO586" s="408">
        <v>0</v>
      </c>
      <c r="AP586" s="408">
        <v>0</v>
      </c>
      <c r="AQ586" s="408">
        <v>0</v>
      </c>
      <c r="AR586" s="408">
        <v>0</v>
      </c>
      <c r="AS586" s="408"/>
      <c r="AT586" s="408"/>
      <c r="AU586" s="408">
        <v>0</v>
      </c>
      <c r="AV586" s="408">
        <v>0</v>
      </c>
      <c r="AW586" s="408">
        <v>0</v>
      </c>
      <c r="AX586" s="408"/>
      <c r="AY586" s="408"/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0</v>
      </c>
      <c r="BF586" s="408"/>
      <c r="BG586" s="408">
        <v>0</v>
      </c>
      <c r="BH586" s="408">
        <v>0</v>
      </c>
      <c r="BI586" s="408">
        <v>0</v>
      </c>
      <c r="BJ586" s="408">
        <v>0</v>
      </c>
      <c r="BK586" s="408">
        <v>2974.92</v>
      </c>
      <c r="BL586" s="408">
        <v>1</v>
      </c>
      <c r="BM586" s="408"/>
      <c r="BN586" s="408"/>
      <c r="BO586" s="408"/>
      <c r="BP586" s="408"/>
      <c r="BQ586" s="408"/>
      <c r="BR586" s="408"/>
      <c r="BS586" s="408"/>
      <c r="BT586" s="408"/>
      <c r="BU586" s="408"/>
      <c r="BV586" s="408">
        <v>0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9038.58</v>
      </c>
      <c r="CJ586" s="408">
        <v>-5775.01</v>
      </c>
      <c r="CK586" s="408"/>
      <c r="CL586" s="408"/>
      <c r="CM586" s="408"/>
      <c r="CN586" s="408"/>
      <c r="CO586" s="408">
        <v>-5774.98</v>
      </c>
      <c r="CP586" s="408">
        <v>0</v>
      </c>
      <c r="CQ586" s="408">
        <v>30</v>
      </c>
      <c r="CR586" s="408">
        <v>-13.920114594026927</v>
      </c>
      <c r="CS586" s="408">
        <v>0</v>
      </c>
      <c r="CT586" s="408">
        <v>0</v>
      </c>
      <c r="CU586" s="408">
        <v>0</v>
      </c>
      <c r="CV586" s="408">
        <v>0</v>
      </c>
      <c r="CW586" s="408"/>
      <c r="CX586" s="408"/>
      <c r="CY586" s="408"/>
      <c r="CZ586" s="408">
        <v>-13.920114594026927</v>
      </c>
      <c r="DA586" s="408">
        <v>0</v>
      </c>
      <c r="DB586" s="408">
        <v>0</v>
      </c>
      <c r="DC586" s="408"/>
      <c r="DD586" s="408"/>
      <c r="DE586" s="408">
        <v>0</v>
      </c>
      <c r="DF586" s="408">
        <v>0</v>
      </c>
      <c r="DG586" s="408">
        <v>0</v>
      </c>
      <c r="DH586" s="408">
        <v>0</v>
      </c>
      <c r="DI586" s="408">
        <v>0</v>
      </c>
      <c r="DJ586" s="408"/>
      <c r="DK586" s="408">
        <v>0</v>
      </c>
      <c r="DL586" s="408">
        <v>0</v>
      </c>
      <c r="DM586" s="408"/>
      <c r="DN586" s="408">
        <v>0</v>
      </c>
      <c r="DO586" s="408">
        <v>0</v>
      </c>
      <c r="DP586" s="408">
        <v>0</v>
      </c>
      <c r="DQ586" s="408">
        <v>0</v>
      </c>
      <c r="DR586" s="408">
        <v>0</v>
      </c>
      <c r="DS586" s="408"/>
      <c r="DT586" s="408"/>
      <c r="DU586" s="408">
        <v>9397.0860489014613</v>
      </c>
      <c r="DV586" s="408"/>
      <c r="DW586" s="408">
        <v>0</v>
      </c>
      <c r="DX586" s="408">
        <v>0</v>
      </c>
      <c r="DY586" s="408">
        <v>-5774.98</v>
      </c>
      <c r="DZ586" s="408"/>
      <c r="EA586" s="408">
        <v>0</v>
      </c>
      <c r="EB586" s="408"/>
      <c r="EC586" s="408">
        <v>-5761.7774701579656</v>
      </c>
      <c r="ED586" s="408"/>
      <c r="EE586" s="408">
        <v>0</v>
      </c>
      <c r="EF586" s="408">
        <v>0</v>
      </c>
      <c r="EG586" s="408"/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/>
      <c r="EN586" s="408"/>
      <c r="EO586" s="408">
        <v>0</v>
      </c>
      <c r="EP586" s="408">
        <v>0</v>
      </c>
      <c r="EQ586" s="408"/>
      <c r="ER586" s="408">
        <v>0</v>
      </c>
      <c r="ES586" s="408"/>
      <c r="ET586" s="408">
        <v>0</v>
      </c>
      <c r="EU586" s="408"/>
      <c r="EV586" s="408">
        <v>265</v>
      </c>
      <c r="EW586" s="408"/>
      <c r="EX586" s="408"/>
      <c r="EY586" s="408"/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593</v>
      </c>
      <c r="B587" s="408" t="s">
        <v>1031</v>
      </c>
      <c r="C587" s="408" t="s">
        <v>2227</v>
      </c>
      <c r="D587" s="408" t="s">
        <v>1952</v>
      </c>
      <c r="E587" s="408" t="s">
        <v>993</v>
      </c>
      <c r="F587" s="408" t="s">
        <v>1317</v>
      </c>
      <c r="G587" s="408" t="s">
        <v>1317</v>
      </c>
      <c r="H587" s="408" t="s">
        <v>1317</v>
      </c>
      <c r="I587" s="408" t="s">
        <v>1317</v>
      </c>
      <c r="J587" s="408" t="s">
        <v>2228</v>
      </c>
      <c r="K587" s="828">
        <v>44713</v>
      </c>
      <c r="L587" s="408">
        <v>0</v>
      </c>
      <c r="M587" s="408">
        <v>0</v>
      </c>
      <c r="N587" s="408">
        <v>336.827</v>
      </c>
      <c r="O587" s="408">
        <v>336.827</v>
      </c>
      <c r="P587" s="408">
        <v>336.827</v>
      </c>
      <c r="Q587" s="408">
        <v>336.827</v>
      </c>
      <c r="R587" s="408"/>
      <c r="S587" s="408">
        <v>739.04</v>
      </c>
      <c r="T587" s="408">
        <v>252.22</v>
      </c>
      <c r="U587" s="408"/>
      <c r="V587" s="408">
        <v>333883.13202000002</v>
      </c>
      <c r="W587" s="408">
        <v>333883.13202000002</v>
      </c>
      <c r="X587" s="408">
        <v>228358.60119000002</v>
      </c>
      <c r="Y587" s="408">
        <v>0</v>
      </c>
      <c r="Z587" s="408">
        <v>20833.813185992007</v>
      </c>
      <c r="AA587" s="408">
        <v>0</v>
      </c>
      <c r="AB587" s="408">
        <v>0</v>
      </c>
      <c r="AC587" s="408">
        <v>0</v>
      </c>
      <c r="AD587" s="408">
        <v>41597.319680536144</v>
      </c>
      <c r="AE587" s="408">
        <v>170767.16962382002</v>
      </c>
      <c r="AF587" s="408">
        <v>84955.438100961677</v>
      </c>
      <c r="AG587" s="408">
        <v>0</v>
      </c>
      <c r="AH587" s="408">
        <v>0</v>
      </c>
      <c r="AI587" s="408">
        <v>0</v>
      </c>
      <c r="AJ587" s="408">
        <v>0</v>
      </c>
      <c r="AK587" s="408">
        <v>0</v>
      </c>
      <c r="AL587" s="408">
        <v>3220.4127769589222</v>
      </c>
      <c r="AM587" s="408"/>
      <c r="AN587" s="408">
        <v>789.28621705743944</v>
      </c>
      <c r="AO587" s="408">
        <v>0</v>
      </c>
      <c r="AP587" s="408">
        <v>0</v>
      </c>
      <c r="AQ587" s="408">
        <v>0</v>
      </c>
      <c r="AR587" s="408">
        <v>0</v>
      </c>
      <c r="AS587" s="408">
        <v>0</v>
      </c>
      <c r="AT587" s="408">
        <v>0</v>
      </c>
      <c r="AU587" s="408">
        <v>0</v>
      </c>
      <c r="AV587" s="408">
        <v>0</v>
      </c>
      <c r="AW587" s="408">
        <v>0</v>
      </c>
      <c r="AX587" s="408">
        <v>0</v>
      </c>
      <c r="AY587" s="408">
        <v>0</v>
      </c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0</v>
      </c>
      <c r="BF587" s="408">
        <v>0</v>
      </c>
      <c r="BG587" s="408">
        <v>11719.642158151133</v>
      </c>
      <c r="BH587" s="408">
        <v>0</v>
      </c>
      <c r="BI587" s="408">
        <v>0</v>
      </c>
      <c r="BJ587" s="408">
        <v>0</v>
      </c>
      <c r="BK587" s="408">
        <v>76114.09</v>
      </c>
      <c r="BL587" s="408">
        <v>839</v>
      </c>
      <c r="BM587" s="408"/>
      <c r="BN587" s="408"/>
      <c r="BO587" s="408"/>
      <c r="BP587" s="408"/>
      <c r="BQ587" s="408"/>
      <c r="BR587" s="408"/>
      <c r="BS587" s="408"/>
      <c r="BT587" s="408"/>
      <c r="BU587" s="408"/>
      <c r="BV587" s="408">
        <v>96675.080259112816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228360.63510000001</v>
      </c>
      <c r="CJ587" s="408">
        <v>-105522.52692000003</v>
      </c>
      <c r="CK587" s="408"/>
      <c r="CL587" s="408"/>
      <c r="CM587" s="408"/>
      <c r="CN587" s="408"/>
      <c r="CO587" s="408">
        <v>-105524.53082999999</v>
      </c>
      <c r="CP587" s="408">
        <v>0</v>
      </c>
      <c r="CQ587" s="408">
        <v>30</v>
      </c>
      <c r="CR587" s="408">
        <v>-819.22959534436814</v>
      </c>
      <c r="CS587" s="408">
        <v>0</v>
      </c>
      <c r="CT587" s="408">
        <v>0</v>
      </c>
      <c r="CU587" s="408">
        <v>0</v>
      </c>
      <c r="CV587" s="408">
        <v>0</v>
      </c>
      <c r="CW587" s="408">
        <v>0</v>
      </c>
      <c r="CX587" s="408">
        <v>0</v>
      </c>
      <c r="CY587" s="408">
        <v>0</v>
      </c>
      <c r="CZ587" s="408">
        <v>-106.908774719348</v>
      </c>
      <c r="DA587" s="408">
        <v>0</v>
      </c>
      <c r="DB587" s="408">
        <v>0</v>
      </c>
      <c r="DC587" s="408">
        <v>-1.1910218745470047E-5</v>
      </c>
      <c r="DD587" s="408">
        <v>0</v>
      </c>
      <c r="DE587" s="408">
        <v>0</v>
      </c>
      <c r="DF587" s="408">
        <v>0</v>
      </c>
      <c r="DG587" s="408">
        <v>-1.643009454710409E-6</v>
      </c>
      <c r="DH587" s="408">
        <v>0</v>
      </c>
      <c r="DI587" s="408">
        <v>-605.78664099167509</v>
      </c>
      <c r="DJ587" s="408"/>
      <c r="DK587" s="408">
        <v>0</v>
      </c>
      <c r="DL587" s="408">
        <v>0</v>
      </c>
      <c r="DM587" s="408">
        <v>0</v>
      </c>
      <c r="DN587" s="408">
        <v>0</v>
      </c>
      <c r="DO587" s="408">
        <v>-80.903577222951299</v>
      </c>
      <c r="DP587" s="408">
        <v>-25.630588857174303</v>
      </c>
      <c r="DQ587" s="408">
        <v>0</v>
      </c>
      <c r="DR587" s="408">
        <v>0</v>
      </c>
      <c r="DS587" s="408"/>
      <c r="DT587" s="408"/>
      <c r="DU587" s="408"/>
      <c r="DV587" s="408">
        <v>170767.16962382002</v>
      </c>
      <c r="DW587" s="408">
        <v>0</v>
      </c>
      <c r="DX587" s="408">
        <v>0</v>
      </c>
      <c r="DY587" s="408">
        <v>-105524.53082999997</v>
      </c>
      <c r="DZ587" s="408">
        <v>0</v>
      </c>
      <c r="EA587" s="408">
        <v>0</v>
      </c>
      <c r="EB587" s="408">
        <v>0</v>
      </c>
      <c r="EC587" s="408">
        <v>-104705.05702096781</v>
      </c>
      <c r="ED587" s="408">
        <v>0</v>
      </c>
      <c r="EE587" s="408">
        <v>0</v>
      </c>
      <c r="EF587" s="408">
        <v>0</v>
      </c>
      <c r="EG587" s="408">
        <v>0</v>
      </c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>
        <v>0</v>
      </c>
      <c r="EN587" s="408">
        <v>0</v>
      </c>
      <c r="EO587" s="408">
        <v>0</v>
      </c>
      <c r="EP587" s="408">
        <v>0</v>
      </c>
      <c r="EQ587" s="408">
        <v>0</v>
      </c>
      <c r="ER587" s="408">
        <v>0</v>
      </c>
      <c r="ES587" s="408">
        <v>0</v>
      </c>
      <c r="ET587" s="408">
        <v>0</v>
      </c>
      <c r="EU587" s="408">
        <v>0</v>
      </c>
      <c r="EV587" s="408">
        <v>265</v>
      </c>
      <c r="EW587" s="408">
        <v>0</v>
      </c>
      <c r="EX587" s="408">
        <v>0</v>
      </c>
      <c r="EY587" s="408">
        <v>0</v>
      </c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594</v>
      </c>
      <c r="B588" s="408" t="s">
        <v>2229</v>
      </c>
      <c r="C588" s="408" t="s">
        <v>2227</v>
      </c>
      <c r="D588" s="408" t="s">
        <v>1952</v>
      </c>
      <c r="E588" s="408" t="s">
        <v>993</v>
      </c>
      <c r="F588" s="408" t="s">
        <v>1317</v>
      </c>
      <c r="G588" s="408" t="s">
        <v>1317</v>
      </c>
      <c r="H588" s="408" t="s">
        <v>1317</v>
      </c>
      <c r="I588" s="408" t="s">
        <v>1317</v>
      </c>
      <c r="J588" s="408" t="s">
        <v>2228</v>
      </c>
      <c r="K588" s="828">
        <v>44713</v>
      </c>
      <c r="L588" s="408">
        <v>0</v>
      </c>
      <c r="M588" s="408">
        <v>0</v>
      </c>
      <c r="N588" s="408">
        <v>-0.29099999999999998</v>
      </c>
      <c r="O588" s="408">
        <v>-0.29099999999999998</v>
      </c>
      <c r="P588" s="408">
        <v>-0.29099999999999998</v>
      </c>
      <c r="Q588" s="408">
        <v>-0.29099999999999998</v>
      </c>
      <c r="R588" s="408"/>
      <c r="S588" s="408">
        <v>739.04</v>
      </c>
      <c r="T588" s="408">
        <v>252.22</v>
      </c>
      <c r="U588" s="408"/>
      <c r="V588" s="408">
        <v>-288.45665999999994</v>
      </c>
      <c r="W588" s="408">
        <v>-288.45665999999994</v>
      </c>
      <c r="X588" s="408">
        <v>-197.28926999999999</v>
      </c>
      <c r="Y588" s="408">
        <v>0</v>
      </c>
      <c r="Z588" s="408">
        <v>-17.999268577411176</v>
      </c>
      <c r="AA588" s="408">
        <v>0</v>
      </c>
      <c r="AB588" s="408">
        <v>0</v>
      </c>
      <c r="AC588" s="408">
        <v>0</v>
      </c>
      <c r="AD588" s="408">
        <v>-35.937796040804379</v>
      </c>
      <c r="AE588" s="408">
        <v>-147.53344108557692</v>
      </c>
      <c r="AF588" s="408">
        <v>-73.396825335795072</v>
      </c>
      <c r="AG588" s="408">
        <v>0</v>
      </c>
      <c r="AH588" s="408">
        <v>0</v>
      </c>
      <c r="AI588" s="408">
        <v>0</v>
      </c>
      <c r="AJ588" s="408">
        <v>0</v>
      </c>
      <c r="AK588" s="408">
        <v>0</v>
      </c>
      <c r="AL588" s="408">
        <v>-2.7822594925437873</v>
      </c>
      <c r="AM588" s="408"/>
      <c r="AN588" s="408">
        <v>-0.68189987490229365</v>
      </c>
      <c r="AO588" s="408">
        <v>0</v>
      </c>
      <c r="AP588" s="408">
        <v>0</v>
      </c>
      <c r="AQ588" s="408">
        <v>0</v>
      </c>
      <c r="AR588" s="408">
        <v>0</v>
      </c>
      <c r="AS588" s="408">
        <v>0</v>
      </c>
      <c r="AT588" s="408">
        <v>0</v>
      </c>
      <c r="AU588" s="408">
        <v>0</v>
      </c>
      <c r="AV588" s="408">
        <v>0</v>
      </c>
      <c r="AW588" s="408">
        <v>0</v>
      </c>
      <c r="AX588" s="408">
        <v>0</v>
      </c>
      <c r="AY588" s="408">
        <v>0</v>
      </c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0</v>
      </c>
      <c r="BF588" s="408">
        <v>0</v>
      </c>
      <c r="BG588" s="408">
        <v>-10.125126156816346</v>
      </c>
      <c r="BH588" s="408">
        <v>0</v>
      </c>
      <c r="BI588" s="408">
        <v>0</v>
      </c>
      <c r="BJ588" s="408">
        <v>0</v>
      </c>
      <c r="BK588" s="408">
        <v>-66.72</v>
      </c>
      <c r="BL588" s="408">
        <v>0</v>
      </c>
      <c r="BM588" s="408"/>
      <c r="BN588" s="408"/>
      <c r="BO588" s="408"/>
      <c r="BP588" s="408"/>
      <c r="BQ588" s="408"/>
      <c r="BR588" s="408"/>
      <c r="BS588" s="408"/>
      <c r="BT588" s="408"/>
      <c r="BU588" s="408"/>
      <c r="BV588" s="408">
        <v>-83.521951492611421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-196.61129999999997</v>
      </c>
      <c r="CJ588" s="408">
        <v>91.815359999999998</v>
      </c>
      <c r="CK588" s="408"/>
      <c r="CL588" s="408"/>
      <c r="CM588" s="408"/>
      <c r="CN588" s="408"/>
      <c r="CO588" s="408">
        <v>91.167389999999983</v>
      </c>
      <c r="CP588" s="408">
        <v>0</v>
      </c>
      <c r="CQ588" s="408">
        <v>30</v>
      </c>
      <c r="CR588" s="408">
        <v>0.70776930663282656</v>
      </c>
      <c r="CS588" s="408">
        <v>0</v>
      </c>
      <c r="CT588" s="408">
        <v>0</v>
      </c>
      <c r="CU588" s="408">
        <v>0</v>
      </c>
      <c r="CV588" s="408">
        <v>0</v>
      </c>
      <c r="CW588" s="408">
        <v>0</v>
      </c>
      <c r="CX588" s="408">
        <v>0</v>
      </c>
      <c r="CY588" s="408">
        <v>0</v>
      </c>
      <c r="CZ588" s="408">
        <v>9.2363300576650431E-2</v>
      </c>
      <c r="DA588" s="408">
        <v>0</v>
      </c>
      <c r="DB588" s="408">
        <v>0</v>
      </c>
      <c r="DC588" s="408">
        <v>1.0289767260474036E-8</v>
      </c>
      <c r="DD588" s="408">
        <v>0</v>
      </c>
      <c r="DE588" s="408">
        <v>0</v>
      </c>
      <c r="DF588" s="408">
        <v>0</v>
      </c>
      <c r="DG588" s="408">
        <v>1.4194707631531855E-9</v>
      </c>
      <c r="DH588" s="408">
        <v>0</v>
      </c>
      <c r="DI588" s="408">
        <v>0.5233663350283031</v>
      </c>
      <c r="DJ588" s="408"/>
      <c r="DK588" s="408">
        <v>0</v>
      </c>
      <c r="DL588" s="408">
        <v>0</v>
      </c>
      <c r="DM588" s="408">
        <v>0</v>
      </c>
      <c r="DN588" s="408">
        <v>0</v>
      </c>
      <c r="DO588" s="408">
        <v>6.9896240419796474E-2</v>
      </c>
      <c r="DP588" s="408">
        <v>2.2143418898834533E-2</v>
      </c>
      <c r="DQ588" s="408">
        <v>0</v>
      </c>
      <c r="DR588" s="408">
        <v>0</v>
      </c>
      <c r="DS588" s="408"/>
      <c r="DT588" s="408"/>
      <c r="DU588" s="408"/>
      <c r="DV588" s="408">
        <v>-147.53344108557692</v>
      </c>
      <c r="DW588" s="408">
        <v>0</v>
      </c>
      <c r="DX588" s="408">
        <v>0</v>
      </c>
      <c r="DY588" s="408">
        <v>91.167389999999983</v>
      </c>
      <c r="DZ588" s="408">
        <v>0</v>
      </c>
      <c r="EA588" s="408">
        <v>0</v>
      </c>
      <c r="EB588" s="408">
        <v>0</v>
      </c>
      <c r="EC588" s="408">
        <v>90.459409706174469</v>
      </c>
      <c r="ED588" s="408">
        <v>0</v>
      </c>
      <c r="EE588" s="408">
        <v>0</v>
      </c>
      <c r="EF588" s="408">
        <v>0</v>
      </c>
      <c r="EG588" s="408">
        <v>0</v>
      </c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>
        <v>0</v>
      </c>
      <c r="EN588" s="408">
        <v>0</v>
      </c>
      <c r="EO588" s="408">
        <v>0</v>
      </c>
      <c r="EP588" s="408">
        <v>0</v>
      </c>
      <c r="EQ588" s="408">
        <v>0</v>
      </c>
      <c r="ER588" s="408">
        <v>0</v>
      </c>
      <c r="ES588" s="408">
        <v>0</v>
      </c>
      <c r="ET588" s="408">
        <v>0</v>
      </c>
      <c r="EU588" s="408">
        <v>0</v>
      </c>
      <c r="EV588" s="408">
        <v>265</v>
      </c>
      <c r="EW588" s="408">
        <v>0</v>
      </c>
      <c r="EX588" s="408">
        <v>0</v>
      </c>
      <c r="EY588" s="408">
        <v>0</v>
      </c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595</v>
      </c>
      <c r="B589" s="408" t="s">
        <v>2230</v>
      </c>
      <c r="C589" s="408" t="s">
        <v>2227</v>
      </c>
      <c r="D589" s="408" t="s">
        <v>1952</v>
      </c>
      <c r="E589" s="408" t="s">
        <v>993</v>
      </c>
      <c r="F589" s="408" t="s">
        <v>1317</v>
      </c>
      <c r="G589" s="408" t="s">
        <v>1317</v>
      </c>
      <c r="H589" s="408" t="s">
        <v>1317</v>
      </c>
      <c r="I589" s="408" t="s">
        <v>1317</v>
      </c>
      <c r="J589" s="408" t="s">
        <v>2228</v>
      </c>
      <c r="K589" s="828">
        <v>44713</v>
      </c>
      <c r="L589" s="408">
        <v>0</v>
      </c>
      <c r="M589" s="408">
        <v>0</v>
      </c>
      <c r="N589" s="408">
        <v>103.16200000000001</v>
      </c>
      <c r="O589" s="408">
        <v>103.16200000000001</v>
      </c>
      <c r="P589" s="408">
        <v>103.16200000000001</v>
      </c>
      <c r="Q589" s="408">
        <v>103.16200000000001</v>
      </c>
      <c r="R589" s="408"/>
      <c r="S589" s="408">
        <v>739.04</v>
      </c>
      <c r="T589" s="408">
        <v>252.22</v>
      </c>
      <c r="U589" s="408"/>
      <c r="V589" s="408">
        <v>102260.36412</v>
      </c>
      <c r="W589" s="408">
        <v>102260.36412</v>
      </c>
      <c r="X589" s="408">
        <v>69940.741139999998</v>
      </c>
      <c r="Y589" s="408">
        <v>0</v>
      </c>
      <c r="Z589" s="408">
        <v>6380.8953435838202</v>
      </c>
      <c r="AA589" s="408">
        <v>0</v>
      </c>
      <c r="AB589" s="408">
        <v>0</v>
      </c>
      <c r="AC589" s="408">
        <v>0</v>
      </c>
      <c r="AD589" s="408">
        <v>12740.257440417396</v>
      </c>
      <c r="AE589" s="408">
        <v>52301.87233426216</v>
      </c>
      <c r="AF589" s="408">
        <v>26019.805138458047</v>
      </c>
      <c r="AG589" s="408">
        <v>0</v>
      </c>
      <c r="AH589" s="408">
        <v>0</v>
      </c>
      <c r="AI589" s="408">
        <v>0</v>
      </c>
      <c r="AJ589" s="408">
        <v>0</v>
      </c>
      <c r="AK589" s="408">
        <v>0</v>
      </c>
      <c r="AL589" s="408">
        <v>986.33489267973277</v>
      </c>
      <c r="AM589" s="408"/>
      <c r="AN589" s="408">
        <v>241.73936389921107</v>
      </c>
      <c r="AO589" s="408">
        <v>0</v>
      </c>
      <c r="AP589" s="408">
        <v>0</v>
      </c>
      <c r="AQ589" s="408">
        <v>0</v>
      </c>
      <c r="AR589" s="408">
        <v>0</v>
      </c>
      <c r="AS589" s="408">
        <v>0</v>
      </c>
      <c r="AT589" s="408">
        <v>0</v>
      </c>
      <c r="AU589" s="408">
        <v>0</v>
      </c>
      <c r="AV589" s="408">
        <v>0</v>
      </c>
      <c r="AW589" s="408">
        <v>0</v>
      </c>
      <c r="AX589" s="408">
        <v>0</v>
      </c>
      <c r="AY589" s="408">
        <v>0</v>
      </c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0</v>
      </c>
      <c r="BF589" s="408">
        <v>0</v>
      </c>
      <c r="BG589" s="408">
        <v>3589.4442082112992</v>
      </c>
      <c r="BH589" s="408">
        <v>0</v>
      </c>
      <c r="BI589" s="408">
        <v>0</v>
      </c>
      <c r="BJ589" s="408">
        <v>0</v>
      </c>
      <c r="BK589" s="408">
        <v>32453.47</v>
      </c>
      <c r="BL589" s="408">
        <v>123</v>
      </c>
      <c r="BM589" s="408"/>
      <c r="BN589" s="408"/>
      <c r="BO589" s="408"/>
      <c r="BP589" s="408"/>
      <c r="BQ589" s="408"/>
      <c r="BR589" s="408"/>
      <c r="BS589" s="408"/>
      <c r="BT589" s="408"/>
      <c r="BU589" s="408"/>
      <c r="BV589" s="408">
        <v>29609.249346669345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69939.38519999999</v>
      </c>
      <c r="CJ589" s="408">
        <v>-32321.008919999993</v>
      </c>
      <c r="CK589" s="408"/>
      <c r="CL589" s="408"/>
      <c r="CM589" s="408"/>
      <c r="CN589" s="408"/>
      <c r="CO589" s="408">
        <v>-32319.622979999996</v>
      </c>
      <c r="CP589" s="408">
        <v>0</v>
      </c>
      <c r="CQ589" s="408">
        <v>30</v>
      </c>
      <c r="CR589" s="408">
        <v>-250.91029969365627</v>
      </c>
      <c r="CS589" s="408">
        <v>0</v>
      </c>
      <c r="CT589" s="408">
        <v>0</v>
      </c>
      <c r="CU589" s="408">
        <v>0</v>
      </c>
      <c r="CV589" s="408">
        <v>0</v>
      </c>
      <c r="CW589" s="408">
        <v>0</v>
      </c>
      <c r="CX589" s="408">
        <v>0</v>
      </c>
      <c r="CY589" s="408">
        <v>0</v>
      </c>
      <c r="CZ589" s="408">
        <v>-32.743583553568897</v>
      </c>
      <c r="DA589" s="408">
        <v>0</v>
      </c>
      <c r="DB589" s="408">
        <v>0</v>
      </c>
      <c r="DC589" s="408">
        <v>-3.6478086258284748E-6</v>
      </c>
      <c r="DD589" s="408">
        <v>0</v>
      </c>
      <c r="DE589" s="408">
        <v>0</v>
      </c>
      <c r="DF589" s="408">
        <v>0</v>
      </c>
      <c r="DG589" s="408">
        <v>-5.0321432354394346E-7</v>
      </c>
      <c r="DH589" s="408">
        <v>0</v>
      </c>
      <c r="DI589" s="408">
        <v>-185.53786204188873</v>
      </c>
      <c r="DJ589" s="408"/>
      <c r="DK589" s="408">
        <v>0</v>
      </c>
      <c r="DL589" s="408">
        <v>0</v>
      </c>
      <c r="DM589" s="408">
        <v>0</v>
      </c>
      <c r="DN589" s="408">
        <v>0</v>
      </c>
      <c r="DO589" s="408">
        <v>-24.778817711983038</v>
      </c>
      <c r="DP589" s="408">
        <v>-7.8500322351943623</v>
      </c>
      <c r="DQ589" s="408">
        <v>0</v>
      </c>
      <c r="DR589" s="408">
        <v>0</v>
      </c>
      <c r="DS589" s="408"/>
      <c r="DT589" s="408"/>
      <c r="DU589" s="408"/>
      <c r="DV589" s="408">
        <v>52301.87233426216</v>
      </c>
      <c r="DW589" s="408">
        <v>0</v>
      </c>
      <c r="DX589" s="408">
        <v>0</v>
      </c>
      <c r="DY589" s="408">
        <v>-32319.62298</v>
      </c>
      <c r="DZ589" s="408">
        <v>0</v>
      </c>
      <c r="EA589" s="408">
        <v>0</v>
      </c>
      <c r="EB589" s="408">
        <v>0</v>
      </c>
      <c r="EC589" s="408">
        <v>-32068.637883533924</v>
      </c>
      <c r="ED589" s="408">
        <v>0</v>
      </c>
      <c r="EE589" s="408">
        <v>0</v>
      </c>
      <c r="EF589" s="408">
        <v>0</v>
      </c>
      <c r="EG589" s="408">
        <v>0</v>
      </c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>
        <v>0</v>
      </c>
      <c r="EN589" s="408">
        <v>0</v>
      </c>
      <c r="EO589" s="408">
        <v>0</v>
      </c>
      <c r="EP589" s="408">
        <v>0</v>
      </c>
      <c r="EQ589" s="408">
        <v>0</v>
      </c>
      <c r="ER589" s="408">
        <v>0</v>
      </c>
      <c r="ES589" s="408">
        <v>0</v>
      </c>
      <c r="ET589" s="408">
        <v>0</v>
      </c>
      <c r="EU589" s="408">
        <v>0</v>
      </c>
      <c r="EV589" s="408">
        <v>265</v>
      </c>
      <c r="EW589" s="408">
        <v>0</v>
      </c>
      <c r="EX589" s="408">
        <v>0</v>
      </c>
      <c r="EY589" s="408">
        <v>0</v>
      </c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596</v>
      </c>
      <c r="B590" s="408" t="s">
        <v>1031</v>
      </c>
      <c r="C590" s="408" t="s">
        <v>2235</v>
      </c>
      <c r="D590" s="408" t="s">
        <v>596</v>
      </c>
      <c r="E590" s="408" t="s">
        <v>993</v>
      </c>
      <c r="F590" s="408" t="s">
        <v>1317</v>
      </c>
      <c r="G590" s="408" t="s">
        <v>1317</v>
      </c>
      <c r="H590" s="408" t="s">
        <v>1317</v>
      </c>
      <c r="I590" s="408" t="s">
        <v>968</v>
      </c>
      <c r="J590" s="408" t="s">
        <v>2228</v>
      </c>
      <c r="K590" s="828">
        <v>44713</v>
      </c>
      <c r="L590" s="408">
        <v>0</v>
      </c>
      <c r="M590" s="408">
        <v>0</v>
      </c>
      <c r="N590" s="408">
        <v>19.905000000000001</v>
      </c>
      <c r="O590" s="408">
        <v>19.905000000000001</v>
      </c>
      <c r="P590" s="408">
        <v>19.905000000000001</v>
      </c>
      <c r="Q590" s="408">
        <v>19.905000000000001</v>
      </c>
      <c r="R590" s="408"/>
      <c r="S590" s="408">
        <v>2641.06</v>
      </c>
      <c r="T590" s="408">
        <v>252.22</v>
      </c>
      <c r="U590" s="408"/>
      <c r="V590" s="408">
        <v>57590.738400000002</v>
      </c>
      <c r="W590" s="408">
        <v>57590.738400000002</v>
      </c>
      <c r="X590" s="408">
        <v>34183.652699999999</v>
      </c>
      <c r="Y590" s="408">
        <v>0</v>
      </c>
      <c r="Z590" s="408">
        <v>1071.1327618523417</v>
      </c>
      <c r="AA590" s="408">
        <v>0</v>
      </c>
      <c r="AB590" s="408">
        <v>0</v>
      </c>
      <c r="AC590" s="408">
        <v>0</v>
      </c>
      <c r="AD590" s="408">
        <v>12893.801946683512</v>
      </c>
      <c r="AE590" s="408">
        <v>38060.158231638277</v>
      </c>
      <c r="AF590" s="408">
        <v>5020.4941866288691</v>
      </c>
      <c r="AG590" s="408">
        <v>0</v>
      </c>
      <c r="AH590" s="408">
        <v>0</v>
      </c>
      <c r="AI590" s="408">
        <v>0</v>
      </c>
      <c r="AJ590" s="408">
        <v>0</v>
      </c>
      <c r="AK590" s="408">
        <v>0</v>
      </c>
      <c r="AL590" s="408">
        <v>190.3122859075055</v>
      </c>
      <c r="AM590" s="408"/>
      <c r="AN590" s="408">
        <v>47.889561669703298</v>
      </c>
      <c r="AO590" s="408">
        <v>0</v>
      </c>
      <c r="AP590" s="408">
        <v>0</v>
      </c>
      <c r="AQ590" s="408">
        <v>0</v>
      </c>
      <c r="AR590" s="408">
        <v>0</v>
      </c>
      <c r="AS590" s="408">
        <v>0</v>
      </c>
      <c r="AT590" s="408">
        <v>0</v>
      </c>
      <c r="AU590" s="408">
        <v>0</v>
      </c>
      <c r="AV590" s="408">
        <v>0</v>
      </c>
      <c r="AW590" s="408">
        <v>0</v>
      </c>
      <c r="AX590" s="408">
        <v>0</v>
      </c>
      <c r="AY590" s="408">
        <v>0</v>
      </c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>
        <v>0</v>
      </c>
      <c r="BG590" s="408">
        <v>306.99165552786246</v>
      </c>
      <c r="BH590" s="408">
        <v>0</v>
      </c>
      <c r="BI590" s="408">
        <v>0</v>
      </c>
      <c r="BJ590" s="408">
        <v>0</v>
      </c>
      <c r="BK590" s="408">
        <v>0</v>
      </c>
      <c r="BL590" s="408">
        <v>0</v>
      </c>
      <c r="BM590" s="408"/>
      <c r="BN590" s="408"/>
      <c r="BO590" s="408"/>
      <c r="BP590" s="408"/>
      <c r="BQ590" s="408"/>
      <c r="BR590" s="408"/>
      <c r="BS590" s="408"/>
      <c r="BT590" s="408"/>
      <c r="BU590" s="408"/>
      <c r="BV590" s="408">
        <v>5327.4858421567315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34192.239399999999</v>
      </c>
      <c r="CJ590" s="408">
        <v>-23398.52900000001</v>
      </c>
      <c r="CK590" s="408"/>
      <c r="CL590" s="408"/>
      <c r="CM590" s="408"/>
      <c r="CN590" s="408"/>
      <c r="CO590" s="408">
        <v>-23407.085700000003</v>
      </c>
      <c r="CP590" s="408">
        <v>0</v>
      </c>
      <c r="CQ590" s="408">
        <v>30</v>
      </c>
      <c r="CR590" s="408">
        <v>-70.61980050436614</v>
      </c>
      <c r="CS590" s="408">
        <v>0</v>
      </c>
      <c r="CT590" s="408">
        <v>0</v>
      </c>
      <c r="CU590" s="408">
        <v>0</v>
      </c>
      <c r="CV590" s="408">
        <v>0</v>
      </c>
      <c r="CW590" s="408">
        <v>0</v>
      </c>
      <c r="CX590" s="408">
        <v>0</v>
      </c>
      <c r="CY590" s="408">
        <v>0</v>
      </c>
      <c r="CZ590" s="408">
        <v>-33.138206456134867</v>
      </c>
      <c r="DA590" s="408">
        <v>0</v>
      </c>
      <c r="DB590" s="408">
        <v>0</v>
      </c>
      <c r="DC590" s="408">
        <v>-7.0384066930273548E-7</v>
      </c>
      <c r="DD590" s="408">
        <v>0</v>
      </c>
      <c r="DE590" s="408">
        <v>0</v>
      </c>
      <c r="DF590" s="408">
        <v>0</v>
      </c>
      <c r="DG590" s="408">
        <v>-4.3038539843109902E-8</v>
      </c>
      <c r="DH590" s="408">
        <v>0</v>
      </c>
      <c r="DI590" s="408">
        <v>-31.145422686949587</v>
      </c>
      <c r="DJ590" s="408"/>
      <c r="DK590" s="408">
        <v>0</v>
      </c>
      <c r="DL590" s="408">
        <v>0</v>
      </c>
      <c r="DM590" s="408">
        <v>0</v>
      </c>
      <c r="DN590" s="408">
        <v>0</v>
      </c>
      <c r="DO590" s="408">
        <v>-4.7810469606737342</v>
      </c>
      <c r="DP590" s="408">
        <v>-1.5551236537267954</v>
      </c>
      <c r="DQ590" s="408">
        <v>0</v>
      </c>
      <c r="DR590" s="408">
        <v>0</v>
      </c>
      <c r="DS590" s="408"/>
      <c r="DT590" s="408"/>
      <c r="DU590" s="408"/>
      <c r="DV590" s="408">
        <v>38060.158231638277</v>
      </c>
      <c r="DW590" s="408">
        <v>0</v>
      </c>
      <c r="DX590" s="408">
        <v>0</v>
      </c>
      <c r="DY590" s="408">
        <v>-23407.0857</v>
      </c>
      <c r="DZ590" s="408">
        <v>0</v>
      </c>
      <c r="EA590" s="408">
        <v>0</v>
      </c>
      <c r="EB590" s="408">
        <v>0</v>
      </c>
      <c r="EC590" s="408">
        <v>-23336.40035522887</v>
      </c>
      <c r="ED590" s="408">
        <v>0</v>
      </c>
      <c r="EE590" s="408">
        <v>0</v>
      </c>
      <c r="EF590" s="408">
        <v>0</v>
      </c>
      <c r="EG590" s="408">
        <v>0</v>
      </c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>
        <v>0</v>
      </c>
      <c r="EN590" s="408">
        <v>0</v>
      </c>
      <c r="EO590" s="408">
        <v>0</v>
      </c>
      <c r="EP590" s="408">
        <v>0</v>
      </c>
      <c r="EQ590" s="408">
        <v>0</v>
      </c>
      <c r="ER590" s="408">
        <v>0</v>
      </c>
      <c r="ES590" s="408">
        <v>0</v>
      </c>
      <c r="ET590" s="408">
        <v>0</v>
      </c>
      <c r="EU590" s="408">
        <v>0</v>
      </c>
      <c r="EV590" s="408">
        <v>265</v>
      </c>
      <c r="EW590" s="408">
        <v>0</v>
      </c>
      <c r="EX590" s="408">
        <v>0</v>
      </c>
      <c r="EY590" s="408">
        <v>0</v>
      </c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597</v>
      </c>
      <c r="B591" s="408" t="s">
        <v>2230</v>
      </c>
      <c r="C591" s="408" t="s">
        <v>2235</v>
      </c>
      <c r="D591" s="408" t="s">
        <v>596</v>
      </c>
      <c r="E591" s="408" t="s">
        <v>993</v>
      </c>
      <c r="F591" s="408" t="s">
        <v>1317</v>
      </c>
      <c r="G591" s="408" t="s">
        <v>1317</v>
      </c>
      <c r="H591" s="408" t="s">
        <v>1317</v>
      </c>
      <c r="I591" s="408" t="s">
        <v>968</v>
      </c>
      <c r="J591" s="408" t="s">
        <v>2228</v>
      </c>
      <c r="K591" s="828">
        <v>44713</v>
      </c>
      <c r="L591" s="408">
        <v>0</v>
      </c>
      <c r="M591" s="408">
        <v>0</v>
      </c>
      <c r="N591" s="408">
        <v>3.4780000000000002</v>
      </c>
      <c r="O591" s="408">
        <v>3.4780000000000002</v>
      </c>
      <c r="P591" s="408">
        <v>3.4780000000000002</v>
      </c>
      <c r="Q591" s="408">
        <v>3.4780000000000002</v>
      </c>
      <c r="R591" s="408"/>
      <c r="S591" s="408">
        <v>2641.06</v>
      </c>
      <c r="T591" s="408">
        <v>252.22</v>
      </c>
      <c r="U591" s="408"/>
      <c r="V591" s="408">
        <v>10062.827840000002</v>
      </c>
      <c r="W591" s="408">
        <v>10062.827840000002</v>
      </c>
      <c r="X591" s="408">
        <v>5972.90852</v>
      </c>
      <c r="Y591" s="408">
        <v>0</v>
      </c>
      <c r="Z591" s="408">
        <v>187.15899250049958</v>
      </c>
      <c r="AA591" s="408">
        <v>0</v>
      </c>
      <c r="AB591" s="408">
        <v>0</v>
      </c>
      <c r="AC591" s="408">
        <v>0</v>
      </c>
      <c r="AD591" s="408">
        <v>2252.9335930954662</v>
      </c>
      <c r="AE591" s="408">
        <v>6650.250204955435</v>
      </c>
      <c r="AF591" s="408">
        <v>877.23078528486349</v>
      </c>
      <c r="AG591" s="408">
        <v>0</v>
      </c>
      <c r="AH591" s="408">
        <v>0</v>
      </c>
      <c r="AI591" s="408">
        <v>0</v>
      </c>
      <c r="AJ591" s="408">
        <v>0</v>
      </c>
      <c r="AK591" s="408">
        <v>0</v>
      </c>
      <c r="AL591" s="408">
        <v>33.253259501949465</v>
      </c>
      <c r="AM591" s="408"/>
      <c r="AN591" s="408">
        <v>8.3677415467082685</v>
      </c>
      <c r="AO591" s="408">
        <v>0</v>
      </c>
      <c r="AP591" s="408">
        <v>0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0</v>
      </c>
      <c r="BF591" s="408">
        <v>0</v>
      </c>
      <c r="BG591" s="408">
        <v>53.640641945536586</v>
      </c>
      <c r="BH591" s="408">
        <v>0</v>
      </c>
      <c r="BI591" s="408">
        <v>0</v>
      </c>
      <c r="BJ591" s="408">
        <v>0</v>
      </c>
      <c r="BK591" s="408">
        <v>0</v>
      </c>
      <c r="BL591" s="408">
        <v>0</v>
      </c>
      <c r="BM591" s="408"/>
      <c r="BN591" s="408"/>
      <c r="BO591" s="408"/>
      <c r="BP591" s="408"/>
      <c r="BQ591" s="408"/>
      <c r="BR591" s="408"/>
      <c r="BS591" s="408"/>
      <c r="BT591" s="408"/>
      <c r="BU591" s="408"/>
      <c r="BV591" s="408">
        <v>930.87142723040006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5976.3431999999993</v>
      </c>
      <c r="CJ591" s="408">
        <v>-4086.5146400000031</v>
      </c>
      <c r="CK591" s="408"/>
      <c r="CL591" s="408"/>
      <c r="CM591" s="408"/>
      <c r="CN591" s="408"/>
      <c r="CO591" s="408">
        <v>-4089.9193200000004</v>
      </c>
      <c r="CP591" s="408">
        <v>0</v>
      </c>
      <c r="CQ591" s="408">
        <v>30</v>
      </c>
      <c r="CR591" s="408">
        <v>-12.339395436030372</v>
      </c>
      <c r="CS591" s="408">
        <v>0</v>
      </c>
      <c r="CT591" s="408">
        <v>0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-5.7902377319487641</v>
      </c>
      <c r="DA591" s="408">
        <v>0</v>
      </c>
      <c r="DB591" s="408">
        <v>0</v>
      </c>
      <c r="DC591" s="408">
        <v>-1.229821009474108E-7</v>
      </c>
      <c r="DD591" s="408">
        <v>0</v>
      </c>
      <c r="DE591" s="408">
        <v>0</v>
      </c>
      <c r="DF591" s="408">
        <v>0</v>
      </c>
      <c r="DG591" s="408">
        <v>-7.5201285199000267E-9</v>
      </c>
      <c r="DH591" s="408">
        <v>0</v>
      </c>
      <c r="DI591" s="408">
        <v>-5.4420386890334385</v>
      </c>
      <c r="DJ591" s="408"/>
      <c r="DK591" s="408">
        <v>0</v>
      </c>
      <c r="DL591" s="408">
        <v>0</v>
      </c>
      <c r="DM591" s="408">
        <v>0</v>
      </c>
      <c r="DN591" s="408">
        <v>0</v>
      </c>
      <c r="DO591" s="408">
        <v>-0.83539217931289755</v>
      </c>
      <c r="DP591" s="408">
        <v>-0.27172670523294684</v>
      </c>
      <c r="DQ591" s="408">
        <v>0</v>
      </c>
      <c r="DR591" s="408">
        <v>0</v>
      </c>
      <c r="DS591" s="408"/>
      <c r="DT591" s="408"/>
      <c r="DU591" s="408"/>
      <c r="DV591" s="408">
        <v>6650.250204955435</v>
      </c>
      <c r="DW591" s="408">
        <v>0</v>
      </c>
      <c r="DX591" s="408">
        <v>0</v>
      </c>
      <c r="DY591" s="408">
        <v>-4089.9193200000009</v>
      </c>
      <c r="DZ591" s="408">
        <v>0</v>
      </c>
      <c r="EA591" s="408">
        <v>0</v>
      </c>
      <c r="EB591" s="408">
        <v>0</v>
      </c>
      <c r="EC591" s="408">
        <v>-4077.5684720163786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0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265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598</v>
      </c>
      <c r="B592" s="408" t="s">
        <v>1031</v>
      </c>
      <c r="C592" s="408" t="s">
        <v>2235</v>
      </c>
      <c r="D592" s="408" t="s">
        <v>596</v>
      </c>
      <c r="E592" s="408" t="s">
        <v>993</v>
      </c>
      <c r="F592" s="408" t="s">
        <v>1317</v>
      </c>
      <c r="G592" s="408" t="s">
        <v>1317</v>
      </c>
      <c r="H592" s="408" t="s">
        <v>1317</v>
      </c>
      <c r="I592" s="408" t="s">
        <v>2236</v>
      </c>
      <c r="J592" s="408" t="s">
        <v>2228</v>
      </c>
      <c r="K592" s="828">
        <v>44713</v>
      </c>
      <c r="L592" s="408">
        <v>0</v>
      </c>
      <c r="M592" s="408">
        <v>0</v>
      </c>
      <c r="N592" s="408">
        <v>431.22199999999998</v>
      </c>
      <c r="O592" s="408">
        <v>431.22199999999998</v>
      </c>
      <c r="P592" s="408">
        <v>431.22199999999998</v>
      </c>
      <c r="Q592" s="408">
        <v>431.22199999999998</v>
      </c>
      <c r="R592" s="408"/>
      <c r="S592" s="408">
        <v>81.2</v>
      </c>
      <c r="T592" s="408">
        <v>252.22</v>
      </c>
      <c r="U592" s="408"/>
      <c r="V592" s="408">
        <v>143778.03924000001</v>
      </c>
      <c r="W592" s="408">
        <v>143778.03924000001</v>
      </c>
      <c r="X592" s="408">
        <v>142967.34187999999</v>
      </c>
      <c r="Y592" s="408">
        <v>0</v>
      </c>
      <c r="Z592" s="408">
        <v>23205.024457748827</v>
      </c>
      <c r="AA592" s="408">
        <v>0</v>
      </c>
      <c r="AB592" s="408">
        <v>0</v>
      </c>
      <c r="AC592" s="408">
        <v>0</v>
      </c>
      <c r="AD592" s="408">
        <v>0</v>
      </c>
      <c r="AE592" s="408">
        <v>0</v>
      </c>
      <c r="AF592" s="408">
        <v>108764.00623694921</v>
      </c>
      <c r="AG592" s="408">
        <v>0</v>
      </c>
      <c r="AH592" s="408">
        <v>0</v>
      </c>
      <c r="AI592" s="408">
        <v>0</v>
      </c>
      <c r="AJ592" s="408">
        <v>0</v>
      </c>
      <c r="AK592" s="408">
        <v>0</v>
      </c>
      <c r="AL592" s="408">
        <v>4122.9261267825332</v>
      </c>
      <c r="AM592" s="408"/>
      <c r="AN592" s="408">
        <v>1037.4796564849432</v>
      </c>
      <c r="AO592" s="408">
        <v>0</v>
      </c>
      <c r="AP592" s="408">
        <v>0</v>
      </c>
      <c r="AQ592" s="408">
        <v>0</v>
      </c>
      <c r="AR592" s="408">
        <v>0</v>
      </c>
      <c r="AS592" s="408">
        <v>0</v>
      </c>
      <c r="AT592" s="408">
        <v>0</v>
      </c>
      <c r="AU592" s="408">
        <v>0</v>
      </c>
      <c r="AV592" s="408">
        <v>0</v>
      </c>
      <c r="AW592" s="408">
        <v>0</v>
      </c>
      <c r="AX592" s="408">
        <v>0</v>
      </c>
      <c r="AY592" s="408">
        <v>0</v>
      </c>
      <c r="AZ592" s="408">
        <v>0</v>
      </c>
      <c r="BA592" s="408"/>
      <c r="BB592" s="408">
        <v>0</v>
      </c>
      <c r="BC592" s="408">
        <v>0</v>
      </c>
      <c r="BD592" s="408">
        <v>0</v>
      </c>
      <c r="BE592" s="408">
        <v>0</v>
      </c>
      <c r="BF592" s="408">
        <v>0</v>
      </c>
      <c r="BG592" s="408">
        <v>6650.6684591829144</v>
      </c>
      <c r="BH592" s="408">
        <v>0</v>
      </c>
      <c r="BI592" s="408">
        <v>0</v>
      </c>
      <c r="BJ592" s="408">
        <v>0</v>
      </c>
      <c r="BK592" s="408">
        <v>0</v>
      </c>
      <c r="BL592" s="408">
        <v>0</v>
      </c>
      <c r="BM592" s="408"/>
      <c r="BN592" s="408"/>
      <c r="BO592" s="408"/>
      <c r="BP592" s="408"/>
      <c r="BQ592" s="408"/>
      <c r="BR592" s="408"/>
      <c r="BS592" s="408"/>
      <c r="BT592" s="408"/>
      <c r="BU592" s="408"/>
      <c r="BV592" s="408">
        <v>115414.67469613212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142966.67879999999</v>
      </c>
      <c r="CJ592" s="408">
        <v>-811.39044000001741</v>
      </c>
      <c r="CK592" s="408"/>
      <c r="CL592" s="408"/>
      <c r="CM592" s="408"/>
      <c r="CN592" s="408"/>
      <c r="CO592" s="408">
        <v>-810.6973600000041</v>
      </c>
      <c r="CP592" s="408">
        <v>0</v>
      </c>
      <c r="CQ592" s="408">
        <v>30</v>
      </c>
      <c r="CR592" s="408">
        <v>-812.00140410277527</v>
      </c>
      <c r="CS592" s="408">
        <v>0</v>
      </c>
      <c r="CT592" s="408">
        <v>0</v>
      </c>
      <c r="CU592" s="408">
        <v>0</v>
      </c>
      <c r="CV592" s="408">
        <v>0</v>
      </c>
      <c r="CW592" s="408">
        <v>0</v>
      </c>
      <c r="CX592" s="408">
        <v>0</v>
      </c>
      <c r="CY592" s="408">
        <v>0</v>
      </c>
      <c r="CZ592" s="408">
        <v>0</v>
      </c>
      <c r="DA592" s="408">
        <v>0</v>
      </c>
      <c r="DB592" s="408">
        <v>0</v>
      </c>
      <c r="DC592" s="408">
        <v>-1.5248020645231009E-5</v>
      </c>
      <c r="DD592" s="408">
        <v>0</v>
      </c>
      <c r="DE592" s="408">
        <v>0</v>
      </c>
      <c r="DF592" s="408">
        <v>0</v>
      </c>
      <c r="DG592" s="408">
        <v>-9.3238850240595639E-7</v>
      </c>
      <c r="DH592" s="408">
        <v>0</v>
      </c>
      <c r="DI592" s="408">
        <v>-674.73456226635244</v>
      </c>
      <c r="DJ592" s="408"/>
      <c r="DK592" s="408">
        <v>0</v>
      </c>
      <c r="DL592" s="408">
        <v>0</v>
      </c>
      <c r="DM592" s="408">
        <v>0</v>
      </c>
      <c r="DN592" s="408">
        <v>0</v>
      </c>
      <c r="DO592" s="408">
        <v>-103.57662057149673</v>
      </c>
      <c r="DP592" s="408">
        <v>-33.690205084520358</v>
      </c>
      <c r="DQ592" s="408">
        <v>0</v>
      </c>
      <c r="DR592" s="408">
        <v>0</v>
      </c>
      <c r="DS592" s="408"/>
      <c r="DT592" s="408"/>
      <c r="DU592" s="408"/>
      <c r="DV592" s="408">
        <v>0</v>
      </c>
      <c r="DW592" s="408">
        <v>0</v>
      </c>
      <c r="DX592" s="408">
        <v>0</v>
      </c>
      <c r="DY592" s="408">
        <v>-810.69736000000557</v>
      </c>
      <c r="DZ592" s="408">
        <v>0</v>
      </c>
      <c r="EA592" s="408">
        <v>0</v>
      </c>
      <c r="EB592" s="408">
        <v>0</v>
      </c>
      <c r="EC592" s="408">
        <v>0</v>
      </c>
      <c r="ED592" s="408">
        <v>0</v>
      </c>
      <c r="EE592" s="408">
        <v>0</v>
      </c>
      <c r="EF592" s="408">
        <v>0</v>
      </c>
      <c r="EG592" s="408">
        <v>0</v>
      </c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>
        <v>0</v>
      </c>
      <c r="EN592" s="408">
        <v>0</v>
      </c>
      <c r="EO592" s="408">
        <v>0</v>
      </c>
      <c r="EP592" s="408">
        <v>0</v>
      </c>
      <c r="EQ592" s="408">
        <v>0</v>
      </c>
      <c r="ER592" s="408">
        <v>0</v>
      </c>
      <c r="ES592" s="408">
        <v>0</v>
      </c>
      <c r="ET592" s="408">
        <v>0</v>
      </c>
      <c r="EU592" s="408">
        <v>0</v>
      </c>
      <c r="EV592" s="408">
        <v>265</v>
      </c>
      <c r="EW592" s="408">
        <v>0</v>
      </c>
      <c r="EX592" s="408">
        <v>0</v>
      </c>
      <c r="EY592" s="408">
        <v>0</v>
      </c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599</v>
      </c>
      <c r="B593" s="408" t="s">
        <v>2230</v>
      </c>
      <c r="C593" s="408" t="s">
        <v>2235</v>
      </c>
      <c r="D593" s="408" t="s">
        <v>596</v>
      </c>
      <c r="E593" s="408" t="s">
        <v>993</v>
      </c>
      <c r="F593" s="408" t="s">
        <v>1317</v>
      </c>
      <c r="G593" s="408" t="s">
        <v>1317</v>
      </c>
      <c r="H593" s="408" t="s">
        <v>1317</v>
      </c>
      <c r="I593" s="408" t="s">
        <v>2236</v>
      </c>
      <c r="J593" s="408" t="s">
        <v>2228</v>
      </c>
      <c r="K593" s="828">
        <v>44713</v>
      </c>
      <c r="L593" s="408">
        <v>0</v>
      </c>
      <c r="M593" s="408">
        <v>0</v>
      </c>
      <c r="N593" s="408">
        <v>28.091999999999999</v>
      </c>
      <c r="O593" s="408">
        <v>28.091999999999999</v>
      </c>
      <c r="P593" s="408">
        <v>28.091999999999999</v>
      </c>
      <c r="Q593" s="408">
        <v>28.091999999999999</v>
      </c>
      <c r="R593" s="408"/>
      <c r="S593" s="408">
        <v>81.2</v>
      </c>
      <c r="T593" s="408">
        <v>252.22</v>
      </c>
      <c r="U593" s="408"/>
      <c r="V593" s="408">
        <v>9366.4346399999995</v>
      </c>
      <c r="W593" s="408">
        <v>9366.4346399999995</v>
      </c>
      <c r="X593" s="408">
        <v>9313.6216800000002</v>
      </c>
      <c r="Y593" s="408">
        <v>0</v>
      </c>
      <c r="Z593" s="408">
        <v>1511.6936220023099</v>
      </c>
      <c r="AA593" s="408">
        <v>0</v>
      </c>
      <c r="AB593" s="408">
        <v>0</v>
      </c>
      <c r="AC593" s="408">
        <v>0</v>
      </c>
      <c r="AD593" s="408">
        <v>0</v>
      </c>
      <c r="AE593" s="408">
        <v>0</v>
      </c>
      <c r="AF593" s="408">
        <v>7085.4419839627317</v>
      </c>
      <c r="AG593" s="408">
        <v>0</v>
      </c>
      <c r="AH593" s="408">
        <v>0</v>
      </c>
      <c r="AI593" s="408">
        <v>0</v>
      </c>
      <c r="AJ593" s="408">
        <v>0</v>
      </c>
      <c r="AK593" s="408">
        <v>0</v>
      </c>
      <c r="AL593" s="408">
        <v>268.58843183690749</v>
      </c>
      <c r="AM593" s="408"/>
      <c r="AN593" s="408">
        <v>67.58671521855338</v>
      </c>
      <c r="AO593" s="408">
        <v>0</v>
      </c>
      <c r="AP593" s="408">
        <v>0</v>
      </c>
      <c r="AQ593" s="408">
        <v>0</v>
      </c>
      <c r="AR593" s="408">
        <v>0</v>
      </c>
      <c r="AS593" s="408">
        <v>0</v>
      </c>
      <c r="AT593" s="408">
        <v>0</v>
      </c>
      <c r="AU593" s="408">
        <v>0</v>
      </c>
      <c r="AV593" s="408">
        <v>0</v>
      </c>
      <c r="AW593" s="408">
        <v>0</v>
      </c>
      <c r="AX593" s="408">
        <v>0</v>
      </c>
      <c r="AY593" s="408">
        <v>0</v>
      </c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>
        <v>0</v>
      </c>
      <c r="BG593" s="408">
        <v>433.2584570253058</v>
      </c>
      <c r="BH593" s="408">
        <v>0</v>
      </c>
      <c r="BI593" s="408">
        <v>0</v>
      </c>
      <c r="BJ593" s="408">
        <v>0</v>
      </c>
      <c r="BK593" s="408">
        <v>0</v>
      </c>
      <c r="BL593" s="408">
        <v>0</v>
      </c>
      <c r="BM593" s="408"/>
      <c r="BN593" s="408"/>
      <c r="BO593" s="408"/>
      <c r="BP593" s="408"/>
      <c r="BQ593" s="408"/>
      <c r="BR593" s="408"/>
      <c r="BS593" s="408"/>
      <c r="BT593" s="408"/>
      <c r="BU593" s="408"/>
      <c r="BV593" s="408">
        <v>7518.7004409880374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9312.9585999999999</v>
      </c>
      <c r="CJ593" s="408">
        <v>-53.506040000000212</v>
      </c>
      <c r="CK593" s="408"/>
      <c r="CL593" s="408"/>
      <c r="CM593" s="408"/>
      <c r="CN593" s="408"/>
      <c r="CO593" s="408">
        <v>-52.812960000000267</v>
      </c>
      <c r="CP593" s="408">
        <v>0</v>
      </c>
      <c r="CQ593" s="408">
        <v>30</v>
      </c>
      <c r="CR593" s="408">
        <v>-52.897912082535186</v>
      </c>
      <c r="CS593" s="408">
        <v>0</v>
      </c>
      <c r="CT593" s="408">
        <v>0</v>
      </c>
      <c r="CU593" s="408">
        <v>0</v>
      </c>
      <c r="CV593" s="408">
        <v>0</v>
      </c>
      <c r="CW593" s="408">
        <v>0</v>
      </c>
      <c r="CX593" s="408">
        <v>0</v>
      </c>
      <c r="CY593" s="408">
        <v>0</v>
      </c>
      <c r="CZ593" s="408">
        <v>0</v>
      </c>
      <c r="DA593" s="408">
        <v>0</v>
      </c>
      <c r="DB593" s="408">
        <v>0</v>
      </c>
      <c r="DC593" s="408">
        <v>-9.9333283287705854E-7</v>
      </c>
      <c r="DD593" s="408">
        <v>0</v>
      </c>
      <c r="DE593" s="408">
        <v>0</v>
      </c>
      <c r="DF593" s="408">
        <v>0</v>
      </c>
      <c r="DG593" s="408">
        <v>-6.0740489971067291E-8</v>
      </c>
      <c r="DH593" s="408">
        <v>0</v>
      </c>
      <c r="DI593" s="408">
        <v>-43.955650043797505</v>
      </c>
      <c r="DJ593" s="408"/>
      <c r="DK593" s="408">
        <v>0</v>
      </c>
      <c r="DL593" s="408">
        <v>0</v>
      </c>
      <c r="DM593" s="408">
        <v>0</v>
      </c>
      <c r="DN593" s="408">
        <v>0</v>
      </c>
      <c r="DO593" s="408">
        <v>-6.7475092298038817</v>
      </c>
      <c r="DP593" s="408">
        <v>-2.1947517548602491</v>
      </c>
      <c r="DQ593" s="408">
        <v>0</v>
      </c>
      <c r="DR593" s="408">
        <v>0</v>
      </c>
      <c r="DS593" s="408"/>
      <c r="DT593" s="408"/>
      <c r="DU593" s="408"/>
      <c r="DV593" s="408">
        <v>0</v>
      </c>
      <c r="DW593" s="408">
        <v>0</v>
      </c>
      <c r="DX593" s="408">
        <v>0</v>
      </c>
      <c r="DY593" s="408">
        <v>-52.812960000000203</v>
      </c>
      <c r="DZ593" s="408">
        <v>0</v>
      </c>
      <c r="EA593" s="408">
        <v>0</v>
      </c>
      <c r="EB593" s="408">
        <v>0</v>
      </c>
      <c r="EC593" s="408">
        <v>0</v>
      </c>
      <c r="ED593" s="408">
        <v>0</v>
      </c>
      <c r="EE593" s="408">
        <v>0</v>
      </c>
      <c r="EF593" s="408">
        <v>0</v>
      </c>
      <c r="EG593" s="408">
        <v>0</v>
      </c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>
        <v>0</v>
      </c>
      <c r="EN593" s="408">
        <v>0</v>
      </c>
      <c r="EO593" s="408">
        <v>0</v>
      </c>
      <c r="EP593" s="408">
        <v>0</v>
      </c>
      <c r="EQ593" s="408">
        <v>0</v>
      </c>
      <c r="ER593" s="408">
        <v>0</v>
      </c>
      <c r="ES593" s="408">
        <v>0</v>
      </c>
      <c r="ET593" s="408">
        <v>0</v>
      </c>
      <c r="EU593" s="408">
        <v>0</v>
      </c>
      <c r="EV593" s="408">
        <v>265</v>
      </c>
      <c r="EW593" s="408">
        <v>0</v>
      </c>
      <c r="EX593" s="408">
        <v>0</v>
      </c>
      <c r="EY593" s="408">
        <v>0</v>
      </c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600</v>
      </c>
      <c r="B594" s="408" t="s">
        <v>1031</v>
      </c>
      <c r="C594" s="408" t="s">
        <v>2235</v>
      </c>
      <c r="D594" s="408" t="s">
        <v>596</v>
      </c>
      <c r="E594" s="408" t="s">
        <v>993</v>
      </c>
      <c r="F594" s="408" t="s">
        <v>1317</v>
      </c>
      <c r="G594" s="408" t="s">
        <v>1317</v>
      </c>
      <c r="H594" s="408" t="s">
        <v>1317</v>
      </c>
      <c r="I594" s="408" t="s">
        <v>1317</v>
      </c>
      <c r="J594" s="408" t="s">
        <v>2228</v>
      </c>
      <c r="K594" s="828">
        <v>44713</v>
      </c>
      <c r="L594" s="408">
        <v>3242</v>
      </c>
      <c r="M594" s="408">
        <v>3242</v>
      </c>
      <c r="N594" s="408">
        <v>0</v>
      </c>
      <c r="O594" s="408">
        <v>0</v>
      </c>
      <c r="P594" s="408">
        <v>0</v>
      </c>
      <c r="Q594" s="408">
        <v>0</v>
      </c>
      <c r="R594" s="408">
        <v>74.44</v>
      </c>
      <c r="S594" s="408"/>
      <c r="T594" s="408"/>
      <c r="U594" s="408">
        <v>241334.47999999998</v>
      </c>
      <c r="V594" s="408"/>
      <c r="W594" s="408">
        <v>241334.47999999998</v>
      </c>
      <c r="X594" s="408">
        <v>147251.64000000001</v>
      </c>
      <c r="Y594" s="408">
        <v>0</v>
      </c>
      <c r="Z594" s="408">
        <v>0</v>
      </c>
      <c r="AA594" s="408">
        <v>0</v>
      </c>
      <c r="AB594" s="408">
        <v>0</v>
      </c>
      <c r="AC594" s="408">
        <v>0</v>
      </c>
      <c r="AD594" s="408">
        <v>88237.813983724744</v>
      </c>
      <c r="AE594" s="408">
        <v>153092.22598260574</v>
      </c>
      <c r="AF594" s="408"/>
      <c r="AG594" s="408"/>
      <c r="AH594" s="408"/>
      <c r="AI594" s="408">
        <v>0</v>
      </c>
      <c r="AJ594" s="408">
        <v>0</v>
      </c>
      <c r="AK594" s="408">
        <v>0</v>
      </c>
      <c r="AL594" s="408">
        <v>0</v>
      </c>
      <c r="AM594" s="408"/>
      <c r="AN594" s="408">
        <v>0</v>
      </c>
      <c r="AO594" s="408">
        <v>0</v>
      </c>
      <c r="AP594" s="408">
        <v>0</v>
      </c>
      <c r="AQ594" s="408">
        <v>0</v>
      </c>
      <c r="AR594" s="408">
        <v>0</v>
      </c>
      <c r="AS594" s="408"/>
      <c r="AT594" s="408"/>
      <c r="AU594" s="408">
        <v>0</v>
      </c>
      <c r="AV594" s="408">
        <v>0</v>
      </c>
      <c r="AW594" s="408">
        <v>0</v>
      </c>
      <c r="AX594" s="408"/>
      <c r="AY594" s="408"/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0</v>
      </c>
      <c r="BF594" s="408"/>
      <c r="BG594" s="408">
        <v>0</v>
      </c>
      <c r="BH594" s="408">
        <v>0</v>
      </c>
      <c r="BI594" s="408">
        <v>0</v>
      </c>
      <c r="BJ594" s="408">
        <v>0</v>
      </c>
      <c r="BK594" s="408">
        <v>115916.05</v>
      </c>
      <c r="BL594" s="408">
        <v>14</v>
      </c>
      <c r="BM594" s="408"/>
      <c r="BN594" s="408"/>
      <c r="BO594" s="408"/>
      <c r="BP594" s="408"/>
      <c r="BQ594" s="408"/>
      <c r="BR594" s="408"/>
      <c r="BS594" s="408"/>
      <c r="BT594" s="408"/>
      <c r="BU594" s="408"/>
      <c r="BV594" s="408">
        <v>0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147251.64000000001</v>
      </c>
      <c r="CJ594" s="408">
        <v>-94082.87</v>
      </c>
      <c r="CK594" s="408"/>
      <c r="CL594" s="408"/>
      <c r="CM594" s="408"/>
      <c r="CN594" s="408"/>
      <c r="CO594" s="408">
        <v>-94082.839999999982</v>
      </c>
      <c r="CP594" s="408">
        <v>0</v>
      </c>
      <c r="CQ594" s="408">
        <v>30</v>
      </c>
      <c r="CR594" s="408">
        <v>-226.77895233084564</v>
      </c>
      <c r="CS594" s="408">
        <v>0</v>
      </c>
      <c r="CT594" s="408">
        <v>0</v>
      </c>
      <c r="CU594" s="408">
        <v>0</v>
      </c>
      <c r="CV594" s="408">
        <v>0</v>
      </c>
      <c r="CW594" s="408"/>
      <c r="CX594" s="408"/>
      <c r="CY594" s="408"/>
      <c r="CZ594" s="408">
        <v>-226.77895233084564</v>
      </c>
      <c r="DA594" s="408">
        <v>0</v>
      </c>
      <c r="DB594" s="408">
        <v>0</v>
      </c>
      <c r="DC594" s="408"/>
      <c r="DD594" s="408"/>
      <c r="DE594" s="408">
        <v>0</v>
      </c>
      <c r="DF594" s="408">
        <v>0</v>
      </c>
      <c r="DG594" s="408">
        <v>0</v>
      </c>
      <c r="DH594" s="408">
        <v>0</v>
      </c>
      <c r="DI594" s="408">
        <v>0</v>
      </c>
      <c r="DJ594" s="408"/>
      <c r="DK594" s="408">
        <v>0</v>
      </c>
      <c r="DL594" s="408">
        <v>0</v>
      </c>
      <c r="DM594" s="408"/>
      <c r="DN594" s="408">
        <v>0</v>
      </c>
      <c r="DO594" s="408">
        <v>0</v>
      </c>
      <c r="DP594" s="408">
        <v>0</v>
      </c>
      <c r="DQ594" s="408">
        <v>0</v>
      </c>
      <c r="DR594" s="408">
        <v>0</v>
      </c>
      <c r="DS594" s="408"/>
      <c r="DT594" s="408"/>
      <c r="DU594" s="408">
        <v>153092.22598260574</v>
      </c>
      <c r="DV594" s="408"/>
      <c r="DW594" s="408">
        <v>0</v>
      </c>
      <c r="DX594" s="408">
        <v>0</v>
      </c>
      <c r="DY594" s="408">
        <v>-94082.839999999967</v>
      </c>
      <c r="DZ594" s="408"/>
      <c r="EA594" s="408">
        <v>0</v>
      </c>
      <c r="EB594" s="408"/>
      <c r="EC594" s="408">
        <v>-93867.751549005668</v>
      </c>
      <c r="ED594" s="408"/>
      <c r="EE594" s="408">
        <v>0</v>
      </c>
      <c r="EF594" s="408">
        <v>0</v>
      </c>
      <c r="EG594" s="408"/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/>
      <c r="EN594" s="408"/>
      <c r="EO594" s="408">
        <v>0</v>
      </c>
      <c r="EP594" s="408">
        <v>0</v>
      </c>
      <c r="EQ594" s="408"/>
      <c r="ER594" s="408">
        <v>0</v>
      </c>
      <c r="ES594" s="408"/>
      <c r="ET594" s="408">
        <v>0</v>
      </c>
      <c r="EU594" s="408"/>
      <c r="EV594" s="408">
        <v>265</v>
      </c>
      <c r="EW594" s="408"/>
      <c r="EX594" s="408"/>
      <c r="EY594" s="408"/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601</v>
      </c>
      <c r="B595" s="408" t="s">
        <v>2229</v>
      </c>
      <c r="C595" s="408" t="s">
        <v>2235</v>
      </c>
      <c r="D595" s="408" t="s">
        <v>596</v>
      </c>
      <c r="E595" s="408" t="s">
        <v>993</v>
      </c>
      <c r="F595" s="408" t="s">
        <v>1317</v>
      </c>
      <c r="G595" s="408" t="s">
        <v>1317</v>
      </c>
      <c r="H595" s="408" t="s">
        <v>1317</v>
      </c>
      <c r="I595" s="408" t="s">
        <v>1317</v>
      </c>
      <c r="J595" s="408" t="s">
        <v>2228</v>
      </c>
      <c r="K595" s="828">
        <v>44713</v>
      </c>
      <c r="L595" s="408">
        <v>-739</v>
      </c>
      <c r="M595" s="408">
        <v>-739</v>
      </c>
      <c r="N595" s="408">
        <v>0</v>
      </c>
      <c r="O595" s="408">
        <v>0</v>
      </c>
      <c r="P595" s="408">
        <v>0</v>
      </c>
      <c r="Q595" s="408">
        <v>0</v>
      </c>
      <c r="R595" s="408">
        <v>74.44</v>
      </c>
      <c r="S595" s="408"/>
      <c r="T595" s="408"/>
      <c r="U595" s="408">
        <v>-55011.159999999996</v>
      </c>
      <c r="V595" s="408"/>
      <c r="W595" s="408">
        <v>-55011.159999999996</v>
      </c>
      <c r="X595" s="408">
        <v>-33565.380000000005</v>
      </c>
      <c r="Y595" s="408">
        <v>0</v>
      </c>
      <c r="Z595" s="408">
        <v>0</v>
      </c>
      <c r="AA595" s="408">
        <v>0</v>
      </c>
      <c r="AB595" s="408">
        <v>0</v>
      </c>
      <c r="AC595" s="408">
        <v>0</v>
      </c>
      <c r="AD595" s="408">
        <v>-20113.43138000388</v>
      </c>
      <c r="AE595" s="408">
        <v>-34896.716533357692</v>
      </c>
      <c r="AF595" s="408"/>
      <c r="AG595" s="408"/>
      <c r="AH595" s="408"/>
      <c r="AI595" s="408">
        <v>0</v>
      </c>
      <c r="AJ595" s="408">
        <v>0</v>
      </c>
      <c r="AK595" s="408">
        <v>0</v>
      </c>
      <c r="AL595" s="408">
        <v>0</v>
      </c>
      <c r="AM595" s="408"/>
      <c r="AN595" s="408">
        <v>0</v>
      </c>
      <c r="AO595" s="408">
        <v>0</v>
      </c>
      <c r="AP595" s="408">
        <v>0</v>
      </c>
      <c r="AQ595" s="408">
        <v>0</v>
      </c>
      <c r="AR595" s="408">
        <v>0</v>
      </c>
      <c r="AS595" s="408"/>
      <c r="AT595" s="408"/>
      <c r="AU595" s="408">
        <v>0</v>
      </c>
      <c r="AV595" s="408">
        <v>0</v>
      </c>
      <c r="AW595" s="408">
        <v>0</v>
      </c>
      <c r="AX595" s="408"/>
      <c r="AY595" s="408"/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/>
      <c r="BG595" s="408">
        <v>0</v>
      </c>
      <c r="BH595" s="408">
        <v>0</v>
      </c>
      <c r="BI595" s="408">
        <v>0</v>
      </c>
      <c r="BJ595" s="408">
        <v>0</v>
      </c>
      <c r="BK595" s="408">
        <v>-11188.46</v>
      </c>
      <c r="BL595" s="408">
        <v>0</v>
      </c>
      <c r="BM595" s="408"/>
      <c r="BN595" s="408"/>
      <c r="BO595" s="408"/>
      <c r="BP595" s="408"/>
      <c r="BQ595" s="408"/>
      <c r="BR595" s="408"/>
      <c r="BS595" s="408"/>
      <c r="BT595" s="408"/>
      <c r="BU595" s="408"/>
      <c r="BV595" s="408">
        <v>0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-33565.380000000005</v>
      </c>
      <c r="CJ595" s="408">
        <v>21445.749999999985</v>
      </c>
      <c r="CK595" s="408"/>
      <c r="CL595" s="408"/>
      <c r="CM595" s="408"/>
      <c r="CN595" s="408"/>
      <c r="CO595" s="408">
        <v>21445.78</v>
      </c>
      <c r="CP595" s="408">
        <v>0</v>
      </c>
      <c r="CQ595" s="408">
        <v>30</v>
      </c>
      <c r="CR595" s="408">
        <v>51.693289874299808</v>
      </c>
      <c r="CS595" s="408">
        <v>0</v>
      </c>
      <c r="CT595" s="408">
        <v>0</v>
      </c>
      <c r="CU595" s="408">
        <v>0</v>
      </c>
      <c r="CV595" s="408">
        <v>0</v>
      </c>
      <c r="CW595" s="408"/>
      <c r="CX595" s="408"/>
      <c r="CY595" s="408"/>
      <c r="CZ595" s="408">
        <v>51.693289874299808</v>
      </c>
      <c r="DA595" s="408">
        <v>0</v>
      </c>
      <c r="DB595" s="408">
        <v>0</v>
      </c>
      <c r="DC595" s="408"/>
      <c r="DD595" s="408"/>
      <c r="DE595" s="408">
        <v>0</v>
      </c>
      <c r="DF595" s="408">
        <v>0</v>
      </c>
      <c r="DG595" s="408">
        <v>0</v>
      </c>
      <c r="DH595" s="408">
        <v>0</v>
      </c>
      <c r="DI595" s="408">
        <v>0</v>
      </c>
      <c r="DJ595" s="408"/>
      <c r="DK595" s="408">
        <v>0</v>
      </c>
      <c r="DL595" s="408">
        <v>0</v>
      </c>
      <c r="DM595" s="408"/>
      <c r="DN595" s="408">
        <v>0</v>
      </c>
      <c r="DO595" s="408">
        <v>0</v>
      </c>
      <c r="DP595" s="408">
        <v>0</v>
      </c>
      <c r="DQ595" s="408">
        <v>0</v>
      </c>
      <c r="DR595" s="408">
        <v>0</v>
      </c>
      <c r="DS595" s="408"/>
      <c r="DT595" s="408"/>
      <c r="DU595" s="408">
        <v>-34896.716533357692</v>
      </c>
      <c r="DV595" s="408"/>
      <c r="DW595" s="408">
        <v>0</v>
      </c>
      <c r="DX595" s="408">
        <v>0</v>
      </c>
      <c r="DY595" s="408">
        <v>21445.779999999992</v>
      </c>
      <c r="DZ595" s="408"/>
      <c r="EA595" s="408">
        <v>0</v>
      </c>
      <c r="EB595" s="408"/>
      <c r="EC595" s="408">
        <v>21396.751509782596</v>
      </c>
      <c r="ED595" s="408"/>
      <c r="EE595" s="408">
        <v>0</v>
      </c>
      <c r="EF595" s="408">
        <v>0</v>
      </c>
      <c r="EG595" s="408"/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/>
      <c r="EN595" s="408"/>
      <c r="EO595" s="408">
        <v>0</v>
      </c>
      <c r="EP595" s="408">
        <v>0</v>
      </c>
      <c r="EQ595" s="408"/>
      <c r="ER595" s="408">
        <v>0</v>
      </c>
      <c r="ES595" s="408"/>
      <c r="ET595" s="408">
        <v>0</v>
      </c>
      <c r="EU595" s="408"/>
      <c r="EV595" s="408">
        <v>265</v>
      </c>
      <c r="EW595" s="408"/>
      <c r="EX595" s="408"/>
      <c r="EY595" s="408"/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602</v>
      </c>
      <c r="B596" s="408" t="s">
        <v>2230</v>
      </c>
      <c r="C596" s="408" t="s">
        <v>2235</v>
      </c>
      <c r="D596" s="408" t="s">
        <v>596</v>
      </c>
      <c r="E596" s="408" t="s">
        <v>993</v>
      </c>
      <c r="F596" s="408" t="s">
        <v>1317</v>
      </c>
      <c r="G596" s="408" t="s">
        <v>1317</v>
      </c>
      <c r="H596" s="408" t="s">
        <v>1317</v>
      </c>
      <c r="I596" s="408" t="s">
        <v>1317</v>
      </c>
      <c r="J596" s="408" t="s">
        <v>2228</v>
      </c>
      <c r="K596" s="828">
        <v>44713</v>
      </c>
      <c r="L596" s="408">
        <v>280</v>
      </c>
      <c r="M596" s="408">
        <v>280</v>
      </c>
      <c r="N596" s="408">
        <v>0</v>
      </c>
      <c r="O596" s="408">
        <v>0</v>
      </c>
      <c r="P596" s="408">
        <v>0</v>
      </c>
      <c r="Q596" s="408">
        <v>0</v>
      </c>
      <c r="R596" s="408">
        <v>74.44</v>
      </c>
      <c r="S596" s="408"/>
      <c r="T596" s="408"/>
      <c r="U596" s="408">
        <v>20843.2</v>
      </c>
      <c r="V596" s="408"/>
      <c r="W596" s="408">
        <v>20843.2</v>
      </c>
      <c r="X596" s="408">
        <v>12717.6</v>
      </c>
      <c r="Y596" s="408">
        <v>0</v>
      </c>
      <c r="Z596" s="408">
        <v>0</v>
      </c>
      <c r="AA596" s="408">
        <v>0</v>
      </c>
      <c r="AB596" s="408">
        <v>0</v>
      </c>
      <c r="AC596" s="408">
        <v>0</v>
      </c>
      <c r="AD596" s="408">
        <v>7620.7859085265045</v>
      </c>
      <c r="AE596" s="408">
        <v>13222.030621569897</v>
      </c>
      <c r="AF596" s="408"/>
      <c r="AG596" s="408"/>
      <c r="AH596" s="408"/>
      <c r="AI596" s="408">
        <v>0</v>
      </c>
      <c r="AJ596" s="408">
        <v>0</v>
      </c>
      <c r="AK596" s="408">
        <v>0</v>
      </c>
      <c r="AL596" s="408">
        <v>0</v>
      </c>
      <c r="AM596" s="408"/>
      <c r="AN596" s="408">
        <v>0</v>
      </c>
      <c r="AO596" s="408">
        <v>0</v>
      </c>
      <c r="AP596" s="408">
        <v>0</v>
      </c>
      <c r="AQ596" s="408">
        <v>0</v>
      </c>
      <c r="AR596" s="408">
        <v>0</v>
      </c>
      <c r="AS596" s="408"/>
      <c r="AT596" s="408"/>
      <c r="AU596" s="408">
        <v>0</v>
      </c>
      <c r="AV596" s="408">
        <v>0</v>
      </c>
      <c r="AW596" s="408">
        <v>0</v>
      </c>
      <c r="AX596" s="408"/>
      <c r="AY596" s="408"/>
      <c r="AZ596" s="408">
        <v>0</v>
      </c>
      <c r="BA596" s="408"/>
      <c r="BB596" s="408">
        <v>0</v>
      </c>
      <c r="BC596" s="408">
        <v>0</v>
      </c>
      <c r="BD596" s="408">
        <v>0</v>
      </c>
      <c r="BE596" s="408">
        <v>0</v>
      </c>
      <c r="BF596" s="408"/>
      <c r="BG596" s="408">
        <v>0</v>
      </c>
      <c r="BH596" s="408">
        <v>0</v>
      </c>
      <c r="BI596" s="408">
        <v>0</v>
      </c>
      <c r="BJ596" s="408">
        <v>0</v>
      </c>
      <c r="BK596" s="408">
        <v>10560.31</v>
      </c>
      <c r="BL596" s="408">
        <v>2</v>
      </c>
      <c r="BM596" s="408"/>
      <c r="BN596" s="408"/>
      <c r="BO596" s="408"/>
      <c r="BP596" s="408"/>
      <c r="BQ596" s="408"/>
      <c r="BR596" s="408"/>
      <c r="BS596" s="408"/>
      <c r="BT596" s="408"/>
      <c r="BU596" s="408"/>
      <c r="BV596" s="408">
        <v>0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12717.6</v>
      </c>
      <c r="CJ596" s="408">
        <v>-8125.6299999999956</v>
      </c>
      <c r="CK596" s="408"/>
      <c r="CL596" s="408"/>
      <c r="CM596" s="408"/>
      <c r="CN596" s="408"/>
      <c r="CO596" s="408">
        <v>-8125.5999999999985</v>
      </c>
      <c r="CP596" s="408">
        <v>0</v>
      </c>
      <c r="CQ596" s="408">
        <v>30</v>
      </c>
      <c r="CR596" s="408">
        <v>-19.586090886068632</v>
      </c>
      <c r="CS596" s="408">
        <v>0</v>
      </c>
      <c r="CT596" s="408">
        <v>0</v>
      </c>
      <c r="CU596" s="408">
        <v>0</v>
      </c>
      <c r="CV596" s="408">
        <v>0</v>
      </c>
      <c r="CW596" s="408"/>
      <c r="CX596" s="408"/>
      <c r="CY596" s="408"/>
      <c r="CZ596" s="408">
        <v>-19.586090886068632</v>
      </c>
      <c r="DA596" s="408">
        <v>0</v>
      </c>
      <c r="DB596" s="408">
        <v>0</v>
      </c>
      <c r="DC596" s="408"/>
      <c r="DD596" s="408"/>
      <c r="DE596" s="408">
        <v>0</v>
      </c>
      <c r="DF596" s="408">
        <v>0</v>
      </c>
      <c r="DG596" s="408">
        <v>0</v>
      </c>
      <c r="DH596" s="408">
        <v>0</v>
      </c>
      <c r="DI596" s="408">
        <v>0</v>
      </c>
      <c r="DJ596" s="408"/>
      <c r="DK596" s="408">
        <v>0</v>
      </c>
      <c r="DL596" s="408">
        <v>0</v>
      </c>
      <c r="DM596" s="408"/>
      <c r="DN596" s="408">
        <v>0</v>
      </c>
      <c r="DO596" s="408">
        <v>0</v>
      </c>
      <c r="DP596" s="408">
        <v>0</v>
      </c>
      <c r="DQ596" s="408">
        <v>0</v>
      </c>
      <c r="DR596" s="408">
        <v>0</v>
      </c>
      <c r="DS596" s="408"/>
      <c r="DT596" s="408"/>
      <c r="DU596" s="408">
        <v>13222.030621569897</v>
      </c>
      <c r="DV596" s="408"/>
      <c r="DW596" s="408">
        <v>0</v>
      </c>
      <c r="DX596" s="408">
        <v>0</v>
      </c>
      <c r="DY596" s="408">
        <v>-8125.6</v>
      </c>
      <c r="DZ596" s="408"/>
      <c r="EA596" s="408">
        <v>0</v>
      </c>
      <c r="EB596" s="408"/>
      <c r="EC596" s="408">
        <v>-8107.0235761016611</v>
      </c>
      <c r="ED596" s="408"/>
      <c r="EE596" s="408">
        <v>0</v>
      </c>
      <c r="EF596" s="408">
        <v>0</v>
      </c>
      <c r="EG596" s="408"/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/>
      <c r="EN596" s="408"/>
      <c r="EO596" s="408">
        <v>0</v>
      </c>
      <c r="EP596" s="408">
        <v>0</v>
      </c>
      <c r="EQ596" s="408"/>
      <c r="ER596" s="408">
        <v>0</v>
      </c>
      <c r="ES596" s="408"/>
      <c r="ET596" s="408">
        <v>0</v>
      </c>
      <c r="EU596" s="408"/>
      <c r="EV596" s="408">
        <v>265</v>
      </c>
      <c r="EW596" s="408"/>
      <c r="EX596" s="408"/>
      <c r="EY596" s="408"/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603</v>
      </c>
      <c r="B597" s="408" t="s">
        <v>1031</v>
      </c>
      <c r="C597" s="408" t="s">
        <v>2227</v>
      </c>
      <c r="D597" s="408" t="s">
        <v>2237</v>
      </c>
      <c r="E597" s="408" t="s">
        <v>969</v>
      </c>
      <c r="F597" s="408" t="s">
        <v>1317</v>
      </c>
      <c r="G597" s="408" t="s">
        <v>1317</v>
      </c>
      <c r="H597" s="408" t="s">
        <v>1317</v>
      </c>
      <c r="I597" s="408" t="s">
        <v>1317</v>
      </c>
      <c r="J597" s="408" t="s">
        <v>2228</v>
      </c>
      <c r="K597" s="828">
        <v>44713</v>
      </c>
      <c r="L597" s="408">
        <v>0</v>
      </c>
      <c r="M597" s="408">
        <v>0</v>
      </c>
      <c r="N597" s="408">
        <v>2641.9630000000002</v>
      </c>
      <c r="O597" s="408">
        <v>2641.9630000000002</v>
      </c>
      <c r="P597" s="408">
        <v>2641.9630000000002</v>
      </c>
      <c r="Q597" s="408">
        <v>2641.9630000000002</v>
      </c>
      <c r="R597" s="408"/>
      <c r="S597" s="408">
        <v>739.04</v>
      </c>
      <c r="T597" s="408">
        <v>252.22</v>
      </c>
      <c r="U597" s="408"/>
      <c r="V597" s="408">
        <v>2618872.2433799999</v>
      </c>
      <c r="W597" s="408">
        <v>2618872.2433799999</v>
      </c>
      <c r="X597" s="408">
        <v>1791171.6551100002</v>
      </c>
      <c r="Y597" s="408">
        <v>0</v>
      </c>
      <c r="Z597" s="408">
        <v>163413.75123224387</v>
      </c>
      <c r="AA597" s="408">
        <v>0</v>
      </c>
      <c r="AB597" s="408">
        <v>0</v>
      </c>
      <c r="AC597" s="408">
        <v>0</v>
      </c>
      <c r="AD597" s="408">
        <v>326276.03931735974</v>
      </c>
      <c r="AE597" s="408">
        <v>1339442.9299339317</v>
      </c>
      <c r="AF597" s="408">
        <v>666363.21943172906</v>
      </c>
      <c r="AG597" s="408">
        <v>0</v>
      </c>
      <c r="AH597" s="408">
        <v>0</v>
      </c>
      <c r="AI597" s="408">
        <v>0</v>
      </c>
      <c r="AJ597" s="408">
        <v>0</v>
      </c>
      <c r="AK597" s="408">
        <v>0</v>
      </c>
      <c r="AL597" s="408">
        <v>25259.885346046267</v>
      </c>
      <c r="AM597" s="408"/>
      <c r="AN597" s="408">
        <v>6190.9080384759063</v>
      </c>
      <c r="AO597" s="408">
        <v>0</v>
      </c>
      <c r="AP597" s="408">
        <v>0</v>
      </c>
      <c r="AQ597" s="408">
        <v>0</v>
      </c>
      <c r="AR597" s="408">
        <v>0</v>
      </c>
      <c r="AS597" s="408">
        <v>0</v>
      </c>
      <c r="AT597" s="408">
        <v>0</v>
      </c>
      <c r="AU597" s="408">
        <v>0</v>
      </c>
      <c r="AV597" s="408">
        <v>0</v>
      </c>
      <c r="AW597" s="408">
        <v>0</v>
      </c>
      <c r="AX597" s="408">
        <v>0</v>
      </c>
      <c r="AY597" s="408">
        <v>0</v>
      </c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</v>
      </c>
      <c r="BF597" s="408">
        <v>0</v>
      </c>
      <c r="BG597" s="408">
        <v>91925.115727288619</v>
      </c>
      <c r="BH597" s="408">
        <v>0</v>
      </c>
      <c r="BI597" s="408">
        <v>0</v>
      </c>
      <c r="BJ597" s="408">
        <v>0</v>
      </c>
      <c r="BK597" s="408">
        <v>97498.32</v>
      </c>
      <c r="BL597" s="408">
        <v>11940</v>
      </c>
      <c r="BM597" s="408"/>
      <c r="BN597" s="408"/>
      <c r="BO597" s="408"/>
      <c r="BP597" s="408"/>
      <c r="BQ597" s="408"/>
      <c r="BR597" s="408">
        <v>214923.69004999992</v>
      </c>
      <c r="BS597" s="408"/>
      <c r="BT597" s="408"/>
      <c r="BU597" s="408"/>
      <c r="BV597" s="408">
        <v>758288.3351590177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1576246.1751999999</v>
      </c>
      <c r="CJ597" s="408">
        <v>-728364.59933000011</v>
      </c>
      <c r="CK597" s="408"/>
      <c r="CL597" s="408"/>
      <c r="CM597" s="408"/>
      <c r="CN597" s="408"/>
      <c r="CO597" s="408">
        <v>-827700.58826999995</v>
      </c>
      <c r="CP597" s="408">
        <v>0</v>
      </c>
      <c r="CQ597" s="408">
        <v>30</v>
      </c>
      <c r="CR597" s="408">
        <v>-6425.7742977992166</v>
      </c>
      <c r="CS597" s="408">
        <v>0</v>
      </c>
      <c r="CT597" s="408">
        <v>0</v>
      </c>
      <c r="CU597" s="408">
        <v>0</v>
      </c>
      <c r="CV597" s="408">
        <v>0</v>
      </c>
      <c r="CW597" s="408">
        <v>0</v>
      </c>
      <c r="CX597" s="408">
        <v>0</v>
      </c>
      <c r="CY597" s="408">
        <v>0</v>
      </c>
      <c r="CZ597" s="408">
        <v>-838.55815354431979</v>
      </c>
      <c r="DA597" s="408">
        <v>0</v>
      </c>
      <c r="DB597" s="408">
        <v>0</v>
      </c>
      <c r="DC597" s="408">
        <v>-9.3419803306460381E-5</v>
      </c>
      <c r="DD597" s="408">
        <v>0</v>
      </c>
      <c r="DE597" s="408">
        <v>0</v>
      </c>
      <c r="DF597" s="408">
        <v>0</v>
      </c>
      <c r="DG597" s="408">
        <v>-1.2887234333902597E-5</v>
      </c>
      <c r="DH597" s="408">
        <v>0</v>
      </c>
      <c r="DI597" s="408">
        <v>-4751.5961944686424</v>
      </c>
      <c r="DJ597" s="408"/>
      <c r="DK597" s="408">
        <v>0</v>
      </c>
      <c r="DL597" s="408">
        <v>0</v>
      </c>
      <c r="DM597" s="408">
        <v>0</v>
      </c>
      <c r="DN597" s="408">
        <v>0</v>
      </c>
      <c r="DO597" s="408">
        <v>-634.58172174641732</v>
      </c>
      <c r="DP597" s="408">
        <v>-201.03812173272036</v>
      </c>
      <c r="DQ597" s="408">
        <v>0</v>
      </c>
      <c r="DR597" s="408">
        <v>0</v>
      </c>
      <c r="DS597" s="408"/>
      <c r="DT597" s="408"/>
      <c r="DU597" s="408"/>
      <c r="DV597" s="408">
        <v>1339442.9299339317</v>
      </c>
      <c r="DW597" s="408">
        <v>0</v>
      </c>
      <c r="DX597" s="408">
        <v>0</v>
      </c>
      <c r="DY597" s="408">
        <v>-827700.58826999995</v>
      </c>
      <c r="DZ597" s="408">
        <v>0</v>
      </c>
      <c r="EA597" s="408">
        <v>0</v>
      </c>
      <c r="EB597" s="408">
        <v>0</v>
      </c>
      <c r="EC597" s="408">
        <v>-821272.89843832934</v>
      </c>
      <c r="ED597" s="408">
        <v>0</v>
      </c>
      <c r="EE597" s="408">
        <v>0</v>
      </c>
      <c r="EF597" s="408">
        <v>0</v>
      </c>
      <c r="EG597" s="408">
        <v>0</v>
      </c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>
        <v>0</v>
      </c>
      <c r="EN597" s="408">
        <v>0</v>
      </c>
      <c r="EO597" s="408">
        <v>0</v>
      </c>
      <c r="EP597" s="408">
        <v>0</v>
      </c>
      <c r="EQ597" s="408">
        <v>0</v>
      </c>
      <c r="ER597" s="408">
        <v>0</v>
      </c>
      <c r="ES597" s="408">
        <v>0</v>
      </c>
      <c r="ET597" s="408">
        <v>0</v>
      </c>
      <c r="EU597" s="408">
        <v>0</v>
      </c>
      <c r="EV597" s="408">
        <v>265</v>
      </c>
      <c r="EW597" s="408">
        <v>0</v>
      </c>
      <c r="EX597" s="408">
        <v>0</v>
      </c>
      <c r="EY597" s="408">
        <v>0</v>
      </c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604</v>
      </c>
      <c r="B598" s="408" t="s">
        <v>2229</v>
      </c>
      <c r="C598" s="408" t="s">
        <v>2227</v>
      </c>
      <c r="D598" s="408" t="s">
        <v>2237</v>
      </c>
      <c r="E598" s="408" t="s">
        <v>969</v>
      </c>
      <c r="F598" s="408" t="s">
        <v>1317</v>
      </c>
      <c r="G598" s="408" t="s">
        <v>1317</v>
      </c>
      <c r="H598" s="408" t="s">
        <v>1317</v>
      </c>
      <c r="I598" s="408" t="s">
        <v>1317</v>
      </c>
      <c r="J598" s="408" t="s">
        <v>2228</v>
      </c>
      <c r="K598" s="828">
        <v>44713</v>
      </c>
      <c r="L598" s="408">
        <v>0</v>
      </c>
      <c r="M598" s="408">
        <v>0</v>
      </c>
      <c r="N598" s="408">
        <v>-0.71799999999999997</v>
      </c>
      <c r="O598" s="408">
        <v>-0.71799999999999997</v>
      </c>
      <c r="P598" s="408">
        <v>-0.71799999999999997</v>
      </c>
      <c r="Q598" s="408">
        <v>-0.71799999999999997</v>
      </c>
      <c r="R598" s="408"/>
      <c r="S598" s="408">
        <v>739.04</v>
      </c>
      <c r="T598" s="408">
        <v>252.22</v>
      </c>
      <c r="U598" s="408"/>
      <c r="V598" s="408">
        <v>-711.72468000000003</v>
      </c>
      <c r="W598" s="408">
        <v>-711.72468000000003</v>
      </c>
      <c r="X598" s="408">
        <v>-486.78245999999996</v>
      </c>
      <c r="Y598" s="408">
        <v>0</v>
      </c>
      <c r="Z598" s="408">
        <v>-44.410566455605576</v>
      </c>
      <c r="AA598" s="408">
        <v>0</v>
      </c>
      <c r="AB598" s="408">
        <v>0</v>
      </c>
      <c r="AC598" s="408">
        <v>0</v>
      </c>
      <c r="AD598" s="408">
        <v>-88.671263083496726</v>
      </c>
      <c r="AE598" s="408">
        <v>-364.01721889843384</v>
      </c>
      <c r="AF598" s="408">
        <v>-181.09594704845657</v>
      </c>
      <c r="AG598" s="408">
        <v>0</v>
      </c>
      <c r="AH598" s="408">
        <v>0</v>
      </c>
      <c r="AI598" s="408">
        <v>0</v>
      </c>
      <c r="AJ598" s="408">
        <v>0</v>
      </c>
      <c r="AK598" s="408">
        <v>0</v>
      </c>
      <c r="AL598" s="408">
        <v>-6.8648189541114757</v>
      </c>
      <c r="AM598" s="408"/>
      <c r="AN598" s="408">
        <v>-1.6824883511334943</v>
      </c>
      <c r="AO598" s="408">
        <v>0</v>
      </c>
      <c r="AP598" s="408">
        <v>0</v>
      </c>
      <c r="AQ598" s="408">
        <v>0</v>
      </c>
      <c r="AR598" s="408">
        <v>0</v>
      </c>
      <c r="AS598" s="408">
        <v>0</v>
      </c>
      <c r="AT598" s="408">
        <v>0</v>
      </c>
      <c r="AU598" s="408">
        <v>0</v>
      </c>
      <c r="AV598" s="408">
        <v>0</v>
      </c>
      <c r="AW598" s="408">
        <v>0</v>
      </c>
      <c r="AX598" s="408">
        <v>0</v>
      </c>
      <c r="AY598" s="408">
        <v>0</v>
      </c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0</v>
      </c>
      <c r="BF598" s="408">
        <v>0</v>
      </c>
      <c r="BG598" s="408">
        <v>-24.982270036405968</v>
      </c>
      <c r="BH598" s="408">
        <v>0</v>
      </c>
      <c r="BI598" s="408">
        <v>0</v>
      </c>
      <c r="BJ598" s="408">
        <v>0</v>
      </c>
      <c r="BK598" s="408">
        <v>0</v>
      </c>
      <c r="BL598" s="408">
        <v>0</v>
      </c>
      <c r="BM598" s="408"/>
      <c r="BN598" s="408"/>
      <c r="BO598" s="408"/>
      <c r="BP598" s="408"/>
      <c r="BQ598" s="408"/>
      <c r="BR598" s="408">
        <v>-58.409299999999973</v>
      </c>
      <c r="BS598" s="408"/>
      <c r="BT598" s="408"/>
      <c r="BU598" s="408"/>
      <c r="BV598" s="408">
        <v>-206.07821708486253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-429.56640000000004</v>
      </c>
      <c r="CJ598" s="408">
        <v>196.72217999999998</v>
      </c>
      <c r="CK598" s="408"/>
      <c r="CL598" s="408"/>
      <c r="CM598" s="408"/>
      <c r="CN598" s="408"/>
      <c r="CO598" s="408">
        <v>224.94221999999996</v>
      </c>
      <c r="CP598" s="408">
        <v>0</v>
      </c>
      <c r="CQ598" s="408">
        <v>30</v>
      </c>
      <c r="CR598" s="408">
        <v>1.746317395746928</v>
      </c>
      <c r="CS598" s="408">
        <v>0</v>
      </c>
      <c r="CT598" s="408">
        <v>0</v>
      </c>
      <c r="CU598" s="408">
        <v>0</v>
      </c>
      <c r="CV598" s="408">
        <v>0</v>
      </c>
      <c r="CW598" s="408">
        <v>0</v>
      </c>
      <c r="CX598" s="408">
        <v>0</v>
      </c>
      <c r="CY598" s="408">
        <v>0</v>
      </c>
      <c r="CZ598" s="408">
        <v>0.22789295468740534</v>
      </c>
      <c r="DA598" s="408">
        <v>0</v>
      </c>
      <c r="DB598" s="408">
        <v>0</v>
      </c>
      <c r="DC598" s="408">
        <v>2.5388487756572431E-8</v>
      </c>
      <c r="DD598" s="408">
        <v>0</v>
      </c>
      <c r="DE598" s="408">
        <v>0</v>
      </c>
      <c r="DF598" s="408">
        <v>0</v>
      </c>
      <c r="DG598" s="408">
        <v>3.502332646121431E-9</v>
      </c>
      <c r="DH598" s="408">
        <v>0</v>
      </c>
      <c r="DI598" s="408">
        <v>1.2913299950182804</v>
      </c>
      <c r="DJ598" s="408"/>
      <c r="DK598" s="408">
        <v>0</v>
      </c>
      <c r="DL598" s="408">
        <v>0</v>
      </c>
      <c r="DM598" s="408">
        <v>0</v>
      </c>
      <c r="DN598" s="408">
        <v>0</v>
      </c>
      <c r="DO598" s="408">
        <v>0.17245876502204105</v>
      </c>
      <c r="DP598" s="408">
        <v>5.4635652128395717E-2</v>
      </c>
      <c r="DQ598" s="408">
        <v>0</v>
      </c>
      <c r="DR598" s="408">
        <v>0</v>
      </c>
      <c r="DS598" s="408"/>
      <c r="DT598" s="408"/>
      <c r="DU598" s="408"/>
      <c r="DV598" s="408">
        <v>-364.01721889843384</v>
      </c>
      <c r="DW598" s="408">
        <v>0</v>
      </c>
      <c r="DX598" s="408">
        <v>0</v>
      </c>
      <c r="DY598" s="408">
        <v>224.94222000000002</v>
      </c>
      <c r="DZ598" s="408">
        <v>0</v>
      </c>
      <c r="EA598" s="408">
        <v>0</v>
      </c>
      <c r="EB598" s="408">
        <v>0</v>
      </c>
      <c r="EC598" s="408">
        <v>223.19538202416936</v>
      </c>
      <c r="ED598" s="408">
        <v>0</v>
      </c>
      <c r="EE598" s="408">
        <v>0</v>
      </c>
      <c r="EF598" s="408">
        <v>0</v>
      </c>
      <c r="EG598" s="408">
        <v>0</v>
      </c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>
        <v>0</v>
      </c>
      <c r="EN598" s="408">
        <v>0</v>
      </c>
      <c r="EO598" s="408">
        <v>0</v>
      </c>
      <c r="EP598" s="408">
        <v>0</v>
      </c>
      <c r="EQ598" s="408">
        <v>0</v>
      </c>
      <c r="ER598" s="408">
        <v>0</v>
      </c>
      <c r="ES598" s="408">
        <v>0</v>
      </c>
      <c r="ET598" s="408">
        <v>0</v>
      </c>
      <c r="EU598" s="408">
        <v>0</v>
      </c>
      <c r="EV598" s="408">
        <v>265</v>
      </c>
      <c r="EW598" s="408">
        <v>0</v>
      </c>
      <c r="EX598" s="408">
        <v>0</v>
      </c>
      <c r="EY598" s="408">
        <v>0</v>
      </c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605</v>
      </c>
      <c r="B599" s="408" t="s">
        <v>2230</v>
      </c>
      <c r="C599" s="408" t="s">
        <v>2227</v>
      </c>
      <c r="D599" s="408" t="s">
        <v>2237</v>
      </c>
      <c r="E599" s="408" t="s">
        <v>969</v>
      </c>
      <c r="F599" s="408" t="s">
        <v>1317</v>
      </c>
      <c r="G599" s="408" t="s">
        <v>1317</v>
      </c>
      <c r="H599" s="408" t="s">
        <v>1317</v>
      </c>
      <c r="I599" s="408" t="s">
        <v>1317</v>
      </c>
      <c r="J599" s="408" t="s">
        <v>2228</v>
      </c>
      <c r="K599" s="828">
        <v>44713</v>
      </c>
      <c r="L599" s="408">
        <v>0</v>
      </c>
      <c r="M599" s="408">
        <v>0</v>
      </c>
      <c r="N599" s="408">
        <v>189.661</v>
      </c>
      <c r="O599" s="408">
        <v>189.661</v>
      </c>
      <c r="P599" s="408">
        <v>189.661</v>
      </c>
      <c r="Q599" s="408">
        <v>189.661</v>
      </c>
      <c r="R599" s="408"/>
      <c r="S599" s="408">
        <v>739.04</v>
      </c>
      <c r="T599" s="408">
        <v>252.22</v>
      </c>
      <c r="U599" s="408"/>
      <c r="V599" s="408">
        <v>188003.36285999999</v>
      </c>
      <c r="W599" s="408">
        <v>188003.36285999999</v>
      </c>
      <c r="X599" s="408">
        <v>128584.46817000001</v>
      </c>
      <c r="Y599" s="408">
        <v>0</v>
      </c>
      <c r="Z599" s="408">
        <v>11731.131538351825</v>
      </c>
      <c r="AA599" s="408">
        <v>0</v>
      </c>
      <c r="AB599" s="408">
        <v>0</v>
      </c>
      <c r="AC599" s="408">
        <v>0</v>
      </c>
      <c r="AD599" s="408">
        <v>23422.674690360825</v>
      </c>
      <c r="AE599" s="408">
        <v>96155.807456122362</v>
      </c>
      <c r="AF599" s="408">
        <v>47836.822302447523</v>
      </c>
      <c r="AG599" s="408">
        <v>0</v>
      </c>
      <c r="AH599" s="408">
        <v>0</v>
      </c>
      <c r="AI599" s="408">
        <v>0</v>
      </c>
      <c r="AJ599" s="408">
        <v>0</v>
      </c>
      <c r="AK599" s="408">
        <v>0</v>
      </c>
      <c r="AL599" s="408">
        <v>1813.3543560664857</v>
      </c>
      <c r="AM599" s="408"/>
      <c r="AN599" s="408">
        <v>444.43234424001349</v>
      </c>
      <c r="AO599" s="408">
        <v>0</v>
      </c>
      <c r="AP599" s="408">
        <v>0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0</v>
      </c>
      <c r="BE599" s="408">
        <v>0</v>
      </c>
      <c r="BF599" s="408">
        <v>0</v>
      </c>
      <c r="BG599" s="408">
        <v>6599.1118626389871</v>
      </c>
      <c r="BH599" s="408">
        <v>0</v>
      </c>
      <c r="BI599" s="408">
        <v>0</v>
      </c>
      <c r="BJ599" s="408">
        <v>0</v>
      </c>
      <c r="BK599" s="408">
        <v>8481.27</v>
      </c>
      <c r="BL599" s="408">
        <v>1027</v>
      </c>
      <c r="BM599" s="408"/>
      <c r="BN599" s="408"/>
      <c r="BO599" s="408"/>
      <c r="BP599" s="408"/>
      <c r="BQ599" s="408"/>
      <c r="BR599" s="408">
        <v>15428.922349999993</v>
      </c>
      <c r="BS599" s="408"/>
      <c r="BT599" s="408"/>
      <c r="BU599" s="408"/>
      <c r="BV599" s="408">
        <v>54435.93416508651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113154.9492</v>
      </c>
      <c r="CJ599" s="408">
        <v>-52288.267710000015</v>
      </c>
      <c r="CK599" s="408"/>
      <c r="CL599" s="408"/>
      <c r="CM599" s="408"/>
      <c r="CN599" s="408"/>
      <c r="CO599" s="408">
        <v>-59418.894689999994</v>
      </c>
      <c r="CP599" s="408">
        <v>0</v>
      </c>
      <c r="CQ599" s="408">
        <v>30</v>
      </c>
      <c r="CR599" s="408">
        <v>-461.29290194257919</v>
      </c>
      <c r="CS599" s="408">
        <v>0</v>
      </c>
      <c r="CT599" s="408">
        <v>0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-60.198336600235052</v>
      </c>
      <c r="DA599" s="408">
        <v>0</v>
      </c>
      <c r="DB599" s="408">
        <v>0</v>
      </c>
      <c r="DC599" s="408">
        <v>-6.7064174800179899E-6</v>
      </c>
      <c r="DD599" s="408">
        <v>0</v>
      </c>
      <c r="DE599" s="408">
        <v>0</v>
      </c>
      <c r="DF599" s="408">
        <v>0</v>
      </c>
      <c r="DG599" s="408">
        <v>-9.2514801508514211E-7</v>
      </c>
      <c r="DH599" s="408">
        <v>0</v>
      </c>
      <c r="DI599" s="408">
        <v>-341.10715624674594</v>
      </c>
      <c r="DJ599" s="408"/>
      <c r="DK599" s="408">
        <v>0</v>
      </c>
      <c r="DL599" s="408">
        <v>0</v>
      </c>
      <c r="DM599" s="408">
        <v>0</v>
      </c>
      <c r="DN599" s="408">
        <v>0</v>
      </c>
      <c r="DO599" s="408">
        <v>-45.555295031818105</v>
      </c>
      <c r="DP599" s="408">
        <v>-14.432106432205671</v>
      </c>
      <c r="DQ599" s="408">
        <v>0</v>
      </c>
      <c r="DR599" s="408">
        <v>0</v>
      </c>
      <c r="DS599" s="408"/>
      <c r="DT599" s="408"/>
      <c r="DU599" s="408"/>
      <c r="DV599" s="408">
        <v>96155.807456122362</v>
      </c>
      <c r="DW599" s="408">
        <v>0</v>
      </c>
      <c r="DX599" s="408">
        <v>0</v>
      </c>
      <c r="DY599" s="408">
        <v>-59418.894690000001</v>
      </c>
      <c r="DZ599" s="408">
        <v>0</v>
      </c>
      <c r="EA599" s="408">
        <v>0</v>
      </c>
      <c r="EB599" s="408">
        <v>0</v>
      </c>
      <c r="EC599" s="408">
        <v>-58957.464275885766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0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265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606</v>
      </c>
      <c r="B600" s="408" t="s">
        <v>2230</v>
      </c>
      <c r="C600" s="408" t="s">
        <v>2227</v>
      </c>
      <c r="D600" s="408" t="s">
        <v>2237</v>
      </c>
      <c r="E600" s="408" t="s">
        <v>969</v>
      </c>
      <c r="F600" s="408" t="s">
        <v>1317</v>
      </c>
      <c r="G600" s="408" t="s">
        <v>1317</v>
      </c>
      <c r="H600" s="408" t="s">
        <v>1317</v>
      </c>
      <c r="I600" s="408" t="s">
        <v>1317</v>
      </c>
      <c r="J600" s="408" t="s">
        <v>2228</v>
      </c>
      <c r="K600" s="828">
        <v>44713</v>
      </c>
      <c r="L600" s="408">
        <v>0</v>
      </c>
      <c r="M600" s="408">
        <v>0</v>
      </c>
      <c r="N600" s="408">
        <v>-2.3580000000000001</v>
      </c>
      <c r="O600" s="408">
        <v>-2.3580000000000001</v>
      </c>
      <c r="P600" s="408">
        <v>-2.3580000000000001</v>
      </c>
      <c r="Q600" s="408">
        <v>-2.3580000000000001</v>
      </c>
      <c r="R600" s="408"/>
      <c r="S600" s="408">
        <v>739.04</v>
      </c>
      <c r="T600" s="408">
        <v>252.22</v>
      </c>
      <c r="U600" s="408"/>
      <c r="V600" s="408">
        <v>-2337.3910800000003</v>
      </c>
      <c r="W600" s="408">
        <v>-2337.3910800000003</v>
      </c>
      <c r="X600" s="408">
        <v>-1598.65326</v>
      </c>
      <c r="Y600" s="408">
        <v>0</v>
      </c>
      <c r="Z600" s="408">
        <v>-145.8497433179916</v>
      </c>
      <c r="AA600" s="408">
        <v>0</v>
      </c>
      <c r="AB600" s="408">
        <v>0</v>
      </c>
      <c r="AC600" s="408">
        <v>0</v>
      </c>
      <c r="AD600" s="408">
        <v>-291.20729575332211</v>
      </c>
      <c r="AE600" s="408">
        <v>-1195.4771617862214</v>
      </c>
      <c r="AF600" s="408">
        <v>-594.74128571066933</v>
      </c>
      <c r="AG600" s="408">
        <v>0</v>
      </c>
      <c r="AH600" s="408">
        <v>0</v>
      </c>
      <c r="AI600" s="408">
        <v>0</v>
      </c>
      <c r="AJ600" s="408">
        <v>0</v>
      </c>
      <c r="AK600" s="408">
        <v>0</v>
      </c>
      <c r="AL600" s="408">
        <v>-22.544906815870281</v>
      </c>
      <c r="AM600" s="408"/>
      <c r="AN600" s="408">
        <v>-5.5254979553938437</v>
      </c>
      <c r="AO600" s="408">
        <v>0</v>
      </c>
      <c r="AP600" s="408">
        <v>0</v>
      </c>
      <c r="AQ600" s="408">
        <v>0</v>
      </c>
      <c r="AR600" s="408">
        <v>0</v>
      </c>
      <c r="AS600" s="408">
        <v>0</v>
      </c>
      <c r="AT600" s="408">
        <v>0</v>
      </c>
      <c r="AU600" s="408">
        <v>0</v>
      </c>
      <c r="AV600" s="408">
        <v>0</v>
      </c>
      <c r="AW600" s="408">
        <v>0</v>
      </c>
      <c r="AX600" s="408">
        <v>0</v>
      </c>
      <c r="AY600" s="408">
        <v>0</v>
      </c>
      <c r="AZ600" s="408">
        <v>0</v>
      </c>
      <c r="BA600" s="408"/>
      <c r="BB600" s="408">
        <v>0</v>
      </c>
      <c r="BC600" s="408">
        <v>0</v>
      </c>
      <c r="BD600" s="408">
        <v>0</v>
      </c>
      <c r="BE600" s="408">
        <v>0</v>
      </c>
      <c r="BF600" s="408">
        <v>0</v>
      </c>
      <c r="BG600" s="408">
        <v>-82.044836693377832</v>
      </c>
      <c r="BH600" s="408">
        <v>0</v>
      </c>
      <c r="BI600" s="408">
        <v>0</v>
      </c>
      <c r="BJ600" s="408">
        <v>0</v>
      </c>
      <c r="BK600" s="408">
        <v>4.38</v>
      </c>
      <c r="BL600" s="408">
        <v>7</v>
      </c>
      <c r="BM600" s="408"/>
      <c r="BN600" s="408"/>
      <c r="BO600" s="408"/>
      <c r="BP600" s="408"/>
      <c r="BQ600" s="408"/>
      <c r="BR600" s="408">
        <v>-191.8232999999999</v>
      </c>
      <c r="BS600" s="408"/>
      <c r="BT600" s="408"/>
      <c r="BU600" s="408"/>
      <c r="BV600" s="408">
        <v>-676.78612240404721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-1408.0232000000001</v>
      </c>
      <c r="CJ600" s="408">
        <v>648.85377999999992</v>
      </c>
      <c r="CK600" s="408"/>
      <c r="CL600" s="408"/>
      <c r="CM600" s="408"/>
      <c r="CN600" s="408"/>
      <c r="CO600" s="408">
        <v>738.73781999999994</v>
      </c>
      <c r="CP600" s="408">
        <v>0</v>
      </c>
      <c r="CQ600" s="408">
        <v>30</v>
      </c>
      <c r="CR600" s="408">
        <v>5.7351203609625827</v>
      </c>
      <c r="CS600" s="408">
        <v>0</v>
      </c>
      <c r="CT600" s="408">
        <v>0</v>
      </c>
      <c r="CU600" s="408">
        <v>0</v>
      </c>
      <c r="CV600" s="408">
        <v>0</v>
      </c>
      <c r="CW600" s="408">
        <v>0</v>
      </c>
      <c r="CX600" s="408">
        <v>0</v>
      </c>
      <c r="CY600" s="408">
        <v>0</v>
      </c>
      <c r="CZ600" s="408">
        <v>0.74842839436337272</v>
      </c>
      <c r="DA600" s="408">
        <v>0</v>
      </c>
      <c r="DB600" s="408">
        <v>0</v>
      </c>
      <c r="DC600" s="408">
        <v>8.3378836279734969E-8</v>
      </c>
      <c r="DD600" s="408">
        <v>0</v>
      </c>
      <c r="DE600" s="408">
        <v>0</v>
      </c>
      <c r="DF600" s="408">
        <v>0</v>
      </c>
      <c r="DG600" s="408">
        <v>1.1502109487082635E-8</v>
      </c>
      <c r="DH600" s="408">
        <v>0</v>
      </c>
      <c r="DI600" s="408">
        <v>4.2408859724973809</v>
      </c>
      <c r="DJ600" s="408"/>
      <c r="DK600" s="408">
        <v>0</v>
      </c>
      <c r="DL600" s="408">
        <v>0</v>
      </c>
      <c r="DM600" s="408">
        <v>0</v>
      </c>
      <c r="DN600" s="408">
        <v>0</v>
      </c>
      <c r="DO600" s="408">
        <v>0.56637572133979575</v>
      </c>
      <c r="DP600" s="408">
        <v>0.17943017788127769</v>
      </c>
      <c r="DQ600" s="408">
        <v>0</v>
      </c>
      <c r="DR600" s="408">
        <v>0</v>
      </c>
      <c r="DS600" s="408"/>
      <c r="DT600" s="408"/>
      <c r="DU600" s="408"/>
      <c r="DV600" s="408">
        <v>-1195.4771617862214</v>
      </c>
      <c r="DW600" s="408">
        <v>0</v>
      </c>
      <c r="DX600" s="408">
        <v>0</v>
      </c>
      <c r="DY600" s="408">
        <v>738.73782000000006</v>
      </c>
      <c r="DZ600" s="408">
        <v>0</v>
      </c>
      <c r="EA600" s="408">
        <v>0</v>
      </c>
      <c r="EB600" s="408">
        <v>0</v>
      </c>
      <c r="EC600" s="408">
        <v>733.00098999023851</v>
      </c>
      <c r="ED600" s="408">
        <v>0</v>
      </c>
      <c r="EE600" s="408">
        <v>0</v>
      </c>
      <c r="EF600" s="408">
        <v>0</v>
      </c>
      <c r="EG600" s="408">
        <v>0</v>
      </c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>
        <v>0</v>
      </c>
      <c r="EN600" s="408">
        <v>0</v>
      </c>
      <c r="EO600" s="408">
        <v>0</v>
      </c>
      <c r="EP600" s="408">
        <v>0</v>
      </c>
      <c r="EQ600" s="408">
        <v>0</v>
      </c>
      <c r="ER600" s="408">
        <v>0</v>
      </c>
      <c r="ES600" s="408">
        <v>0</v>
      </c>
      <c r="ET600" s="408">
        <v>0</v>
      </c>
      <c r="EU600" s="408">
        <v>0</v>
      </c>
      <c r="EV600" s="408">
        <v>265</v>
      </c>
      <c r="EW600" s="408">
        <v>0</v>
      </c>
      <c r="EX600" s="408">
        <v>0</v>
      </c>
      <c r="EY600" s="408">
        <v>0</v>
      </c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607</v>
      </c>
      <c r="B601" s="408" t="s">
        <v>2230</v>
      </c>
      <c r="C601" s="408" t="s">
        <v>2239</v>
      </c>
      <c r="D601" s="408" t="s">
        <v>596</v>
      </c>
      <c r="E601" s="408" t="s">
        <v>969</v>
      </c>
      <c r="F601" s="408" t="s">
        <v>1317</v>
      </c>
      <c r="G601" s="408" t="s">
        <v>1317</v>
      </c>
      <c r="H601" s="408" t="s">
        <v>1317</v>
      </c>
      <c r="I601" s="408" t="s">
        <v>968</v>
      </c>
      <c r="J601" s="408" t="s">
        <v>2228</v>
      </c>
      <c r="K601" s="828">
        <v>44713</v>
      </c>
      <c r="L601" s="408">
        <v>31</v>
      </c>
      <c r="M601" s="408">
        <v>29.759999999999998</v>
      </c>
      <c r="N601" s="408">
        <v>0.72299999999999998</v>
      </c>
      <c r="O601" s="408">
        <v>0.69407999999999992</v>
      </c>
      <c r="P601" s="408">
        <v>0.72299999999999998</v>
      </c>
      <c r="Q601" s="408">
        <v>0.69407999999999992</v>
      </c>
      <c r="R601" s="408">
        <v>106.38</v>
      </c>
      <c r="S601" s="408">
        <v>81.2</v>
      </c>
      <c r="T601" s="408">
        <v>252.22</v>
      </c>
      <c r="U601" s="408">
        <v>3297.7799999999997</v>
      </c>
      <c r="V601" s="408">
        <v>241.06265999999999</v>
      </c>
      <c r="W601" s="408">
        <v>3538.8426599999998</v>
      </c>
      <c r="X601" s="408">
        <v>2024.06342</v>
      </c>
      <c r="Y601" s="408">
        <v>0</v>
      </c>
      <c r="Z601" s="408">
        <v>38.90625404768867</v>
      </c>
      <c r="AA601" s="408">
        <v>0</v>
      </c>
      <c r="AB601" s="408">
        <v>0</v>
      </c>
      <c r="AC601" s="408">
        <v>0</v>
      </c>
      <c r="AD601" s="408">
        <v>833.18439178915833</v>
      </c>
      <c r="AE601" s="408">
        <v>2464.6550656838817</v>
      </c>
      <c r="AF601" s="408">
        <v>182.35706088584135</v>
      </c>
      <c r="AG601" s="408">
        <v>0</v>
      </c>
      <c r="AH601" s="408">
        <v>0</v>
      </c>
      <c r="AI601" s="408">
        <v>0</v>
      </c>
      <c r="AJ601" s="408">
        <v>0</v>
      </c>
      <c r="AK601" s="408">
        <v>0</v>
      </c>
      <c r="AL601" s="408">
        <v>6.9126241000314721</v>
      </c>
      <c r="AM601" s="408"/>
      <c r="AN601" s="408">
        <v>1.7394701375129606</v>
      </c>
      <c r="AO601" s="408">
        <v>0</v>
      </c>
      <c r="AP601" s="408">
        <v>0</v>
      </c>
      <c r="AQ601" s="408">
        <v>0</v>
      </c>
      <c r="AR601" s="408">
        <v>0</v>
      </c>
      <c r="AS601" s="408">
        <v>0</v>
      </c>
      <c r="AT601" s="408">
        <v>0</v>
      </c>
      <c r="AU601" s="408">
        <v>0</v>
      </c>
      <c r="AV601" s="408">
        <v>0</v>
      </c>
      <c r="AW601" s="408">
        <v>0</v>
      </c>
      <c r="AX601" s="408">
        <v>0</v>
      </c>
      <c r="AY601" s="408">
        <v>0</v>
      </c>
      <c r="AZ601" s="408">
        <v>0</v>
      </c>
      <c r="BA601" s="408"/>
      <c r="BB601" s="408">
        <v>0</v>
      </c>
      <c r="BC601" s="408">
        <v>0</v>
      </c>
      <c r="BD601" s="408">
        <v>0</v>
      </c>
      <c r="BE601" s="408">
        <v>0</v>
      </c>
      <c r="BF601" s="408">
        <v>0</v>
      </c>
      <c r="BG601" s="408">
        <v>11.150714239972094</v>
      </c>
      <c r="BH601" s="408">
        <v>0</v>
      </c>
      <c r="BI601" s="408">
        <v>0</v>
      </c>
      <c r="BJ601" s="408">
        <v>0</v>
      </c>
      <c r="BK601" s="408">
        <v>0</v>
      </c>
      <c r="BL601" s="408">
        <v>0</v>
      </c>
      <c r="BM601" s="408"/>
      <c r="BN601" s="408"/>
      <c r="BO601" s="408"/>
      <c r="BP601" s="408"/>
      <c r="BQ601" s="408"/>
      <c r="BR601" s="408">
        <v>80.962536800000137</v>
      </c>
      <c r="BS601" s="408"/>
      <c r="BT601" s="408"/>
      <c r="BU601" s="408"/>
      <c r="BV601" s="408">
        <v>193.50777512581345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1941.7482000000002</v>
      </c>
      <c r="CJ601" s="408">
        <v>-1455.5707536000002</v>
      </c>
      <c r="CK601" s="408"/>
      <c r="CL601" s="408"/>
      <c r="CM601" s="408"/>
      <c r="CN601" s="408"/>
      <c r="CO601" s="408">
        <v>-1514.7792399999998</v>
      </c>
      <c r="CP601" s="408">
        <v>0</v>
      </c>
      <c r="CQ601" s="408">
        <v>30</v>
      </c>
      <c r="CR601" s="408">
        <v>-3.5027836589715662</v>
      </c>
      <c r="CS601" s="408">
        <v>0</v>
      </c>
      <c r="CT601" s="408">
        <v>0</v>
      </c>
      <c r="CU601" s="408">
        <v>0</v>
      </c>
      <c r="CV601" s="408">
        <v>0</v>
      </c>
      <c r="CW601" s="408">
        <v>0</v>
      </c>
      <c r="CX601" s="408">
        <v>0</v>
      </c>
      <c r="CY601" s="408">
        <v>0</v>
      </c>
      <c r="CZ601" s="408">
        <v>-2.1413572587269982</v>
      </c>
      <c r="DA601" s="408">
        <v>0</v>
      </c>
      <c r="DB601" s="408">
        <v>0</v>
      </c>
      <c r="DC601" s="408">
        <v>-2.5565299210938974E-8</v>
      </c>
      <c r="DD601" s="408">
        <v>0</v>
      </c>
      <c r="DE601" s="408">
        <v>0</v>
      </c>
      <c r="DF601" s="408">
        <v>0</v>
      </c>
      <c r="DG601" s="408">
        <v>-1.5632686256594752E-9</v>
      </c>
      <c r="DH601" s="408">
        <v>0</v>
      </c>
      <c r="DI601" s="408">
        <v>-1.1312806130451989</v>
      </c>
      <c r="DJ601" s="408"/>
      <c r="DK601" s="408">
        <v>0</v>
      </c>
      <c r="DL601" s="408">
        <v>0</v>
      </c>
      <c r="DM601" s="408">
        <v>0</v>
      </c>
      <c r="DN601" s="408">
        <v>0</v>
      </c>
      <c r="DO601" s="408">
        <v>-0.17365973135227808</v>
      </c>
      <c r="DP601" s="408">
        <v>-5.648602871863706E-2</v>
      </c>
      <c r="DQ601" s="408">
        <v>0</v>
      </c>
      <c r="DR601" s="408">
        <v>0</v>
      </c>
      <c r="DS601" s="408"/>
      <c r="DT601" s="408"/>
      <c r="DU601" s="408">
        <v>2464.6550656838817</v>
      </c>
      <c r="DV601" s="408">
        <v>0</v>
      </c>
      <c r="DW601" s="408">
        <v>0</v>
      </c>
      <c r="DX601" s="408">
        <v>0</v>
      </c>
      <c r="DY601" s="408">
        <v>-1514.7792399999998</v>
      </c>
      <c r="DZ601" s="408">
        <v>0</v>
      </c>
      <c r="EA601" s="408">
        <v>0</v>
      </c>
      <c r="EB601" s="408">
        <v>0</v>
      </c>
      <c r="EC601" s="408">
        <v>-1511.1912304802368</v>
      </c>
      <c r="ED601" s="408">
        <v>0</v>
      </c>
      <c r="EE601" s="408">
        <v>0</v>
      </c>
      <c r="EF601" s="408">
        <v>0</v>
      </c>
      <c r="EG601" s="408">
        <v>0</v>
      </c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>
        <v>0</v>
      </c>
      <c r="EN601" s="408">
        <v>0</v>
      </c>
      <c r="EO601" s="408">
        <v>0</v>
      </c>
      <c r="EP601" s="408">
        <v>0</v>
      </c>
      <c r="EQ601" s="408">
        <v>0</v>
      </c>
      <c r="ER601" s="408">
        <v>0</v>
      </c>
      <c r="ES601" s="408">
        <v>0</v>
      </c>
      <c r="ET601" s="408">
        <v>0</v>
      </c>
      <c r="EU601" s="408">
        <v>0</v>
      </c>
      <c r="EV601" s="408">
        <v>265</v>
      </c>
      <c r="EW601" s="408">
        <v>0</v>
      </c>
      <c r="EX601" s="408">
        <v>0</v>
      </c>
      <c r="EY601" s="408">
        <v>0</v>
      </c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608</v>
      </c>
      <c r="B602" s="408" t="s">
        <v>2230</v>
      </c>
      <c r="C602" s="408" t="s">
        <v>2239</v>
      </c>
      <c r="D602" s="408" t="s">
        <v>596</v>
      </c>
      <c r="E602" s="408" t="s">
        <v>969</v>
      </c>
      <c r="F602" s="408" t="s">
        <v>1317</v>
      </c>
      <c r="G602" s="408" t="s">
        <v>1317</v>
      </c>
      <c r="H602" s="408" t="s">
        <v>1317</v>
      </c>
      <c r="I602" s="408" t="s">
        <v>2236</v>
      </c>
      <c r="J602" s="408" t="s">
        <v>2228</v>
      </c>
      <c r="K602" s="828">
        <v>44713</v>
      </c>
      <c r="L602" s="408">
        <v>56</v>
      </c>
      <c r="M602" s="408">
        <v>53.76</v>
      </c>
      <c r="N602" s="408">
        <v>7.7039999999999997</v>
      </c>
      <c r="O602" s="408">
        <v>7.3958399999999997</v>
      </c>
      <c r="P602" s="408">
        <v>7.7039999999999997</v>
      </c>
      <c r="Q602" s="408">
        <v>7.3958399999999997</v>
      </c>
      <c r="R602" s="408">
        <v>74.44</v>
      </c>
      <c r="S602" s="408">
        <v>81.2</v>
      </c>
      <c r="T602" s="408">
        <v>252.22</v>
      </c>
      <c r="U602" s="408">
        <v>4168.6399999999994</v>
      </c>
      <c r="V602" s="408">
        <v>2568.66768</v>
      </c>
      <c r="W602" s="408">
        <v>6737.3076799999999</v>
      </c>
      <c r="X602" s="408">
        <v>5097.7041599999993</v>
      </c>
      <c r="Y602" s="408">
        <v>0</v>
      </c>
      <c r="Z602" s="408">
        <v>414.56954520524687</v>
      </c>
      <c r="AA602" s="408">
        <v>0</v>
      </c>
      <c r="AB602" s="408">
        <v>0</v>
      </c>
      <c r="AC602" s="408">
        <v>0</v>
      </c>
      <c r="AD602" s="408">
        <v>1524.1571817053009</v>
      </c>
      <c r="AE602" s="408">
        <v>2644.4061243139795</v>
      </c>
      <c r="AF602" s="408">
        <v>1943.124200642492</v>
      </c>
      <c r="AG602" s="408">
        <v>0</v>
      </c>
      <c r="AH602" s="408">
        <v>0</v>
      </c>
      <c r="AI602" s="408">
        <v>0</v>
      </c>
      <c r="AJ602" s="408">
        <v>0</v>
      </c>
      <c r="AK602" s="408">
        <v>0</v>
      </c>
      <c r="AL602" s="408">
        <v>73.658168833530382</v>
      </c>
      <c r="AM602" s="408"/>
      <c r="AN602" s="408">
        <v>18.535100884370468</v>
      </c>
      <c r="AO602" s="408">
        <v>0</v>
      </c>
      <c r="AP602" s="408">
        <v>0</v>
      </c>
      <c r="AQ602" s="408">
        <v>0</v>
      </c>
      <c r="AR602" s="408">
        <v>0</v>
      </c>
      <c r="AS602" s="408">
        <v>0</v>
      </c>
      <c r="AT602" s="408">
        <v>0</v>
      </c>
      <c r="AU602" s="408">
        <v>0</v>
      </c>
      <c r="AV602" s="408">
        <v>0</v>
      </c>
      <c r="AW602" s="408">
        <v>0</v>
      </c>
      <c r="AX602" s="408">
        <v>0</v>
      </c>
      <c r="AY602" s="408">
        <v>0</v>
      </c>
      <c r="AZ602" s="408">
        <v>0</v>
      </c>
      <c r="BA602" s="408"/>
      <c r="BB602" s="408">
        <v>0</v>
      </c>
      <c r="BC602" s="408">
        <v>0</v>
      </c>
      <c r="BD602" s="408">
        <v>0</v>
      </c>
      <c r="BE602" s="408">
        <v>0</v>
      </c>
      <c r="BF602" s="408">
        <v>0</v>
      </c>
      <c r="BG602" s="408">
        <v>118.81756916285619</v>
      </c>
      <c r="BH602" s="408">
        <v>0</v>
      </c>
      <c r="BI602" s="408">
        <v>0</v>
      </c>
      <c r="BJ602" s="408">
        <v>0</v>
      </c>
      <c r="BK602" s="408">
        <v>0</v>
      </c>
      <c r="BL602" s="408">
        <v>0</v>
      </c>
      <c r="BM602" s="408"/>
      <c r="BN602" s="408"/>
      <c r="BO602" s="408"/>
      <c r="BP602" s="408"/>
      <c r="BQ602" s="408"/>
      <c r="BR602" s="408">
        <v>203.90816640000008</v>
      </c>
      <c r="BS602" s="408"/>
      <c r="BT602" s="408"/>
      <c r="BU602" s="408"/>
      <c r="BV602" s="408">
        <v>2061.941769805348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4895.1751999999997</v>
      </c>
      <c r="CJ602" s="408">
        <v>-1572.6701728000007</v>
      </c>
      <c r="CK602" s="408"/>
      <c r="CL602" s="408"/>
      <c r="CM602" s="408"/>
      <c r="CN602" s="408"/>
      <c r="CO602" s="408">
        <v>-1639.6035199999999</v>
      </c>
      <c r="CP602" s="408">
        <v>0</v>
      </c>
      <c r="CQ602" s="408">
        <v>30</v>
      </c>
      <c r="CR602" s="408">
        <v>-18.424035587288927</v>
      </c>
      <c r="CS602" s="408">
        <v>0</v>
      </c>
      <c r="CT602" s="408">
        <v>0</v>
      </c>
      <c r="CU602" s="408">
        <v>0</v>
      </c>
      <c r="CV602" s="408">
        <v>0</v>
      </c>
      <c r="CW602" s="408">
        <v>0</v>
      </c>
      <c r="CX602" s="408">
        <v>0</v>
      </c>
      <c r="CY602" s="408">
        <v>0</v>
      </c>
      <c r="CZ602" s="408">
        <v>-3.9172181772137264</v>
      </c>
      <c r="DA602" s="408">
        <v>0</v>
      </c>
      <c r="DB602" s="408">
        <v>0</v>
      </c>
      <c r="DC602" s="408">
        <v>-2.7241344469075557E-7</v>
      </c>
      <c r="DD602" s="408">
        <v>0</v>
      </c>
      <c r="DE602" s="408">
        <v>0</v>
      </c>
      <c r="DF602" s="408">
        <v>0</v>
      </c>
      <c r="DG602" s="408">
        <v>-1.6657580204082478E-8</v>
      </c>
      <c r="DH602" s="408">
        <v>0</v>
      </c>
      <c r="DI602" s="408">
        <v>-12.054475578008521</v>
      </c>
      <c r="DJ602" s="408"/>
      <c r="DK602" s="408">
        <v>0</v>
      </c>
      <c r="DL602" s="408">
        <v>0</v>
      </c>
      <c r="DM602" s="408">
        <v>0</v>
      </c>
      <c r="DN602" s="408">
        <v>0</v>
      </c>
      <c r="DO602" s="408">
        <v>-1.8504489216292654</v>
      </c>
      <c r="DP602" s="408">
        <v>-0.60189262136705324</v>
      </c>
      <c r="DQ602" s="408">
        <v>0</v>
      </c>
      <c r="DR602" s="408">
        <v>0</v>
      </c>
      <c r="DS602" s="408"/>
      <c r="DT602" s="408"/>
      <c r="DU602" s="408">
        <v>2644.4061243139795</v>
      </c>
      <c r="DV602" s="408">
        <v>0</v>
      </c>
      <c r="DW602" s="408">
        <v>0</v>
      </c>
      <c r="DX602" s="408">
        <v>0</v>
      </c>
      <c r="DY602" s="408">
        <v>-1639.6035199999997</v>
      </c>
      <c r="DZ602" s="408">
        <v>0</v>
      </c>
      <c r="EA602" s="408">
        <v>0</v>
      </c>
      <c r="EB602" s="408">
        <v>0</v>
      </c>
      <c r="EC602" s="408">
        <v>-1621.4047152203325</v>
      </c>
      <c r="ED602" s="408">
        <v>0</v>
      </c>
      <c r="EE602" s="408">
        <v>0</v>
      </c>
      <c r="EF602" s="408">
        <v>0</v>
      </c>
      <c r="EG602" s="408">
        <v>0</v>
      </c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>
        <v>0</v>
      </c>
      <c r="EN602" s="408">
        <v>0</v>
      </c>
      <c r="EO602" s="408">
        <v>0</v>
      </c>
      <c r="EP602" s="408">
        <v>0</v>
      </c>
      <c r="EQ602" s="408">
        <v>0</v>
      </c>
      <c r="ER602" s="408">
        <v>0</v>
      </c>
      <c r="ES602" s="408">
        <v>0</v>
      </c>
      <c r="ET602" s="408">
        <v>0</v>
      </c>
      <c r="EU602" s="408">
        <v>0</v>
      </c>
      <c r="EV602" s="408">
        <v>265</v>
      </c>
      <c r="EW602" s="408">
        <v>0</v>
      </c>
      <c r="EX602" s="408">
        <v>0</v>
      </c>
      <c r="EY602" s="408">
        <v>0</v>
      </c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609</v>
      </c>
      <c r="B603" s="408" t="s">
        <v>2230</v>
      </c>
      <c r="C603" s="408" t="s">
        <v>2239</v>
      </c>
      <c r="D603" s="408" t="s">
        <v>596</v>
      </c>
      <c r="E603" s="408" t="s">
        <v>969</v>
      </c>
      <c r="F603" s="408" t="s">
        <v>1317</v>
      </c>
      <c r="G603" s="408" t="s">
        <v>1317</v>
      </c>
      <c r="H603" s="408" t="s">
        <v>1317</v>
      </c>
      <c r="I603" s="408" t="s">
        <v>1317</v>
      </c>
      <c r="J603" s="408" t="s">
        <v>2228</v>
      </c>
      <c r="K603" s="828">
        <v>44713</v>
      </c>
      <c r="L603" s="408">
        <v>0</v>
      </c>
      <c r="M603" s="408">
        <v>0</v>
      </c>
      <c r="N603" s="408">
        <v>0</v>
      </c>
      <c r="O603" s="408">
        <v>0</v>
      </c>
      <c r="P603" s="408">
        <v>0</v>
      </c>
      <c r="Q603" s="408">
        <v>0</v>
      </c>
      <c r="R603" s="408"/>
      <c r="S603" s="408"/>
      <c r="T603" s="408"/>
      <c r="U603" s="408"/>
      <c r="V603" s="408"/>
      <c r="W603" s="408"/>
      <c r="X603" s="408"/>
      <c r="Y603" s="408"/>
      <c r="Z603" s="408"/>
      <c r="AA603" s="408">
        <v>0</v>
      </c>
      <c r="AB603" s="408"/>
      <c r="AC603" s="408"/>
      <c r="AD603" s="408"/>
      <c r="AE603" s="408"/>
      <c r="AF603" s="408"/>
      <c r="AG603" s="408"/>
      <c r="AH603" s="408"/>
      <c r="AI603" s="408"/>
      <c r="AJ603" s="408"/>
      <c r="AK603" s="408"/>
      <c r="AL603" s="408"/>
      <c r="AM603" s="408"/>
      <c r="AN603" s="408"/>
      <c r="AO603" s="408"/>
      <c r="AP603" s="408"/>
      <c r="AQ603" s="408"/>
      <c r="AR603" s="408"/>
      <c r="AS603" s="408"/>
      <c r="AT603" s="408"/>
      <c r="AU603" s="408"/>
      <c r="AV603" s="408"/>
      <c r="AW603" s="408"/>
      <c r="AX603" s="408"/>
      <c r="AY603" s="408"/>
      <c r="AZ603" s="408">
        <v>0</v>
      </c>
      <c r="BA603" s="408"/>
      <c r="BB603" s="408"/>
      <c r="BC603" s="408"/>
      <c r="BD603" s="408"/>
      <c r="BE603" s="408"/>
      <c r="BF603" s="408"/>
      <c r="BG603" s="408"/>
      <c r="BH603" s="408"/>
      <c r="BI603" s="408">
        <v>0</v>
      </c>
      <c r="BJ603" s="408">
        <v>0</v>
      </c>
      <c r="BK603" s="408">
        <v>380.98</v>
      </c>
      <c r="BL603" s="408">
        <v>1</v>
      </c>
      <c r="BM603" s="408"/>
      <c r="BN603" s="408"/>
      <c r="BO603" s="408"/>
      <c r="BP603" s="408"/>
      <c r="BQ603" s="408"/>
      <c r="BR603" s="408"/>
      <c r="BS603" s="408"/>
      <c r="BT603" s="408"/>
      <c r="BU603" s="408"/>
      <c r="BV603" s="408"/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/>
      <c r="CJ603" s="408">
        <v>-0.03</v>
      </c>
      <c r="CK603" s="408"/>
      <c r="CL603" s="408"/>
      <c r="CM603" s="408"/>
      <c r="CN603" s="408"/>
      <c r="CO603" s="408">
        <v>0</v>
      </c>
      <c r="CP603" s="408">
        <v>0</v>
      </c>
      <c r="CQ603" s="408">
        <v>30</v>
      </c>
      <c r="CR603" s="408"/>
      <c r="CS603" s="408"/>
      <c r="CT603" s="408"/>
      <c r="CU603" s="408"/>
      <c r="CV603" s="408"/>
      <c r="CW603" s="408"/>
      <c r="CX603" s="408"/>
      <c r="CY603" s="408"/>
      <c r="CZ603" s="408"/>
      <c r="DA603" s="408"/>
      <c r="DB603" s="408"/>
      <c r="DC603" s="408"/>
      <c r="DD603" s="408"/>
      <c r="DE603" s="408"/>
      <c r="DF603" s="408"/>
      <c r="DG603" s="408"/>
      <c r="DH603" s="408"/>
      <c r="DI603" s="408"/>
      <c r="DJ603" s="408"/>
      <c r="DK603" s="408">
        <v>0</v>
      </c>
      <c r="DL603" s="408"/>
      <c r="DM603" s="408"/>
      <c r="DN603" s="408"/>
      <c r="DO603" s="408"/>
      <c r="DP603" s="408"/>
      <c r="DQ603" s="408"/>
      <c r="DR603" s="408"/>
      <c r="DS603" s="408"/>
      <c r="DT603" s="408"/>
      <c r="DU603" s="408"/>
      <c r="DV603" s="408"/>
      <c r="DW603" s="408"/>
      <c r="DX603" s="408"/>
      <c r="DY603" s="408"/>
      <c r="DZ603" s="408"/>
      <c r="EA603" s="408"/>
      <c r="EB603" s="408"/>
      <c r="EC603" s="408"/>
      <c r="ED603" s="408"/>
      <c r="EE603" s="408"/>
      <c r="EF603" s="408"/>
      <c r="EG603" s="408"/>
      <c r="EH603" s="408"/>
      <c r="EI603" s="408"/>
      <c r="EJ603" s="408"/>
      <c r="EK603" s="408"/>
      <c r="EL603" s="408"/>
      <c r="EM603" s="408"/>
      <c r="EN603" s="408"/>
      <c r="EO603" s="408"/>
      <c r="EP603" s="408"/>
      <c r="EQ603" s="408"/>
      <c r="ER603" s="408"/>
      <c r="ES603" s="408"/>
      <c r="ET603" s="408"/>
      <c r="EU603" s="408"/>
      <c r="EV603" s="408">
        <v>265</v>
      </c>
      <c r="EW603" s="408"/>
      <c r="EX603" s="408"/>
      <c r="EY603" s="408"/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610</v>
      </c>
      <c r="B604" s="408" t="s">
        <v>1031</v>
      </c>
      <c r="C604" s="408" t="s">
        <v>2235</v>
      </c>
      <c r="D604" s="408" t="s">
        <v>596</v>
      </c>
      <c r="E604" s="408" t="s">
        <v>969</v>
      </c>
      <c r="F604" s="408" t="s">
        <v>1317</v>
      </c>
      <c r="G604" s="408" t="s">
        <v>1317</v>
      </c>
      <c r="H604" s="408" t="s">
        <v>1317</v>
      </c>
      <c r="I604" s="408" t="s">
        <v>968</v>
      </c>
      <c r="J604" s="408" t="s">
        <v>2228</v>
      </c>
      <c r="K604" s="828">
        <v>44713</v>
      </c>
      <c r="L604" s="408">
        <v>0</v>
      </c>
      <c r="M604" s="408">
        <v>0</v>
      </c>
      <c r="N604" s="408">
        <v>3.0459999999999998</v>
      </c>
      <c r="O604" s="408">
        <v>2.9241600000000001</v>
      </c>
      <c r="P604" s="408">
        <v>3.0459999999999998</v>
      </c>
      <c r="Q604" s="408">
        <v>2.9241600000000001</v>
      </c>
      <c r="R604" s="408"/>
      <c r="S604" s="408">
        <v>2641.06</v>
      </c>
      <c r="T604" s="408">
        <v>252.22</v>
      </c>
      <c r="U604" s="408"/>
      <c r="V604" s="408">
        <v>8812.9308799999999</v>
      </c>
      <c r="W604" s="408">
        <v>8812.9308799999999</v>
      </c>
      <c r="X604" s="408">
        <v>5231.01764</v>
      </c>
      <c r="Y604" s="408">
        <v>0</v>
      </c>
      <c r="Z604" s="408">
        <v>163.9121021151586</v>
      </c>
      <c r="AA604" s="408">
        <v>0</v>
      </c>
      <c r="AB604" s="408">
        <v>0</v>
      </c>
      <c r="AC604" s="408">
        <v>0</v>
      </c>
      <c r="AD604" s="408">
        <v>1973.0982531825157</v>
      </c>
      <c r="AE604" s="408">
        <v>5824.2271777729302</v>
      </c>
      <c r="AF604" s="408">
        <v>768.27054973481711</v>
      </c>
      <c r="AG604" s="408">
        <v>0</v>
      </c>
      <c r="AH604" s="408">
        <v>0</v>
      </c>
      <c r="AI604" s="408">
        <v>0</v>
      </c>
      <c r="AJ604" s="408">
        <v>0</v>
      </c>
      <c r="AK604" s="408">
        <v>0</v>
      </c>
      <c r="AL604" s="408">
        <v>29.122894894461776</v>
      </c>
      <c r="AM604" s="408"/>
      <c r="AN604" s="408">
        <v>7.328390095248241</v>
      </c>
      <c r="AO604" s="408">
        <v>0</v>
      </c>
      <c r="AP604" s="408">
        <v>0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0</v>
      </c>
      <c r="BE604" s="408">
        <v>0</v>
      </c>
      <c r="BF604" s="408">
        <v>0</v>
      </c>
      <c r="BG604" s="408">
        <v>46.977974515843705</v>
      </c>
      <c r="BH604" s="408">
        <v>0</v>
      </c>
      <c r="BI604" s="408">
        <v>0</v>
      </c>
      <c r="BJ604" s="408">
        <v>0</v>
      </c>
      <c r="BK604" s="408">
        <v>0</v>
      </c>
      <c r="BL604" s="408">
        <v>0</v>
      </c>
      <c r="BM604" s="408"/>
      <c r="BN604" s="408"/>
      <c r="BO604" s="408"/>
      <c r="BP604" s="408"/>
      <c r="BQ604" s="408"/>
      <c r="BR604" s="408">
        <v>209.24070559999953</v>
      </c>
      <c r="BS604" s="408"/>
      <c r="BT604" s="408"/>
      <c r="BU604" s="408"/>
      <c r="BV604" s="408">
        <v>815.24852425066081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5014.6327999999994</v>
      </c>
      <c r="CJ604" s="408">
        <v>-3445.8108448000003</v>
      </c>
      <c r="CK604" s="408"/>
      <c r="CL604" s="408"/>
      <c r="CM604" s="408"/>
      <c r="CN604" s="408"/>
      <c r="CO604" s="408">
        <v>-3581.9132399999999</v>
      </c>
      <c r="CP604" s="408">
        <v>0</v>
      </c>
      <c r="CQ604" s="408">
        <v>30</v>
      </c>
      <c r="CR604" s="408">
        <v>-10.806727572785348</v>
      </c>
      <c r="CS604" s="408">
        <v>0</v>
      </c>
      <c r="CT604" s="408">
        <v>0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-5.0710362655306653</v>
      </c>
      <c r="DA604" s="408">
        <v>0</v>
      </c>
      <c r="DB604" s="408">
        <v>0</v>
      </c>
      <c r="DC604" s="408">
        <v>-1.0770668268378358E-7</v>
      </c>
      <c r="DD604" s="408">
        <v>0</v>
      </c>
      <c r="DE604" s="408">
        <v>0</v>
      </c>
      <c r="DF604" s="408">
        <v>0</v>
      </c>
      <c r="DG604" s="408">
        <v>-6.5860561448971566E-9</v>
      </c>
      <c r="DH604" s="408">
        <v>0</v>
      </c>
      <c r="DI604" s="408">
        <v>-4.7660867874628536</v>
      </c>
      <c r="DJ604" s="408"/>
      <c r="DK604" s="408">
        <v>0</v>
      </c>
      <c r="DL604" s="408">
        <v>0</v>
      </c>
      <c r="DM604" s="408">
        <v>0</v>
      </c>
      <c r="DN604" s="408">
        <v>0</v>
      </c>
      <c r="DO604" s="408">
        <v>-0.73162868838041462</v>
      </c>
      <c r="DP604" s="408">
        <v>-0.23797571711890608</v>
      </c>
      <c r="DQ604" s="408">
        <v>0</v>
      </c>
      <c r="DR604" s="408">
        <v>0</v>
      </c>
      <c r="DS604" s="408"/>
      <c r="DT604" s="408"/>
      <c r="DU604" s="408"/>
      <c r="DV604" s="408">
        <v>5824.2271777729302</v>
      </c>
      <c r="DW604" s="408">
        <v>0</v>
      </c>
      <c r="DX604" s="408">
        <v>0</v>
      </c>
      <c r="DY604" s="408">
        <v>-3581.9132399999999</v>
      </c>
      <c r="DZ604" s="408">
        <v>0</v>
      </c>
      <c r="EA604" s="408">
        <v>0</v>
      </c>
      <c r="EB604" s="408">
        <v>0</v>
      </c>
      <c r="EC604" s="408">
        <v>-3571.0964823927216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0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265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611</v>
      </c>
      <c r="B605" s="408" t="s">
        <v>2230</v>
      </c>
      <c r="C605" s="408" t="s">
        <v>2235</v>
      </c>
      <c r="D605" s="408" t="s">
        <v>596</v>
      </c>
      <c r="E605" s="408" t="s">
        <v>969</v>
      </c>
      <c r="F605" s="408" t="s">
        <v>1317</v>
      </c>
      <c r="G605" s="408" t="s">
        <v>1317</v>
      </c>
      <c r="H605" s="408" t="s">
        <v>1317</v>
      </c>
      <c r="I605" s="408" t="s">
        <v>968</v>
      </c>
      <c r="J605" s="408" t="s">
        <v>2228</v>
      </c>
      <c r="K605" s="828">
        <v>44713</v>
      </c>
      <c r="L605" s="408">
        <v>0</v>
      </c>
      <c r="M605" s="408">
        <v>0</v>
      </c>
      <c r="N605" s="408">
        <v>2.0249999999999999</v>
      </c>
      <c r="O605" s="408">
        <v>1.944</v>
      </c>
      <c r="P605" s="408">
        <v>2.0249999999999999</v>
      </c>
      <c r="Q605" s="408">
        <v>1.944</v>
      </c>
      <c r="R605" s="408"/>
      <c r="S605" s="408">
        <v>2641.06</v>
      </c>
      <c r="T605" s="408">
        <v>252.22</v>
      </c>
      <c r="U605" s="408"/>
      <c r="V605" s="408">
        <v>5858.8919999999998</v>
      </c>
      <c r="W605" s="408">
        <v>5858.8919999999998</v>
      </c>
      <c r="X605" s="408">
        <v>3477.6134999999995</v>
      </c>
      <c r="Y605" s="408">
        <v>0</v>
      </c>
      <c r="Z605" s="408">
        <v>108.96979868128568</v>
      </c>
      <c r="AA605" s="408">
        <v>0</v>
      </c>
      <c r="AB605" s="408">
        <v>0</v>
      </c>
      <c r="AC605" s="408">
        <v>0</v>
      </c>
      <c r="AD605" s="408">
        <v>1311.7281558419547</v>
      </c>
      <c r="AE605" s="408">
        <v>3871.9829399179857</v>
      </c>
      <c r="AF605" s="408">
        <v>510.75110414084196</v>
      </c>
      <c r="AG605" s="408">
        <v>0</v>
      </c>
      <c r="AH605" s="408">
        <v>0</v>
      </c>
      <c r="AI605" s="408">
        <v>0</v>
      </c>
      <c r="AJ605" s="408">
        <v>0</v>
      </c>
      <c r="AK605" s="408">
        <v>0</v>
      </c>
      <c r="AL605" s="408">
        <v>19.361084097598521</v>
      </c>
      <c r="AM605" s="408"/>
      <c r="AN605" s="408">
        <v>4.8719599287188737</v>
      </c>
      <c r="AO605" s="408">
        <v>0</v>
      </c>
      <c r="AP605" s="408">
        <v>0</v>
      </c>
      <c r="AQ605" s="408">
        <v>0</v>
      </c>
      <c r="AR605" s="408">
        <v>0</v>
      </c>
      <c r="AS605" s="408">
        <v>0</v>
      </c>
      <c r="AT605" s="408">
        <v>0</v>
      </c>
      <c r="AU605" s="408">
        <v>0</v>
      </c>
      <c r="AV605" s="408">
        <v>0</v>
      </c>
      <c r="AW605" s="408">
        <v>0</v>
      </c>
      <c r="AX605" s="408">
        <v>0</v>
      </c>
      <c r="AY605" s="408">
        <v>0</v>
      </c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0</v>
      </c>
      <c r="BF605" s="408">
        <v>0</v>
      </c>
      <c r="BG605" s="408">
        <v>31.231253576685329</v>
      </c>
      <c r="BH605" s="408">
        <v>0</v>
      </c>
      <c r="BI605" s="408">
        <v>0</v>
      </c>
      <c r="BJ605" s="408">
        <v>0</v>
      </c>
      <c r="BK605" s="408">
        <v>0</v>
      </c>
      <c r="BL605" s="408">
        <v>0</v>
      </c>
      <c r="BM605" s="408"/>
      <c r="BN605" s="408"/>
      <c r="BO605" s="408"/>
      <c r="BP605" s="408"/>
      <c r="BQ605" s="408"/>
      <c r="BR605" s="408">
        <v>139.10453999999993</v>
      </c>
      <c r="BS605" s="408"/>
      <c r="BT605" s="408"/>
      <c r="BU605" s="408"/>
      <c r="BV605" s="408">
        <v>541.98235771752729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3331.6395999999995</v>
      </c>
      <c r="CJ605" s="408">
        <v>-2292.9267200000004</v>
      </c>
      <c r="CK605" s="408"/>
      <c r="CL605" s="408"/>
      <c r="CM605" s="408"/>
      <c r="CN605" s="408"/>
      <c r="CO605" s="408">
        <v>-2381.2784999999999</v>
      </c>
      <c r="CP605" s="408">
        <v>0</v>
      </c>
      <c r="CQ605" s="408">
        <v>30</v>
      </c>
      <c r="CR605" s="408">
        <v>-7.1843806089593727</v>
      </c>
      <c r="CS605" s="408">
        <v>0</v>
      </c>
      <c r="CT605" s="408">
        <v>0</v>
      </c>
      <c r="CU605" s="408">
        <v>0</v>
      </c>
      <c r="CV605" s="408">
        <v>0</v>
      </c>
      <c r="CW605" s="408">
        <v>0</v>
      </c>
      <c r="CX605" s="408">
        <v>0</v>
      </c>
      <c r="CY605" s="408">
        <v>0</v>
      </c>
      <c r="CZ605" s="408">
        <v>-3.371256873834227</v>
      </c>
      <c r="DA605" s="408">
        <v>0</v>
      </c>
      <c r="DB605" s="408">
        <v>0</v>
      </c>
      <c r="DC605" s="408">
        <v>-7.1604006279812893E-8</v>
      </c>
      <c r="DD605" s="408">
        <v>0</v>
      </c>
      <c r="DE605" s="408">
        <v>0</v>
      </c>
      <c r="DF605" s="408">
        <v>0</v>
      </c>
      <c r="DG605" s="408">
        <v>-4.3784531555957074E-9</v>
      </c>
      <c r="DH605" s="408">
        <v>0</v>
      </c>
      <c r="DI605" s="408">
        <v>-3.1685245386120471</v>
      </c>
      <c r="DJ605" s="408"/>
      <c r="DK605" s="408">
        <v>0</v>
      </c>
      <c r="DL605" s="408">
        <v>0</v>
      </c>
      <c r="DM605" s="408">
        <v>0</v>
      </c>
      <c r="DN605" s="408">
        <v>0</v>
      </c>
      <c r="DO605" s="408">
        <v>-0.48639136374600866</v>
      </c>
      <c r="DP605" s="408">
        <v>-0.15820775678456567</v>
      </c>
      <c r="DQ605" s="408">
        <v>0</v>
      </c>
      <c r="DR605" s="408">
        <v>0</v>
      </c>
      <c r="DS605" s="408"/>
      <c r="DT605" s="408"/>
      <c r="DU605" s="408"/>
      <c r="DV605" s="408">
        <v>3871.9829399179857</v>
      </c>
      <c r="DW605" s="408">
        <v>0</v>
      </c>
      <c r="DX605" s="408">
        <v>0</v>
      </c>
      <c r="DY605" s="408">
        <v>-2381.2785000000003</v>
      </c>
      <c r="DZ605" s="408">
        <v>0</v>
      </c>
      <c r="EA605" s="408">
        <v>0</v>
      </c>
      <c r="EB605" s="408">
        <v>0</v>
      </c>
      <c r="EC605" s="408">
        <v>-2374.0874513608869</v>
      </c>
      <c r="ED605" s="408">
        <v>0</v>
      </c>
      <c r="EE605" s="408">
        <v>0</v>
      </c>
      <c r="EF605" s="408">
        <v>0</v>
      </c>
      <c r="EG605" s="408">
        <v>0</v>
      </c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>
        <v>0</v>
      </c>
      <c r="EN605" s="408">
        <v>0</v>
      </c>
      <c r="EO605" s="408">
        <v>0</v>
      </c>
      <c r="EP605" s="408">
        <v>0</v>
      </c>
      <c r="EQ605" s="408">
        <v>0</v>
      </c>
      <c r="ER605" s="408">
        <v>0</v>
      </c>
      <c r="ES605" s="408">
        <v>0</v>
      </c>
      <c r="ET605" s="408">
        <v>0</v>
      </c>
      <c r="EU605" s="408">
        <v>0</v>
      </c>
      <c r="EV605" s="408">
        <v>265</v>
      </c>
      <c r="EW605" s="408">
        <v>0</v>
      </c>
      <c r="EX605" s="408">
        <v>0</v>
      </c>
      <c r="EY605" s="408">
        <v>0</v>
      </c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612</v>
      </c>
      <c r="B606" s="408" t="s">
        <v>1031</v>
      </c>
      <c r="C606" s="408" t="s">
        <v>2235</v>
      </c>
      <c r="D606" s="408" t="s">
        <v>596</v>
      </c>
      <c r="E606" s="408" t="s">
        <v>969</v>
      </c>
      <c r="F606" s="408" t="s">
        <v>1317</v>
      </c>
      <c r="G606" s="408" t="s">
        <v>1317</v>
      </c>
      <c r="H606" s="408" t="s">
        <v>1317</v>
      </c>
      <c r="I606" s="408" t="s">
        <v>2236</v>
      </c>
      <c r="J606" s="408" t="s">
        <v>2228</v>
      </c>
      <c r="K606" s="828">
        <v>44713</v>
      </c>
      <c r="L606" s="408">
        <v>0</v>
      </c>
      <c r="M606" s="408">
        <v>0</v>
      </c>
      <c r="N606" s="408">
        <v>41.88</v>
      </c>
      <c r="O606" s="408">
        <v>40.204799999999999</v>
      </c>
      <c r="P606" s="408">
        <v>41.88</v>
      </c>
      <c r="Q606" s="408">
        <v>40.204799999999999</v>
      </c>
      <c r="R606" s="408"/>
      <c r="S606" s="408">
        <v>81.2</v>
      </c>
      <c r="T606" s="408">
        <v>252.22</v>
      </c>
      <c r="U606" s="408"/>
      <c r="V606" s="408">
        <v>13963.629600000002</v>
      </c>
      <c r="W606" s="408">
        <v>13963.629600000002</v>
      </c>
      <c r="X606" s="408">
        <v>13884.895200000001</v>
      </c>
      <c r="Y606" s="408">
        <v>0</v>
      </c>
      <c r="Z606" s="408">
        <v>2253.6568734677753</v>
      </c>
      <c r="AA606" s="408">
        <v>0</v>
      </c>
      <c r="AB606" s="408">
        <v>0</v>
      </c>
      <c r="AC606" s="408">
        <v>0</v>
      </c>
      <c r="AD606" s="408">
        <v>0</v>
      </c>
      <c r="AE606" s="408">
        <v>0</v>
      </c>
      <c r="AF606" s="408">
        <v>10563.089501935045</v>
      </c>
      <c r="AG606" s="408">
        <v>0</v>
      </c>
      <c r="AH606" s="408">
        <v>0</v>
      </c>
      <c r="AI606" s="408">
        <v>0</v>
      </c>
      <c r="AJ606" s="408">
        <v>0</v>
      </c>
      <c r="AK606" s="408">
        <v>0</v>
      </c>
      <c r="AL606" s="408">
        <v>400.41590222588945</v>
      </c>
      <c r="AM606" s="408"/>
      <c r="AN606" s="408">
        <v>100.75934904431922</v>
      </c>
      <c r="AO606" s="408">
        <v>0</v>
      </c>
      <c r="AP606" s="408">
        <v>0</v>
      </c>
      <c r="AQ606" s="408">
        <v>0</v>
      </c>
      <c r="AR606" s="408">
        <v>0</v>
      </c>
      <c r="AS606" s="408">
        <v>0</v>
      </c>
      <c r="AT606" s="408">
        <v>0</v>
      </c>
      <c r="AU606" s="408">
        <v>0</v>
      </c>
      <c r="AV606" s="408">
        <v>0</v>
      </c>
      <c r="AW606" s="408">
        <v>0</v>
      </c>
      <c r="AX606" s="408">
        <v>0</v>
      </c>
      <c r="AY606" s="408">
        <v>0</v>
      </c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0</v>
      </c>
      <c r="BF606" s="408">
        <v>0</v>
      </c>
      <c r="BG606" s="408">
        <v>645.90859248967001</v>
      </c>
      <c r="BH606" s="408">
        <v>0</v>
      </c>
      <c r="BI606" s="408">
        <v>0</v>
      </c>
      <c r="BJ606" s="408">
        <v>0</v>
      </c>
      <c r="BK606" s="408">
        <v>0</v>
      </c>
      <c r="BL606" s="408">
        <v>0</v>
      </c>
      <c r="BM606" s="408"/>
      <c r="BN606" s="408"/>
      <c r="BO606" s="408"/>
      <c r="BP606" s="408"/>
      <c r="BQ606" s="408"/>
      <c r="BR606" s="408">
        <v>555.39580800000124</v>
      </c>
      <c r="BS606" s="408"/>
      <c r="BT606" s="408"/>
      <c r="BU606" s="408"/>
      <c r="BV606" s="408">
        <v>11208.998094424715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13327.907999999999</v>
      </c>
      <c r="CJ606" s="408">
        <v>-77.2064160000009</v>
      </c>
      <c r="CK606" s="408"/>
      <c r="CL606" s="408"/>
      <c r="CM606" s="408"/>
      <c r="CN606" s="408"/>
      <c r="CO606" s="408">
        <v>-78.734400000000406</v>
      </c>
      <c r="CP606" s="408">
        <v>0</v>
      </c>
      <c r="CQ606" s="408">
        <v>30</v>
      </c>
      <c r="CR606" s="408">
        <v>-78.861047914588198</v>
      </c>
      <c r="CS606" s="408">
        <v>0</v>
      </c>
      <c r="CT606" s="408">
        <v>0</v>
      </c>
      <c r="CU606" s="408">
        <v>0</v>
      </c>
      <c r="CV606" s="408">
        <v>0</v>
      </c>
      <c r="CW606" s="408">
        <v>0</v>
      </c>
      <c r="CX606" s="408">
        <v>0</v>
      </c>
      <c r="CY606" s="408">
        <v>0</v>
      </c>
      <c r="CZ606" s="408">
        <v>0</v>
      </c>
      <c r="DA606" s="408">
        <v>0</v>
      </c>
      <c r="DB606" s="408">
        <v>0</v>
      </c>
      <c r="DC606" s="408">
        <v>-1.4808774722041562E-6</v>
      </c>
      <c r="DD606" s="408">
        <v>0</v>
      </c>
      <c r="DE606" s="408">
        <v>0</v>
      </c>
      <c r="DF606" s="408">
        <v>0</v>
      </c>
      <c r="DG606" s="408">
        <v>-9.0552930487319827E-8</v>
      </c>
      <c r="DH606" s="408">
        <v>0</v>
      </c>
      <c r="DI606" s="408">
        <v>-65.529781568925046</v>
      </c>
      <c r="DJ606" s="408"/>
      <c r="DK606" s="408">
        <v>0</v>
      </c>
      <c r="DL606" s="408">
        <v>0</v>
      </c>
      <c r="DM606" s="408">
        <v>0</v>
      </c>
      <c r="DN606" s="408">
        <v>0</v>
      </c>
      <c r="DO606" s="408">
        <v>-10.059293982065583</v>
      </c>
      <c r="DP606" s="408">
        <v>-3.2719707921666981</v>
      </c>
      <c r="DQ606" s="408">
        <v>0</v>
      </c>
      <c r="DR606" s="408">
        <v>0</v>
      </c>
      <c r="DS606" s="408"/>
      <c r="DT606" s="408"/>
      <c r="DU606" s="408"/>
      <c r="DV606" s="408">
        <v>0</v>
      </c>
      <c r="DW606" s="408">
        <v>0</v>
      </c>
      <c r="DX606" s="408">
        <v>0</v>
      </c>
      <c r="DY606" s="408">
        <v>-78.734400000000278</v>
      </c>
      <c r="DZ606" s="408">
        <v>0</v>
      </c>
      <c r="EA606" s="408">
        <v>0</v>
      </c>
      <c r="EB606" s="408">
        <v>0</v>
      </c>
      <c r="EC606" s="408">
        <v>0</v>
      </c>
      <c r="ED606" s="408">
        <v>0</v>
      </c>
      <c r="EE606" s="408">
        <v>0</v>
      </c>
      <c r="EF606" s="408">
        <v>0</v>
      </c>
      <c r="EG606" s="408">
        <v>0</v>
      </c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>
        <v>0</v>
      </c>
      <c r="EN606" s="408">
        <v>0</v>
      </c>
      <c r="EO606" s="408">
        <v>0</v>
      </c>
      <c r="EP606" s="408">
        <v>0</v>
      </c>
      <c r="EQ606" s="408">
        <v>0</v>
      </c>
      <c r="ER606" s="408">
        <v>0</v>
      </c>
      <c r="ES606" s="408">
        <v>0</v>
      </c>
      <c r="ET606" s="408">
        <v>0</v>
      </c>
      <c r="EU606" s="408">
        <v>0</v>
      </c>
      <c r="EV606" s="408">
        <v>265</v>
      </c>
      <c r="EW606" s="408">
        <v>0</v>
      </c>
      <c r="EX606" s="408">
        <v>0</v>
      </c>
      <c r="EY606" s="408">
        <v>0</v>
      </c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613</v>
      </c>
      <c r="B607" s="408" t="s">
        <v>2230</v>
      </c>
      <c r="C607" s="408" t="s">
        <v>2235</v>
      </c>
      <c r="D607" s="408" t="s">
        <v>596</v>
      </c>
      <c r="E607" s="408" t="s">
        <v>969</v>
      </c>
      <c r="F607" s="408" t="s">
        <v>1317</v>
      </c>
      <c r="G607" s="408" t="s">
        <v>1317</v>
      </c>
      <c r="H607" s="408" t="s">
        <v>1317</v>
      </c>
      <c r="I607" s="408" t="s">
        <v>2236</v>
      </c>
      <c r="J607" s="408" t="s">
        <v>2228</v>
      </c>
      <c r="K607" s="828">
        <v>44713</v>
      </c>
      <c r="L607" s="408">
        <v>0</v>
      </c>
      <c r="M607" s="408">
        <v>0</v>
      </c>
      <c r="N607" s="408">
        <v>44.261000000000003</v>
      </c>
      <c r="O607" s="408">
        <v>42.490560000000002</v>
      </c>
      <c r="P607" s="408">
        <v>44.261000000000003</v>
      </c>
      <c r="Q607" s="408">
        <v>42.490560000000002</v>
      </c>
      <c r="R607" s="408"/>
      <c r="S607" s="408">
        <v>81.2</v>
      </c>
      <c r="T607" s="408">
        <v>252.22</v>
      </c>
      <c r="U607" s="408"/>
      <c r="V607" s="408">
        <v>14757.502620000001</v>
      </c>
      <c r="W607" s="408">
        <v>14757.502620000001</v>
      </c>
      <c r="X607" s="408">
        <v>14674.291939999999</v>
      </c>
      <c r="Y607" s="408">
        <v>0</v>
      </c>
      <c r="Z607" s="408">
        <v>2381.7838318184622</v>
      </c>
      <c r="AA607" s="408">
        <v>0</v>
      </c>
      <c r="AB607" s="408">
        <v>0</v>
      </c>
      <c r="AC607" s="408">
        <v>0</v>
      </c>
      <c r="AD607" s="408">
        <v>0</v>
      </c>
      <c r="AE607" s="408">
        <v>0</v>
      </c>
      <c r="AF607" s="408">
        <v>11163.631911297683</v>
      </c>
      <c r="AG607" s="408">
        <v>0</v>
      </c>
      <c r="AH607" s="408">
        <v>0</v>
      </c>
      <c r="AI607" s="408">
        <v>0</v>
      </c>
      <c r="AJ607" s="408">
        <v>0</v>
      </c>
      <c r="AK607" s="408">
        <v>0</v>
      </c>
      <c r="AL607" s="408">
        <v>423.18071271299175</v>
      </c>
      <c r="AM607" s="408"/>
      <c r="AN607" s="408">
        <v>106.48781155803756</v>
      </c>
      <c r="AO607" s="408">
        <v>0</v>
      </c>
      <c r="AP607" s="408">
        <v>0</v>
      </c>
      <c r="AQ607" s="408">
        <v>0</v>
      </c>
      <c r="AR607" s="408">
        <v>0</v>
      </c>
      <c r="AS607" s="408">
        <v>0</v>
      </c>
      <c r="AT607" s="408">
        <v>0</v>
      </c>
      <c r="AU607" s="408">
        <v>0</v>
      </c>
      <c r="AV607" s="408">
        <v>0</v>
      </c>
      <c r="AW607" s="408">
        <v>0</v>
      </c>
      <c r="AX607" s="408">
        <v>0</v>
      </c>
      <c r="AY607" s="408">
        <v>0</v>
      </c>
      <c r="AZ607" s="408">
        <v>0</v>
      </c>
      <c r="BA607" s="408"/>
      <c r="BB607" s="408">
        <v>0</v>
      </c>
      <c r="BC607" s="408">
        <v>0</v>
      </c>
      <c r="BD607" s="408">
        <v>0</v>
      </c>
      <c r="BE607" s="408">
        <v>0</v>
      </c>
      <c r="BF607" s="408">
        <v>0</v>
      </c>
      <c r="BG607" s="408">
        <v>682.63037755934295</v>
      </c>
      <c r="BH607" s="408">
        <v>0</v>
      </c>
      <c r="BI607" s="408">
        <v>0</v>
      </c>
      <c r="BJ607" s="408">
        <v>0</v>
      </c>
      <c r="BK607" s="408">
        <v>0</v>
      </c>
      <c r="BL607" s="408">
        <v>0</v>
      </c>
      <c r="BM607" s="408"/>
      <c r="BN607" s="408"/>
      <c r="BO607" s="408"/>
      <c r="BP607" s="408"/>
      <c r="BQ607" s="408"/>
      <c r="BR607" s="408">
        <v>586.97167760000025</v>
      </c>
      <c r="BS607" s="408"/>
      <c r="BT607" s="408"/>
      <c r="BU607" s="408"/>
      <c r="BV607" s="408">
        <v>11846.262288857026</v>
      </c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>
        <v>14087.134600000001</v>
      </c>
      <c r="CJ607" s="408">
        <v>-80.097915199999989</v>
      </c>
      <c r="CK607" s="408"/>
      <c r="CL607" s="408"/>
      <c r="CM607" s="408"/>
      <c r="CN607" s="408"/>
      <c r="CO607" s="408">
        <v>-83.210680000000437</v>
      </c>
      <c r="CP607" s="408">
        <v>0</v>
      </c>
      <c r="CQ607" s="408">
        <v>30</v>
      </c>
      <c r="CR607" s="408">
        <v>-83.344528217467087</v>
      </c>
      <c r="CS607" s="408">
        <v>0</v>
      </c>
      <c r="CT607" s="408">
        <v>0</v>
      </c>
      <c r="CU607" s="408">
        <v>0</v>
      </c>
      <c r="CV607" s="408">
        <v>0</v>
      </c>
      <c r="CW607" s="408">
        <v>0</v>
      </c>
      <c r="CX607" s="408">
        <v>0</v>
      </c>
      <c r="CY607" s="408">
        <v>0</v>
      </c>
      <c r="CZ607" s="408">
        <v>0</v>
      </c>
      <c r="DA607" s="408">
        <v>0</v>
      </c>
      <c r="DB607" s="408">
        <v>0</v>
      </c>
      <c r="DC607" s="408">
        <v>-1.5650693967472762E-6</v>
      </c>
      <c r="DD607" s="408">
        <v>0</v>
      </c>
      <c r="DE607" s="408">
        <v>0</v>
      </c>
      <c r="DF607" s="408">
        <v>0</v>
      </c>
      <c r="DG607" s="408">
        <v>-9.5701125246705487E-8</v>
      </c>
      <c r="DH607" s="408">
        <v>0</v>
      </c>
      <c r="DI607" s="408">
        <v>-69.255340544942101</v>
      </c>
      <c r="DJ607" s="408"/>
      <c r="DK607" s="408">
        <v>0</v>
      </c>
      <c r="DL607" s="408">
        <v>0</v>
      </c>
      <c r="DM607" s="408">
        <v>0</v>
      </c>
      <c r="DN607" s="408">
        <v>0</v>
      </c>
      <c r="DO607" s="408">
        <v>-10.631194148524457</v>
      </c>
      <c r="DP607" s="408">
        <v>-3.4579918632304327</v>
      </c>
      <c r="DQ607" s="408">
        <v>0</v>
      </c>
      <c r="DR607" s="408">
        <v>0</v>
      </c>
      <c r="DS607" s="408"/>
      <c r="DT607" s="408"/>
      <c r="DU607" s="408"/>
      <c r="DV607" s="408">
        <v>0</v>
      </c>
      <c r="DW607" s="408">
        <v>0</v>
      </c>
      <c r="DX607" s="408">
        <v>0</v>
      </c>
      <c r="DY607" s="408">
        <v>-83.210680000000593</v>
      </c>
      <c r="DZ607" s="408">
        <v>0</v>
      </c>
      <c r="EA607" s="408">
        <v>0</v>
      </c>
      <c r="EB607" s="408">
        <v>0</v>
      </c>
      <c r="EC607" s="408">
        <v>0</v>
      </c>
      <c r="ED607" s="408">
        <v>0</v>
      </c>
      <c r="EE607" s="408">
        <v>0</v>
      </c>
      <c r="EF607" s="408">
        <v>0</v>
      </c>
      <c r="EG607" s="408">
        <v>0</v>
      </c>
      <c r="EH607" s="408">
        <v>0</v>
      </c>
      <c r="EI607" s="408">
        <v>0</v>
      </c>
      <c r="EJ607" s="408">
        <v>0</v>
      </c>
      <c r="EK607" s="408">
        <v>0</v>
      </c>
      <c r="EL607" s="408">
        <v>0</v>
      </c>
      <c r="EM607" s="408">
        <v>0</v>
      </c>
      <c r="EN607" s="408">
        <v>0</v>
      </c>
      <c r="EO607" s="408">
        <v>0</v>
      </c>
      <c r="EP607" s="408">
        <v>0</v>
      </c>
      <c r="EQ607" s="408">
        <v>0</v>
      </c>
      <c r="ER607" s="408">
        <v>0</v>
      </c>
      <c r="ES607" s="408">
        <v>0</v>
      </c>
      <c r="ET607" s="408">
        <v>0</v>
      </c>
      <c r="EU607" s="408">
        <v>0</v>
      </c>
      <c r="EV607" s="408">
        <v>265</v>
      </c>
      <c r="EW607" s="408">
        <v>0</v>
      </c>
      <c r="EX607" s="408">
        <v>0</v>
      </c>
      <c r="EY607" s="408">
        <v>0</v>
      </c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614</v>
      </c>
      <c r="B608" s="408" t="s">
        <v>1031</v>
      </c>
      <c r="C608" s="408" t="s">
        <v>2235</v>
      </c>
      <c r="D608" s="408" t="s">
        <v>596</v>
      </c>
      <c r="E608" s="408" t="s">
        <v>969</v>
      </c>
      <c r="F608" s="408" t="s">
        <v>1317</v>
      </c>
      <c r="G608" s="408" t="s">
        <v>1317</v>
      </c>
      <c r="H608" s="408" t="s">
        <v>1317</v>
      </c>
      <c r="I608" s="408" t="s">
        <v>1317</v>
      </c>
      <c r="J608" s="408" t="s">
        <v>2228</v>
      </c>
      <c r="K608" s="828">
        <v>44713</v>
      </c>
      <c r="L608" s="408">
        <v>437</v>
      </c>
      <c r="M608" s="408">
        <v>419.52</v>
      </c>
      <c r="N608" s="408">
        <v>0</v>
      </c>
      <c r="O608" s="408">
        <v>0</v>
      </c>
      <c r="P608" s="408">
        <v>0</v>
      </c>
      <c r="Q608" s="408">
        <v>0</v>
      </c>
      <c r="R608" s="408">
        <v>74.44</v>
      </c>
      <c r="S608" s="408"/>
      <c r="T608" s="408"/>
      <c r="U608" s="408">
        <v>32530.28</v>
      </c>
      <c r="V608" s="408"/>
      <c r="W608" s="408">
        <v>32530.28</v>
      </c>
      <c r="X608" s="408">
        <v>19848.54</v>
      </c>
      <c r="Y608" s="408">
        <v>0</v>
      </c>
      <c r="Z608" s="408">
        <v>0</v>
      </c>
      <c r="AA608" s="408">
        <v>0</v>
      </c>
      <c r="AB608" s="408">
        <v>0</v>
      </c>
      <c r="AC608" s="408">
        <v>0</v>
      </c>
      <c r="AD608" s="408">
        <v>11893.869435807437</v>
      </c>
      <c r="AE608" s="408">
        <v>20635.812077235874</v>
      </c>
      <c r="AF608" s="408"/>
      <c r="AG608" s="408"/>
      <c r="AH608" s="408"/>
      <c r="AI608" s="408">
        <v>0</v>
      </c>
      <c r="AJ608" s="408">
        <v>0</v>
      </c>
      <c r="AK608" s="408">
        <v>0</v>
      </c>
      <c r="AL608" s="408">
        <v>0</v>
      </c>
      <c r="AM608" s="408"/>
      <c r="AN608" s="408">
        <v>0</v>
      </c>
      <c r="AO608" s="408">
        <v>0</v>
      </c>
      <c r="AP608" s="408">
        <v>0</v>
      </c>
      <c r="AQ608" s="408">
        <v>0</v>
      </c>
      <c r="AR608" s="408">
        <v>0</v>
      </c>
      <c r="AS608" s="408"/>
      <c r="AT608" s="408"/>
      <c r="AU608" s="408">
        <v>0</v>
      </c>
      <c r="AV608" s="408">
        <v>0</v>
      </c>
      <c r="AW608" s="408">
        <v>0</v>
      </c>
      <c r="AX608" s="408"/>
      <c r="AY608" s="408"/>
      <c r="AZ608" s="408">
        <v>0</v>
      </c>
      <c r="BA608" s="408"/>
      <c r="BB608" s="408">
        <v>0</v>
      </c>
      <c r="BC608" s="408">
        <v>0</v>
      </c>
      <c r="BD608" s="408">
        <v>0</v>
      </c>
      <c r="BE608" s="408">
        <v>0</v>
      </c>
      <c r="BF608" s="408"/>
      <c r="BG608" s="408">
        <v>0</v>
      </c>
      <c r="BH608" s="408">
        <v>0</v>
      </c>
      <c r="BI608" s="408">
        <v>0</v>
      </c>
      <c r="BJ608" s="408">
        <v>0</v>
      </c>
      <c r="BK608" s="408">
        <v>16.940000000000001</v>
      </c>
      <c r="BL608" s="408">
        <v>3</v>
      </c>
      <c r="BM608" s="408"/>
      <c r="BN608" s="408"/>
      <c r="BO608" s="408"/>
      <c r="BP608" s="408"/>
      <c r="BQ608" s="408"/>
      <c r="BR608" s="408">
        <v>793.9416000000009</v>
      </c>
      <c r="BS608" s="408"/>
      <c r="BT608" s="408"/>
      <c r="BU608" s="408"/>
      <c r="BV608" s="408">
        <v>0</v>
      </c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>
        <v>19054.598399999999</v>
      </c>
      <c r="CJ608" s="408">
        <v>-12174.500399999994</v>
      </c>
      <c r="CK608" s="408"/>
      <c r="CL608" s="408"/>
      <c r="CM608" s="408"/>
      <c r="CN608" s="408"/>
      <c r="CO608" s="408">
        <v>-12681.739999999998</v>
      </c>
      <c r="CP608" s="408">
        <v>0</v>
      </c>
      <c r="CQ608" s="408">
        <v>30</v>
      </c>
      <c r="CR608" s="408">
        <v>-30.56829184718481</v>
      </c>
      <c r="CS608" s="408">
        <v>0</v>
      </c>
      <c r="CT608" s="408">
        <v>0</v>
      </c>
      <c r="CU608" s="408">
        <v>0</v>
      </c>
      <c r="CV608" s="408">
        <v>0</v>
      </c>
      <c r="CW608" s="408"/>
      <c r="CX608" s="408"/>
      <c r="CY608" s="408"/>
      <c r="CZ608" s="408">
        <v>-30.56829184718481</v>
      </c>
      <c r="DA608" s="408">
        <v>0</v>
      </c>
      <c r="DB608" s="408">
        <v>0</v>
      </c>
      <c r="DC608" s="408"/>
      <c r="DD608" s="408"/>
      <c r="DE608" s="408">
        <v>0</v>
      </c>
      <c r="DF608" s="408">
        <v>0</v>
      </c>
      <c r="DG608" s="408">
        <v>0</v>
      </c>
      <c r="DH608" s="408">
        <v>0</v>
      </c>
      <c r="DI608" s="408">
        <v>0</v>
      </c>
      <c r="DJ608" s="408"/>
      <c r="DK608" s="408">
        <v>0</v>
      </c>
      <c r="DL608" s="408">
        <v>0</v>
      </c>
      <c r="DM608" s="408"/>
      <c r="DN608" s="408">
        <v>0</v>
      </c>
      <c r="DO608" s="408">
        <v>0</v>
      </c>
      <c r="DP608" s="408">
        <v>0</v>
      </c>
      <c r="DQ608" s="408">
        <v>0</v>
      </c>
      <c r="DR608" s="408">
        <v>0</v>
      </c>
      <c r="DS608" s="408"/>
      <c r="DT608" s="408"/>
      <c r="DU608" s="408">
        <v>20635.812077235874</v>
      </c>
      <c r="DV608" s="408"/>
      <c r="DW608" s="408">
        <v>0</v>
      </c>
      <c r="DX608" s="408">
        <v>0</v>
      </c>
      <c r="DY608" s="408">
        <v>-12681.739999999998</v>
      </c>
      <c r="DZ608" s="408"/>
      <c r="EA608" s="408">
        <v>0</v>
      </c>
      <c r="EB608" s="408"/>
      <c r="EC608" s="408">
        <v>-12652.747509844379</v>
      </c>
      <c r="ED608" s="408"/>
      <c r="EE608" s="408">
        <v>0</v>
      </c>
      <c r="EF608" s="408">
        <v>0</v>
      </c>
      <c r="EG608" s="408"/>
      <c r="EH608" s="408">
        <v>0</v>
      </c>
      <c r="EI608" s="408">
        <v>0</v>
      </c>
      <c r="EJ608" s="408">
        <v>0</v>
      </c>
      <c r="EK608" s="408">
        <v>0</v>
      </c>
      <c r="EL608" s="408">
        <v>0</v>
      </c>
      <c r="EM608" s="408"/>
      <c r="EN608" s="408"/>
      <c r="EO608" s="408">
        <v>0</v>
      </c>
      <c r="EP608" s="408">
        <v>0</v>
      </c>
      <c r="EQ608" s="408"/>
      <c r="ER608" s="408">
        <v>0</v>
      </c>
      <c r="ES608" s="408"/>
      <c r="ET608" s="408">
        <v>0</v>
      </c>
      <c r="EU608" s="408"/>
      <c r="EV608" s="408">
        <v>265</v>
      </c>
      <c r="EW608" s="408"/>
      <c r="EX608" s="408"/>
      <c r="EY608" s="408"/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615</v>
      </c>
      <c r="B609" s="408" t="s">
        <v>2230</v>
      </c>
      <c r="C609" s="408" t="s">
        <v>2235</v>
      </c>
      <c r="D609" s="408" t="s">
        <v>596</v>
      </c>
      <c r="E609" s="408" t="s">
        <v>969</v>
      </c>
      <c r="F609" s="408" t="s">
        <v>1317</v>
      </c>
      <c r="G609" s="408" t="s">
        <v>1317</v>
      </c>
      <c r="H609" s="408" t="s">
        <v>1317</v>
      </c>
      <c r="I609" s="408" t="s">
        <v>1317</v>
      </c>
      <c r="J609" s="408" t="s">
        <v>2228</v>
      </c>
      <c r="K609" s="828">
        <v>44713</v>
      </c>
      <c r="L609" s="408">
        <v>700</v>
      </c>
      <c r="M609" s="408">
        <v>672</v>
      </c>
      <c r="N609" s="408">
        <v>0</v>
      </c>
      <c r="O609" s="408">
        <v>0</v>
      </c>
      <c r="P609" s="408">
        <v>0</v>
      </c>
      <c r="Q609" s="408">
        <v>0</v>
      </c>
      <c r="R609" s="408">
        <v>74.44</v>
      </c>
      <c r="S609" s="408"/>
      <c r="T609" s="408"/>
      <c r="U609" s="408">
        <v>52108</v>
      </c>
      <c r="V609" s="408"/>
      <c r="W609" s="408">
        <v>52108</v>
      </c>
      <c r="X609" s="408">
        <v>31794</v>
      </c>
      <c r="Y609" s="408">
        <v>0</v>
      </c>
      <c r="Z609" s="408">
        <v>0</v>
      </c>
      <c r="AA609" s="408">
        <v>0</v>
      </c>
      <c r="AB609" s="408">
        <v>0</v>
      </c>
      <c r="AC609" s="408">
        <v>0</v>
      </c>
      <c r="AD609" s="408">
        <v>19051.964771316259</v>
      </c>
      <c r="AE609" s="408">
        <v>33055.076553924744</v>
      </c>
      <c r="AF609" s="408"/>
      <c r="AG609" s="408"/>
      <c r="AH609" s="408"/>
      <c r="AI609" s="408">
        <v>0</v>
      </c>
      <c r="AJ609" s="408">
        <v>0</v>
      </c>
      <c r="AK609" s="408">
        <v>0</v>
      </c>
      <c r="AL609" s="408">
        <v>0</v>
      </c>
      <c r="AM609" s="408"/>
      <c r="AN609" s="408">
        <v>0</v>
      </c>
      <c r="AO609" s="408">
        <v>0</v>
      </c>
      <c r="AP609" s="408">
        <v>0</v>
      </c>
      <c r="AQ609" s="408">
        <v>0</v>
      </c>
      <c r="AR609" s="408">
        <v>0</v>
      </c>
      <c r="AS609" s="408"/>
      <c r="AT609" s="408"/>
      <c r="AU609" s="408">
        <v>0</v>
      </c>
      <c r="AV609" s="408">
        <v>0</v>
      </c>
      <c r="AW609" s="408">
        <v>0</v>
      </c>
      <c r="AX609" s="408"/>
      <c r="AY609" s="408"/>
      <c r="AZ609" s="408">
        <v>0</v>
      </c>
      <c r="BA609" s="408"/>
      <c r="BB609" s="408">
        <v>0</v>
      </c>
      <c r="BC609" s="408">
        <v>0</v>
      </c>
      <c r="BD609" s="408">
        <v>0</v>
      </c>
      <c r="BE609" s="408">
        <v>0</v>
      </c>
      <c r="BF609" s="408"/>
      <c r="BG609" s="408">
        <v>0</v>
      </c>
      <c r="BH609" s="408">
        <v>0</v>
      </c>
      <c r="BI609" s="408">
        <v>0</v>
      </c>
      <c r="BJ609" s="408">
        <v>0</v>
      </c>
      <c r="BK609" s="408">
        <v>10.31</v>
      </c>
      <c r="BL609" s="408">
        <v>3</v>
      </c>
      <c r="BM609" s="408"/>
      <c r="BN609" s="408"/>
      <c r="BO609" s="408"/>
      <c r="BP609" s="408"/>
      <c r="BQ609" s="408"/>
      <c r="BR609" s="408">
        <v>1271.76</v>
      </c>
      <c r="BS609" s="408"/>
      <c r="BT609" s="408"/>
      <c r="BU609" s="408"/>
      <c r="BV609" s="408">
        <v>0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30522.240000000002</v>
      </c>
      <c r="CJ609" s="408">
        <v>-19501.470000000005</v>
      </c>
      <c r="CK609" s="408"/>
      <c r="CL609" s="408"/>
      <c r="CM609" s="408"/>
      <c r="CN609" s="408"/>
      <c r="CO609" s="408">
        <v>-20313.999999999996</v>
      </c>
      <c r="CP609" s="408">
        <v>0</v>
      </c>
      <c r="CQ609" s="408">
        <v>30</v>
      </c>
      <c r="CR609" s="408">
        <v>-48.965227215168852</v>
      </c>
      <c r="CS609" s="408">
        <v>0</v>
      </c>
      <c r="CT609" s="408">
        <v>0</v>
      </c>
      <c r="CU609" s="408">
        <v>0</v>
      </c>
      <c r="CV609" s="408">
        <v>0</v>
      </c>
      <c r="CW609" s="408"/>
      <c r="CX609" s="408"/>
      <c r="CY609" s="408"/>
      <c r="CZ609" s="408">
        <v>-48.965227215168852</v>
      </c>
      <c r="DA609" s="408">
        <v>0</v>
      </c>
      <c r="DB609" s="408">
        <v>0</v>
      </c>
      <c r="DC609" s="408"/>
      <c r="DD609" s="408"/>
      <c r="DE609" s="408">
        <v>0</v>
      </c>
      <c r="DF609" s="408">
        <v>0</v>
      </c>
      <c r="DG609" s="408">
        <v>0</v>
      </c>
      <c r="DH609" s="408">
        <v>0</v>
      </c>
      <c r="DI609" s="408">
        <v>0</v>
      </c>
      <c r="DJ609" s="408"/>
      <c r="DK609" s="408">
        <v>0</v>
      </c>
      <c r="DL609" s="408">
        <v>0</v>
      </c>
      <c r="DM609" s="408"/>
      <c r="DN609" s="408">
        <v>0</v>
      </c>
      <c r="DO609" s="408">
        <v>0</v>
      </c>
      <c r="DP609" s="408">
        <v>0</v>
      </c>
      <c r="DQ609" s="408">
        <v>0</v>
      </c>
      <c r="DR609" s="408">
        <v>0</v>
      </c>
      <c r="DS609" s="408"/>
      <c r="DT609" s="408"/>
      <c r="DU609" s="408">
        <v>33055.076553924744</v>
      </c>
      <c r="DV609" s="408"/>
      <c r="DW609" s="408">
        <v>0</v>
      </c>
      <c r="DX609" s="408">
        <v>0</v>
      </c>
      <c r="DY609" s="408">
        <v>-20314</v>
      </c>
      <c r="DZ609" s="408"/>
      <c r="EA609" s="408">
        <v>0</v>
      </c>
      <c r="EB609" s="408"/>
      <c r="EC609" s="408">
        <v>-20267.558940254155</v>
      </c>
      <c r="ED609" s="408"/>
      <c r="EE609" s="408">
        <v>0</v>
      </c>
      <c r="EF609" s="408">
        <v>0</v>
      </c>
      <c r="EG609" s="408"/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/>
      <c r="EN609" s="408"/>
      <c r="EO609" s="408">
        <v>0</v>
      </c>
      <c r="EP609" s="408">
        <v>0</v>
      </c>
      <c r="EQ609" s="408"/>
      <c r="ER609" s="408">
        <v>0</v>
      </c>
      <c r="ES609" s="408"/>
      <c r="ET609" s="408">
        <v>0</v>
      </c>
      <c r="EU609" s="408"/>
      <c r="EV609" s="408">
        <v>265</v>
      </c>
      <c r="EW609" s="408"/>
      <c r="EX609" s="408"/>
      <c r="EY609" s="408"/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616</v>
      </c>
      <c r="B610" s="408" t="s">
        <v>1031</v>
      </c>
      <c r="C610" s="408" t="s">
        <v>2227</v>
      </c>
      <c r="D610" s="408" t="s">
        <v>1952</v>
      </c>
      <c r="E610" s="408" t="s">
        <v>2238</v>
      </c>
      <c r="F610" s="408" t="s">
        <v>1317</v>
      </c>
      <c r="G610" s="408" t="s">
        <v>1317</v>
      </c>
      <c r="H610" s="408" t="s">
        <v>1317</v>
      </c>
      <c r="I610" s="408" t="s">
        <v>1317</v>
      </c>
      <c r="J610" s="408" t="s">
        <v>2228</v>
      </c>
      <c r="K610" s="828">
        <v>44713</v>
      </c>
      <c r="L610" s="408">
        <v>0</v>
      </c>
      <c r="M610" s="408">
        <v>0</v>
      </c>
      <c r="N610" s="408">
        <v>212.386</v>
      </c>
      <c r="O610" s="408">
        <v>212.386</v>
      </c>
      <c r="P610" s="408">
        <v>212.386</v>
      </c>
      <c r="Q610" s="408">
        <v>212.386</v>
      </c>
      <c r="R610" s="408"/>
      <c r="S610" s="408">
        <v>739.04</v>
      </c>
      <c r="T610" s="408">
        <v>252.22</v>
      </c>
      <c r="U610" s="408"/>
      <c r="V610" s="408">
        <v>210529.74635999999</v>
      </c>
      <c r="W610" s="408">
        <v>210529.74635999999</v>
      </c>
      <c r="X610" s="408">
        <v>143991.33642000001</v>
      </c>
      <c r="Y610" s="408">
        <v>0</v>
      </c>
      <c r="Z610" s="408">
        <v>13136.744522618728</v>
      </c>
      <c r="AA610" s="408">
        <v>0</v>
      </c>
      <c r="AB610" s="408">
        <v>0</v>
      </c>
      <c r="AC610" s="408">
        <v>0</v>
      </c>
      <c r="AD610" s="408">
        <v>26229.157216227766</v>
      </c>
      <c r="AE610" s="408">
        <v>107677.10453058881</v>
      </c>
      <c r="AF610" s="408">
        <v>53568.584693361416</v>
      </c>
      <c r="AG610" s="408">
        <v>0</v>
      </c>
      <c r="AH610" s="408">
        <v>0</v>
      </c>
      <c r="AI610" s="408">
        <v>0</v>
      </c>
      <c r="AJ610" s="408">
        <v>0</v>
      </c>
      <c r="AK610" s="408">
        <v>0</v>
      </c>
      <c r="AL610" s="408">
        <v>2030.628744272869</v>
      </c>
      <c r="AM610" s="408"/>
      <c r="AN610" s="408">
        <v>497.68380354295033</v>
      </c>
      <c r="AO610" s="408">
        <v>0</v>
      </c>
      <c r="AP610" s="408">
        <v>0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0</v>
      </c>
      <c r="BE610" s="408">
        <v>0</v>
      </c>
      <c r="BF610" s="408">
        <v>0</v>
      </c>
      <c r="BG610" s="408">
        <v>7389.8111475656242</v>
      </c>
      <c r="BH610" s="408">
        <v>0</v>
      </c>
      <c r="BI610" s="408">
        <v>0</v>
      </c>
      <c r="BJ610" s="408">
        <v>0</v>
      </c>
      <c r="BK610" s="408">
        <v>44379.91</v>
      </c>
      <c r="BL610" s="408">
        <v>379</v>
      </c>
      <c r="BM610" s="408"/>
      <c r="BN610" s="408"/>
      <c r="BO610" s="408"/>
      <c r="BP610" s="408"/>
      <c r="BQ610" s="408"/>
      <c r="BR610" s="408"/>
      <c r="BS610" s="408"/>
      <c r="BT610" s="408"/>
      <c r="BU610" s="408"/>
      <c r="BV610" s="408">
        <v>60958.395840927042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143994.04829999999</v>
      </c>
      <c r="CJ610" s="408">
        <v>-66535.728060000023</v>
      </c>
      <c r="CK610" s="408"/>
      <c r="CL610" s="408"/>
      <c r="CM610" s="408"/>
      <c r="CN610" s="408"/>
      <c r="CO610" s="408">
        <v>-66538.409939999998</v>
      </c>
      <c r="CP610" s="408">
        <v>0</v>
      </c>
      <c r="CQ610" s="408">
        <v>30</v>
      </c>
      <c r="CR610" s="408">
        <v>-516.56457717702142</v>
      </c>
      <c r="CS610" s="408">
        <v>0</v>
      </c>
      <c r="CT610" s="408">
        <v>0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-67.411243835987989</v>
      </c>
      <c r="DA610" s="408">
        <v>0</v>
      </c>
      <c r="DB610" s="408">
        <v>0</v>
      </c>
      <c r="DC610" s="408">
        <v>-7.5099742389284074E-6</v>
      </c>
      <c r="DD610" s="408">
        <v>0</v>
      </c>
      <c r="DE610" s="408">
        <v>0</v>
      </c>
      <c r="DF610" s="408">
        <v>0</v>
      </c>
      <c r="DG610" s="408">
        <v>-1.0359981388319284E-6</v>
      </c>
      <c r="DH610" s="408">
        <v>0</v>
      </c>
      <c r="DI610" s="408">
        <v>-381.97829014199669</v>
      </c>
      <c r="DJ610" s="408"/>
      <c r="DK610" s="408">
        <v>0</v>
      </c>
      <c r="DL610" s="408">
        <v>0</v>
      </c>
      <c r="DM610" s="408">
        <v>0</v>
      </c>
      <c r="DN610" s="408">
        <v>0</v>
      </c>
      <c r="DO610" s="408">
        <v>-51.013687002745428</v>
      </c>
      <c r="DP610" s="408">
        <v>-16.161347650336324</v>
      </c>
      <c r="DQ610" s="408">
        <v>0</v>
      </c>
      <c r="DR610" s="408">
        <v>0</v>
      </c>
      <c r="DS610" s="408"/>
      <c r="DT610" s="408"/>
      <c r="DU610" s="408"/>
      <c r="DV610" s="408">
        <v>107677.10453058881</v>
      </c>
      <c r="DW610" s="408">
        <v>0</v>
      </c>
      <c r="DX610" s="408">
        <v>0</v>
      </c>
      <c r="DY610" s="408">
        <v>-66538.409939999983</v>
      </c>
      <c r="DZ610" s="408">
        <v>0</v>
      </c>
      <c r="EA610" s="408">
        <v>0</v>
      </c>
      <c r="EB610" s="408">
        <v>0</v>
      </c>
      <c r="EC610" s="408">
        <v>-66021.691374074144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0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265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617</v>
      </c>
      <c r="B611" s="408" t="s">
        <v>2230</v>
      </c>
      <c r="C611" s="408" t="s">
        <v>2227</v>
      </c>
      <c r="D611" s="408" t="s">
        <v>1952</v>
      </c>
      <c r="E611" s="408" t="s">
        <v>2238</v>
      </c>
      <c r="F611" s="408" t="s">
        <v>1317</v>
      </c>
      <c r="G611" s="408" t="s">
        <v>1317</v>
      </c>
      <c r="H611" s="408" t="s">
        <v>1317</v>
      </c>
      <c r="I611" s="408" t="s">
        <v>1317</v>
      </c>
      <c r="J611" s="408" t="s">
        <v>2228</v>
      </c>
      <c r="K611" s="828">
        <v>44713</v>
      </c>
      <c r="L611" s="408">
        <v>0</v>
      </c>
      <c r="M611" s="408">
        <v>0</v>
      </c>
      <c r="N611" s="408">
        <v>3.419</v>
      </c>
      <c r="O611" s="408">
        <v>3.419</v>
      </c>
      <c r="P611" s="408">
        <v>3.419</v>
      </c>
      <c r="Q611" s="408">
        <v>3.419</v>
      </c>
      <c r="R611" s="408"/>
      <c r="S611" s="408">
        <v>739.04</v>
      </c>
      <c r="T611" s="408">
        <v>252.22</v>
      </c>
      <c r="U611" s="408"/>
      <c r="V611" s="408">
        <v>3389.1179400000001</v>
      </c>
      <c r="W611" s="408">
        <v>3389.1179400000001</v>
      </c>
      <c r="X611" s="408">
        <v>2317.9794299999999</v>
      </c>
      <c r="Y611" s="408">
        <v>0</v>
      </c>
      <c r="Z611" s="408">
        <v>211.47594249542547</v>
      </c>
      <c r="AA611" s="408">
        <v>0</v>
      </c>
      <c r="AB611" s="408">
        <v>0</v>
      </c>
      <c r="AC611" s="408">
        <v>0</v>
      </c>
      <c r="AD611" s="408">
        <v>422.23822908422744</v>
      </c>
      <c r="AE611" s="408">
        <v>1733.3911858130157</v>
      </c>
      <c r="AF611" s="408">
        <v>862.34964200372281</v>
      </c>
      <c r="AG611" s="408">
        <v>0</v>
      </c>
      <c r="AH611" s="408">
        <v>0</v>
      </c>
      <c r="AI611" s="408">
        <v>0</v>
      </c>
      <c r="AJ611" s="408">
        <v>0</v>
      </c>
      <c r="AK611" s="408">
        <v>0</v>
      </c>
      <c r="AL611" s="408">
        <v>32.689158780093507</v>
      </c>
      <c r="AM611" s="408"/>
      <c r="AN611" s="408">
        <v>8.011737705467155</v>
      </c>
      <c r="AO611" s="408">
        <v>0</v>
      </c>
      <c r="AP611" s="408">
        <v>0</v>
      </c>
      <c r="AQ611" s="408">
        <v>0</v>
      </c>
      <c r="AR611" s="408">
        <v>0</v>
      </c>
      <c r="AS611" s="408">
        <v>0</v>
      </c>
      <c r="AT611" s="408">
        <v>0</v>
      </c>
      <c r="AU611" s="408">
        <v>0</v>
      </c>
      <c r="AV611" s="408">
        <v>0</v>
      </c>
      <c r="AW611" s="408">
        <v>0</v>
      </c>
      <c r="AX611" s="408">
        <v>0</v>
      </c>
      <c r="AY611" s="408">
        <v>0</v>
      </c>
      <c r="AZ611" s="408">
        <v>0</v>
      </c>
      <c r="BA611" s="408"/>
      <c r="BB611" s="408">
        <v>0</v>
      </c>
      <c r="BC611" s="408">
        <v>0</v>
      </c>
      <c r="BD611" s="408">
        <v>0</v>
      </c>
      <c r="BE611" s="408">
        <v>0</v>
      </c>
      <c r="BF611" s="408">
        <v>0</v>
      </c>
      <c r="BG611" s="408">
        <v>118.96153378060168</v>
      </c>
      <c r="BH611" s="408">
        <v>0</v>
      </c>
      <c r="BI611" s="408">
        <v>0</v>
      </c>
      <c r="BJ611" s="408">
        <v>0</v>
      </c>
      <c r="BK611" s="408">
        <v>957.81</v>
      </c>
      <c r="BL611" s="408">
        <v>5</v>
      </c>
      <c r="BM611" s="408"/>
      <c r="BN611" s="408"/>
      <c r="BO611" s="408"/>
      <c r="BP611" s="408"/>
      <c r="BQ611" s="408"/>
      <c r="BR611" s="408"/>
      <c r="BS611" s="408"/>
      <c r="BT611" s="408"/>
      <c r="BU611" s="408"/>
      <c r="BV611" s="408">
        <v>981.31117578432452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2318.6574000000001</v>
      </c>
      <c r="CJ611" s="408">
        <v>-1070.4905400000007</v>
      </c>
      <c r="CK611" s="408"/>
      <c r="CL611" s="408"/>
      <c r="CM611" s="408"/>
      <c r="CN611" s="408"/>
      <c r="CO611" s="408">
        <v>-1071.13851</v>
      </c>
      <c r="CP611" s="408">
        <v>0</v>
      </c>
      <c r="CQ611" s="408">
        <v>30</v>
      </c>
      <c r="CR611" s="408">
        <v>-8.3156813037030588</v>
      </c>
      <c r="CS611" s="408">
        <v>0</v>
      </c>
      <c r="CT611" s="408">
        <v>0</v>
      </c>
      <c r="CU611" s="408">
        <v>0</v>
      </c>
      <c r="CV611" s="408">
        <v>0</v>
      </c>
      <c r="CW611" s="408">
        <v>0</v>
      </c>
      <c r="CX611" s="408">
        <v>0</v>
      </c>
      <c r="CY611" s="408">
        <v>0</v>
      </c>
      <c r="CZ611" s="408">
        <v>-1.0851894318610107</v>
      </c>
      <c r="DA611" s="408">
        <v>0</v>
      </c>
      <c r="DB611" s="408">
        <v>0</v>
      </c>
      <c r="DC611" s="408">
        <v>-1.2089583378838142E-7</v>
      </c>
      <c r="DD611" s="408">
        <v>0</v>
      </c>
      <c r="DE611" s="408">
        <v>0</v>
      </c>
      <c r="DF611" s="408">
        <v>0</v>
      </c>
      <c r="DG611" s="408">
        <v>-1.6677546454957337E-8</v>
      </c>
      <c r="DH611" s="408">
        <v>0</v>
      </c>
      <c r="DI611" s="408">
        <v>-6.1491048091469622</v>
      </c>
      <c r="DJ611" s="408"/>
      <c r="DK611" s="408">
        <v>0</v>
      </c>
      <c r="DL611" s="408">
        <v>0</v>
      </c>
      <c r="DM611" s="408">
        <v>0</v>
      </c>
      <c r="DN611" s="408">
        <v>0</v>
      </c>
      <c r="DO611" s="408">
        <v>-0.82122077661610149</v>
      </c>
      <c r="DP611" s="408">
        <v>-0.26016614850555086</v>
      </c>
      <c r="DQ611" s="408">
        <v>0</v>
      </c>
      <c r="DR611" s="408">
        <v>0</v>
      </c>
      <c r="DS611" s="408"/>
      <c r="DT611" s="408"/>
      <c r="DU611" s="408"/>
      <c r="DV611" s="408">
        <v>1733.3911858130157</v>
      </c>
      <c r="DW611" s="408">
        <v>0</v>
      </c>
      <c r="DX611" s="408">
        <v>0</v>
      </c>
      <c r="DY611" s="408">
        <v>-1071.13851</v>
      </c>
      <c r="DZ611" s="408">
        <v>0</v>
      </c>
      <c r="EA611" s="408">
        <v>0</v>
      </c>
      <c r="EB611" s="408">
        <v>0</v>
      </c>
      <c r="EC611" s="408">
        <v>-1062.8203497780432</v>
      </c>
      <c r="ED611" s="408">
        <v>0</v>
      </c>
      <c r="EE611" s="408">
        <v>0</v>
      </c>
      <c r="EF611" s="408">
        <v>0</v>
      </c>
      <c r="EG611" s="408">
        <v>0</v>
      </c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>
        <v>0</v>
      </c>
      <c r="EN611" s="408">
        <v>0</v>
      </c>
      <c r="EO611" s="408">
        <v>0</v>
      </c>
      <c r="EP611" s="408">
        <v>0</v>
      </c>
      <c r="EQ611" s="408">
        <v>0</v>
      </c>
      <c r="ER611" s="408">
        <v>0</v>
      </c>
      <c r="ES611" s="408">
        <v>0</v>
      </c>
      <c r="ET611" s="408">
        <v>0</v>
      </c>
      <c r="EU611" s="408">
        <v>0</v>
      </c>
      <c r="EV611" s="408">
        <v>265</v>
      </c>
      <c r="EW611" s="408">
        <v>0</v>
      </c>
      <c r="EX611" s="408">
        <v>0</v>
      </c>
      <c r="EY611" s="408">
        <v>0</v>
      </c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618</v>
      </c>
      <c r="B612" s="408" t="s">
        <v>1031</v>
      </c>
      <c r="C612" s="408" t="s">
        <v>2227</v>
      </c>
      <c r="D612" s="408" t="s">
        <v>2240</v>
      </c>
      <c r="E612" s="408" t="s">
        <v>2241</v>
      </c>
      <c r="F612" s="408" t="s">
        <v>2242</v>
      </c>
      <c r="G612" s="408" t="s">
        <v>1317</v>
      </c>
      <c r="H612" s="408" t="s">
        <v>1317</v>
      </c>
      <c r="I612" s="408" t="s">
        <v>1317</v>
      </c>
      <c r="J612" s="408" t="s">
        <v>2228</v>
      </c>
      <c r="K612" s="828">
        <v>44713</v>
      </c>
      <c r="L612" s="408">
        <v>0</v>
      </c>
      <c r="M612" s="408">
        <v>0</v>
      </c>
      <c r="N612" s="408">
        <v>433.98200000000003</v>
      </c>
      <c r="O612" s="408">
        <v>433.98200000000003</v>
      </c>
      <c r="P612" s="408">
        <v>433.98200000000003</v>
      </c>
      <c r="Q612" s="408">
        <v>433.98200000000003</v>
      </c>
      <c r="R612" s="408"/>
      <c r="S612" s="408">
        <v>406.47</v>
      </c>
      <c r="T612" s="408">
        <v>138.72</v>
      </c>
      <c r="U612" s="408"/>
      <c r="V612" s="408">
        <v>236602.64658</v>
      </c>
      <c r="W612" s="408">
        <v>236602.64658</v>
      </c>
      <c r="X612" s="408">
        <v>161823.20816000001</v>
      </c>
      <c r="Y612" s="408">
        <v>0</v>
      </c>
      <c r="Z612" s="408">
        <v>14763.73613975644</v>
      </c>
      <c r="AA612" s="408">
        <v>0</v>
      </c>
      <c r="AB612" s="408">
        <v>0</v>
      </c>
      <c r="AC612" s="408">
        <v>0</v>
      </c>
      <c r="AD612" s="408">
        <v>29477.649933880533</v>
      </c>
      <c r="AE612" s="408">
        <v>121012.96153285386</v>
      </c>
      <c r="AF612" s="408">
        <v>60203.077591351903</v>
      </c>
      <c r="AG612" s="408">
        <v>0</v>
      </c>
      <c r="AH612" s="408">
        <v>0</v>
      </c>
      <c r="AI612" s="408">
        <v>0</v>
      </c>
      <c r="AJ612" s="408">
        <v>0</v>
      </c>
      <c r="AK612" s="408">
        <v>0</v>
      </c>
      <c r="AL612" s="408">
        <v>2282.123012031705</v>
      </c>
      <c r="AM612" s="408"/>
      <c r="AN612" s="408">
        <v>559.32216264747899</v>
      </c>
      <c r="AO612" s="408">
        <v>0</v>
      </c>
      <c r="AP612" s="408">
        <v>0</v>
      </c>
      <c r="AQ612" s="408">
        <v>0</v>
      </c>
      <c r="AR612" s="408">
        <v>0</v>
      </c>
      <c r="AS612" s="408">
        <v>0</v>
      </c>
      <c r="AT612" s="408">
        <v>0</v>
      </c>
      <c r="AU612" s="408">
        <v>0</v>
      </c>
      <c r="AV612" s="408">
        <v>0</v>
      </c>
      <c r="AW612" s="408">
        <v>0</v>
      </c>
      <c r="AX612" s="408">
        <v>0</v>
      </c>
      <c r="AY612" s="408">
        <v>0</v>
      </c>
      <c r="AZ612" s="408">
        <v>0</v>
      </c>
      <c r="BA612" s="408"/>
      <c r="BB612" s="408">
        <v>0</v>
      </c>
      <c r="BC612" s="408">
        <v>0</v>
      </c>
      <c r="BD612" s="408">
        <v>0</v>
      </c>
      <c r="BE612" s="408">
        <v>0</v>
      </c>
      <c r="BF612" s="408">
        <v>0</v>
      </c>
      <c r="BG612" s="408">
        <v>8305.0425253715057</v>
      </c>
      <c r="BH612" s="408">
        <v>0</v>
      </c>
      <c r="BI612" s="408">
        <v>0</v>
      </c>
      <c r="BJ612" s="408">
        <v>0</v>
      </c>
      <c r="BK612" s="408">
        <v>40455.64</v>
      </c>
      <c r="BL612" s="408">
        <v>38</v>
      </c>
      <c r="BM612" s="408"/>
      <c r="BN612" s="408"/>
      <c r="BO612" s="408"/>
      <c r="BP612" s="408"/>
      <c r="BQ612" s="408"/>
      <c r="BR612" s="408"/>
      <c r="BS612" s="408"/>
      <c r="BT612" s="408"/>
      <c r="BU612" s="408"/>
      <c r="BV612" s="408">
        <v>68508.12011672341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161822.46240000002</v>
      </c>
      <c r="CJ612" s="408">
        <v>-74780.21418000001</v>
      </c>
      <c r="CK612" s="408"/>
      <c r="CL612" s="408"/>
      <c r="CM612" s="408"/>
      <c r="CN612" s="408"/>
      <c r="CO612" s="408">
        <v>-74779.43842000002</v>
      </c>
      <c r="CP612" s="408">
        <v>0</v>
      </c>
      <c r="CQ612" s="408">
        <v>30</v>
      </c>
      <c r="CR612" s="408">
        <v>-580.54132844330161</v>
      </c>
      <c r="CS612" s="408">
        <v>0</v>
      </c>
      <c r="CT612" s="408">
        <v>0</v>
      </c>
      <c r="CU612" s="408">
        <v>0</v>
      </c>
      <c r="CV612" s="408">
        <v>0</v>
      </c>
      <c r="CW612" s="408">
        <v>0</v>
      </c>
      <c r="CX612" s="408">
        <v>0</v>
      </c>
      <c r="CY612" s="408">
        <v>0</v>
      </c>
      <c r="CZ612" s="408">
        <v>-75.760156188967812</v>
      </c>
      <c r="DA612" s="408">
        <v>0</v>
      </c>
      <c r="DB612" s="408">
        <v>0</v>
      </c>
      <c r="DC612" s="408">
        <v>-8.4396451711654663E-6</v>
      </c>
      <c r="DD612" s="408">
        <v>0</v>
      </c>
      <c r="DE612" s="408">
        <v>0</v>
      </c>
      <c r="DF612" s="408">
        <v>0</v>
      </c>
      <c r="DG612" s="408">
        <v>-1.164286004495807E-6</v>
      </c>
      <c r="DH612" s="408">
        <v>0</v>
      </c>
      <c r="DI612" s="408">
        <v>-429.28647025614191</v>
      </c>
      <c r="DJ612" s="408"/>
      <c r="DK612" s="408">
        <v>0</v>
      </c>
      <c r="DL612" s="408">
        <v>0</v>
      </c>
      <c r="DM612" s="408">
        <v>0</v>
      </c>
      <c r="DN612" s="408">
        <v>0</v>
      </c>
      <c r="DO612" s="408">
        <v>-57.331754692184859</v>
      </c>
      <c r="DP612" s="408">
        <v>-18.162937702079148</v>
      </c>
      <c r="DQ612" s="408">
        <v>0</v>
      </c>
      <c r="DR612" s="408">
        <v>0</v>
      </c>
      <c r="DS612" s="408"/>
      <c r="DT612" s="408"/>
      <c r="DU612" s="408"/>
      <c r="DV612" s="408">
        <v>121012.96153285386</v>
      </c>
      <c r="DW612" s="408">
        <v>0</v>
      </c>
      <c r="DX612" s="408">
        <v>0</v>
      </c>
      <c r="DY612" s="408">
        <v>-74779.438420000006</v>
      </c>
      <c r="DZ612" s="408">
        <v>0</v>
      </c>
      <c r="EA612" s="408">
        <v>0</v>
      </c>
      <c r="EB612" s="408">
        <v>0</v>
      </c>
      <c r="EC612" s="408">
        <v>-74198.507040232827</v>
      </c>
      <c r="ED612" s="408">
        <v>0</v>
      </c>
      <c r="EE612" s="408">
        <v>0</v>
      </c>
      <c r="EF612" s="408">
        <v>0</v>
      </c>
      <c r="EG612" s="408">
        <v>0</v>
      </c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>
        <v>0</v>
      </c>
      <c r="EN612" s="408">
        <v>0</v>
      </c>
      <c r="EO612" s="408">
        <v>0</v>
      </c>
      <c r="EP612" s="408">
        <v>0</v>
      </c>
      <c r="EQ612" s="408">
        <v>0</v>
      </c>
      <c r="ER612" s="408">
        <v>0</v>
      </c>
      <c r="ES612" s="408">
        <v>0</v>
      </c>
      <c r="ET612" s="408">
        <v>0</v>
      </c>
      <c r="EU612" s="408">
        <v>0</v>
      </c>
      <c r="EV612" s="408">
        <v>265</v>
      </c>
      <c r="EW612" s="408">
        <v>0</v>
      </c>
      <c r="EX612" s="408">
        <v>0</v>
      </c>
      <c r="EY612" s="408">
        <v>0</v>
      </c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619</v>
      </c>
      <c r="B613" s="408" t="s">
        <v>1031</v>
      </c>
      <c r="C613" s="408" t="s">
        <v>2227</v>
      </c>
      <c r="D613" s="408" t="s">
        <v>1952</v>
      </c>
      <c r="E613" s="408" t="s">
        <v>996</v>
      </c>
      <c r="F613" s="408" t="s">
        <v>2243</v>
      </c>
      <c r="G613" s="408" t="s">
        <v>1317</v>
      </c>
      <c r="H613" s="408" t="s">
        <v>1317</v>
      </c>
      <c r="I613" s="408" t="s">
        <v>1317</v>
      </c>
      <c r="J613" s="408" t="s">
        <v>2228</v>
      </c>
      <c r="K613" s="828">
        <v>44713</v>
      </c>
      <c r="L613" s="408">
        <v>0</v>
      </c>
      <c r="M613" s="408">
        <v>0</v>
      </c>
      <c r="N613" s="408">
        <v>86.858999999999995</v>
      </c>
      <c r="O613" s="408">
        <v>81.647459999999995</v>
      </c>
      <c r="P613" s="408">
        <v>86.858999999999995</v>
      </c>
      <c r="Q613" s="408">
        <v>81.647459999999995</v>
      </c>
      <c r="R613" s="408"/>
      <c r="S613" s="408">
        <v>739.04</v>
      </c>
      <c r="T613" s="408">
        <v>252.22</v>
      </c>
      <c r="U613" s="408"/>
      <c r="V613" s="408">
        <v>86099.852339999983</v>
      </c>
      <c r="W613" s="408">
        <v>86099.852339999983</v>
      </c>
      <c r="X613" s="408">
        <v>58887.796229999993</v>
      </c>
      <c r="Y613" s="408">
        <v>0</v>
      </c>
      <c r="Z613" s="408">
        <v>5372.5033311524303</v>
      </c>
      <c r="AA613" s="408">
        <v>0</v>
      </c>
      <c r="AB613" s="408">
        <v>0</v>
      </c>
      <c r="AC613" s="408">
        <v>0</v>
      </c>
      <c r="AD613" s="408">
        <v>10726.876379066074</v>
      </c>
      <c r="AE613" s="408">
        <v>44036.450719079476</v>
      </c>
      <c r="AF613" s="408">
        <v>21907.81736028118</v>
      </c>
      <c r="AG613" s="408">
        <v>0</v>
      </c>
      <c r="AH613" s="408">
        <v>0</v>
      </c>
      <c r="AI613" s="408">
        <v>0</v>
      </c>
      <c r="AJ613" s="408">
        <v>0</v>
      </c>
      <c r="AK613" s="408">
        <v>0</v>
      </c>
      <c r="AL613" s="408">
        <v>830.46143389299255</v>
      </c>
      <c r="AM613" s="408"/>
      <c r="AN613" s="408">
        <v>203.53656781490832</v>
      </c>
      <c r="AO613" s="408">
        <v>0</v>
      </c>
      <c r="AP613" s="408">
        <v>0</v>
      </c>
      <c r="AQ613" s="408">
        <v>0</v>
      </c>
      <c r="AR613" s="408">
        <v>0</v>
      </c>
      <c r="AS613" s="408">
        <v>0</v>
      </c>
      <c r="AT613" s="408">
        <v>0</v>
      </c>
      <c r="AU613" s="408">
        <v>0</v>
      </c>
      <c r="AV613" s="408">
        <v>0</v>
      </c>
      <c r="AW613" s="408">
        <v>0</v>
      </c>
      <c r="AX613" s="408">
        <v>0</v>
      </c>
      <c r="AY613" s="408">
        <v>0</v>
      </c>
      <c r="AZ613" s="408">
        <v>0</v>
      </c>
      <c r="BA613" s="408"/>
      <c r="BB613" s="408">
        <v>0</v>
      </c>
      <c r="BC613" s="408">
        <v>0</v>
      </c>
      <c r="BD613" s="408">
        <v>0</v>
      </c>
      <c r="BE613" s="408">
        <v>0</v>
      </c>
      <c r="BF613" s="408">
        <v>0</v>
      </c>
      <c r="BG613" s="408">
        <v>3022.1935836938524</v>
      </c>
      <c r="BH613" s="408">
        <v>0</v>
      </c>
      <c r="BI613" s="408">
        <v>0</v>
      </c>
      <c r="BJ613" s="408">
        <v>0</v>
      </c>
      <c r="BK613" s="408">
        <v>19629.11</v>
      </c>
      <c r="BL613" s="408">
        <v>28</v>
      </c>
      <c r="BM613" s="408"/>
      <c r="BN613" s="408"/>
      <c r="BO613" s="408"/>
      <c r="BP613" s="408"/>
      <c r="BQ613" s="408">
        <v>3533.2677737999998</v>
      </c>
      <c r="BR613" s="408"/>
      <c r="BS613" s="408"/>
      <c r="BT613" s="408"/>
      <c r="BU613" s="408"/>
      <c r="BV613" s="408">
        <v>24930.010943975034</v>
      </c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>
        <v>55356.250500000009</v>
      </c>
      <c r="CJ613" s="408">
        <v>-25577.640699599986</v>
      </c>
      <c r="CK613" s="408"/>
      <c r="CL613" s="408"/>
      <c r="CM613" s="408"/>
      <c r="CN613" s="408"/>
      <c r="CO613" s="408">
        <v>-27212.056109999994</v>
      </c>
      <c r="CP613" s="408">
        <v>0</v>
      </c>
      <c r="CQ613" s="408">
        <v>30</v>
      </c>
      <c r="CR613" s="408">
        <v>-211.25819314370165</v>
      </c>
      <c r="CS613" s="408">
        <v>0</v>
      </c>
      <c r="CT613" s="408">
        <v>0</v>
      </c>
      <c r="CU613" s="408">
        <v>0</v>
      </c>
      <c r="CV613" s="408">
        <v>0</v>
      </c>
      <c r="CW613" s="408">
        <v>0</v>
      </c>
      <c r="CX613" s="408">
        <v>0</v>
      </c>
      <c r="CY613" s="408">
        <v>0</v>
      </c>
      <c r="CZ613" s="408">
        <v>-27.569016923665913</v>
      </c>
      <c r="DA613" s="408">
        <v>0</v>
      </c>
      <c r="DB613" s="408">
        <v>0</v>
      </c>
      <c r="DC613" s="408">
        <v>-3.0713345040567219E-6</v>
      </c>
      <c r="DD613" s="408">
        <v>0</v>
      </c>
      <c r="DE613" s="408">
        <v>0</v>
      </c>
      <c r="DF613" s="408">
        <v>0</v>
      </c>
      <c r="DG613" s="408">
        <v>-4.2368992581032217E-7</v>
      </c>
      <c r="DH613" s="408">
        <v>0</v>
      </c>
      <c r="DI613" s="408">
        <v>-156.21675771210721</v>
      </c>
      <c r="DJ613" s="408"/>
      <c r="DK613" s="408">
        <v>0</v>
      </c>
      <c r="DL613" s="408">
        <v>0</v>
      </c>
      <c r="DM613" s="408">
        <v>0</v>
      </c>
      <c r="DN613" s="408">
        <v>0</v>
      </c>
      <c r="DO613" s="408">
        <v>-20.862946895612026</v>
      </c>
      <c r="DP613" s="408">
        <v>-6.609468117298519</v>
      </c>
      <c r="DQ613" s="408">
        <v>0</v>
      </c>
      <c r="DR613" s="408">
        <v>0</v>
      </c>
      <c r="DS613" s="408"/>
      <c r="DT613" s="408"/>
      <c r="DU613" s="408"/>
      <c r="DV613" s="408">
        <v>44036.450719079476</v>
      </c>
      <c r="DW613" s="408">
        <v>0</v>
      </c>
      <c r="DX613" s="408">
        <v>0</v>
      </c>
      <c r="DY613" s="408">
        <v>-27212.056109999998</v>
      </c>
      <c r="DZ613" s="408">
        <v>0</v>
      </c>
      <c r="EA613" s="408">
        <v>0</v>
      </c>
      <c r="EB613" s="408">
        <v>0</v>
      </c>
      <c r="EC613" s="408">
        <v>-27000.734940441958</v>
      </c>
      <c r="ED613" s="408">
        <v>0</v>
      </c>
      <c r="EE613" s="408">
        <v>0</v>
      </c>
      <c r="EF613" s="408">
        <v>0</v>
      </c>
      <c r="EG613" s="408">
        <v>0</v>
      </c>
      <c r="EH613" s="408">
        <v>0</v>
      </c>
      <c r="EI613" s="408">
        <v>0</v>
      </c>
      <c r="EJ613" s="408">
        <v>0</v>
      </c>
      <c r="EK613" s="408">
        <v>0</v>
      </c>
      <c r="EL613" s="408">
        <v>0</v>
      </c>
      <c r="EM613" s="408">
        <v>0</v>
      </c>
      <c r="EN613" s="408">
        <v>0</v>
      </c>
      <c r="EO613" s="408">
        <v>0</v>
      </c>
      <c r="EP613" s="408">
        <v>0</v>
      </c>
      <c r="EQ613" s="408">
        <v>0</v>
      </c>
      <c r="ER613" s="408">
        <v>0</v>
      </c>
      <c r="ES613" s="408">
        <v>0</v>
      </c>
      <c r="ET613" s="408">
        <v>0</v>
      </c>
      <c r="EU613" s="408">
        <v>0</v>
      </c>
      <c r="EV613" s="408">
        <v>265</v>
      </c>
      <c r="EW613" s="408">
        <v>0</v>
      </c>
      <c r="EX613" s="408">
        <v>0</v>
      </c>
      <c r="EY613" s="408">
        <v>0</v>
      </c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620</v>
      </c>
      <c r="B614" s="408" t="s">
        <v>1031</v>
      </c>
      <c r="C614" s="408" t="s">
        <v>2227</v>
      </c>
      <c r="D614" s="408" t="s">
        <v>1952</v>
      </c>
      <c r="E614" s="408" t="s">
        <v>2244</v>
      </c>
      <c r="F614" s="408" t="s">
        <v>1317</v>
      </c>
      <c r="G614" s="408" t="s">
        <v>1317</v>
      </c>
      <c r="H614" s="408" t="s">
        <v>1317</v>
      </c>
      <c r="I614" s="408" t="s">
        <v>1317</v>
      </c>
      <c r="J614" s="408" t="s">
        <v>2228</v>
      </c>
      <c r="K614" s="828">
        <v>44713</v>
      </c>
      <c r="L614" s="408">
        <v>0</v>
      </c>
      <c r="M614" s="408">
        <v>0</v>
      </c>
      <c r="N614" s="408">
        <v>7.7320000000000002</v>
      </c>
      <c r="O614" s="408">
        <v>7.7320000000000002</v>
      </c>
      <c r="P614" s="408">
        <v>7.7320000000000002</v>
      </c>
      <c r="Q614" s="408">
        <v>7.7320000000000002</v>
      </c>
      <c r="R614" s="408"/>
      <c r="S614" s="408">
        <v>739.04</v>
      </c>
      <c r="T614" s="408">
        <v>252.22</v>
      </c>
      <c r="U614" s="408"/>
      <c r="V614" s="408">
        <v>7664.4223199999997</v>
      </c>
      <c r="W614" s="408">
        <v>7664.4223199999997</v>
      </c>
      <c r="X614" s="408">
        <v>5242.0640400000002</v>
      </c>
      <c r="Y614" s="408">
        <v>0</v>
      </c>
      <c r="Z614" s="408">
        <v>478.24860701217597</v>
      </c>
      <c r="AA614" s="408">
        <v>0</v>
      </c>
      <c r="AB614" s="408">
        <v>0</v>
      </c>
      <c r="AC614" s="408">
        <v>0</v>
      </c>
      <c r="AD614" s="408">
        <v>954.88329548968898</v>
      </c>
      <c r="AE614" s="408">
        <v>3920.0294380538862</v>
      </c>
      <c r="AF614" s="408">
        <v>1950.1864381318471</v>
      </c>
      <c r="AG614" s="408">
        <v>0</v>
      </c>
      <c r="AH614" s="408">
        <v>0</v>
      </c>
      <c r="AI614" s="408">
        <v>0</v>
      </c>
      <c r="AJ614" s="408">
        <v>0</v>
      </c>
      <c r="AK614" s="408">
        <v>0</v>
      </c>
      <c r="AL614" s="408">
        <v>73.925877650682366</v>
      </c>
      <c r="AM614" s="408"/>
      <c r="AN614" s="408">
        <v>18.118384304964039</v>
      </c>
      <c r="AO614" s="408">
        <v>0</v>
      </c>
      <c r="AP614" s="408">
        <v>0</v>
      </c>
      <c r="AQ614" s="408">
        <v>0</v>
      </c>
      <c r="AR614" s="408">
        <v>0</v>
      </c>
      <c r="AS614" s="408">
        <v>0</v>
      </c>
      <c r="AT614" s="408">
        <v>0</v>
      </c>
      <c r="AU614" s="408">
        <v>0</v>
      </c>
      <c r="AV614" s="408">
        <v>0</v>
      </c>
      <c r="AW614" s="408">
        <v>0</v>
      </c>
      <c r="AX614" s="408">
        <v>0</v>
      </c>
      <c r="AY614" s="408">
        <v>0</v>
      </c>
      <c r="AZ614" s="408">
        <v>0</v>
      </c>
      <c r="BA614" s="408"/>
      <c r="BB614" s="408">
        <v>0</v>
      </c>
      <c r="BC614" s="408">
        <v>0</v>
      </c>
      <c r="BD614" s="408">
        <v>0</v>
      </c>
      <c r="BE614" s="408">
        <v>0</v>
      </c>
      <c r="BF614" s="408">
        <v>0</v>
      </c>
      <c r="BG614" s="408">
        <v>269.02912523884538</v>
      </c>
      <c r="BH614" s="408">
        <v>0</v>
      </c>
      <c r="BI614" s="408">
        <v>0</v>
      </c>
      <c r="BJ614" s="408">
        <v>0</v>
      </c>
      <c r="BK614" s="408">
        <v>1747.3</v>
      </c>
      <c r="BL614" s="408">
        <v>11</v>
      </c>
      <c r="BM614" s="408"/>
      <c r="BN614" s="408"/>
      <c r="BO614" s="408"/>
      <c r="BP614" s="408"/>
      <c r="BQ614" s="408"/>
      <c r="BR614" s="408"/>
      <c r="BS614" s="408"/>
      <c r="BT614" s="408"/>
      <c r="BU614" s="408"/>
      <c r="BV614" s="408">
        <v>2219.2155633706925</v>
      </c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>
        <v>5240.7080999999998</v>
      </c>
      <c r="CJ614" s="408">
        <v>-2423.7442200000005</v>
      </c>
      <c r="CK614" s="408"/>
      <c r="CL614" s="408"/>
      <c r="CM614" s="408"/>
      <c r="CN614" s="408"/>
      <c r="CO614" s="408">
        <v>-2422.3582799999999</v>
      </c>
      <c r="CP614" s="408">
        <v>0</v>
      </c>
      <c r="CQ614" s="408">
        <v>30</v>
      </c>
      <c r="CR614" s="408">
        <v>-18.805746662834736</v>
      </c>
      <c r="CS614" s="408">
        <v>0</v>
      </c>
      <c r="CT614" s="408">
        <v>0</v>
      </c>
      <c r="CU614" s="408">
        <v>0</v>
      </c>
      <c r="CV614" s="408">
        <v>0</v>
      </c>
      <c r="CW614" s="408">
        <v>0</v>
      </c>
      <c r="CX614" s="408">
        <v>0</v>
      </c>
      <c r="CY614" s="408">
        <v>0</v>
      </c>
      <c r="CZ614" s="408">
        <v>-2.4541341582771565</v>
      </c>
      <c r="DA614" s="408">
        <v>0</v>
      </c>
      <c r="DB614" s="408">
        <v>0</v>
      </c>
      <c r="DC614" s="408">
        <v>-2.7340365704731084E-7</v>
      </c>
      <c r="DD614" s="408">
        <v>0</v>
      </c>
      <c r="DE614" s="408">
        <v>0</v>
      </c>
      <c r="DF614" s="408">
        <v>0</v>
      </c>
      <c r="DG614" s="408">
        <v>-3.7716006318078144E-8</v>
      </c>
      <c r="DH614" s="408">
        <v>0</v>
      </c>
      <c r="DI614" s="408">
        <v>-13.906077327968489</v>
      </c>
      <c r="DJ614" s="408"/>
      <c r="DK614" s="408">
        <v>0</v>
      </c>
      <c r="DL614" s="408">
        <v>0</v>
      </c>
      <c r="DM614" s="408">
        <v>0</v>
      </c>
      <c r="DN614" s="408">
        <v>0</v>
      </c>
      <c r="DO614" s="408">
        <v>-1.8571743330785893</v>
      </c>
      <c r="DP614" s="408">
        <v>-0.58836053239102526</v>
      </c>
      <c r="DQ614" s="408">
        <v>0</v>
      </c>
      <c r="DR614" s="408">
        <v>0</v>
      </c>
      <c r="DS614" s="408"/>
      <c r="DT614" s="408"/>
      <c r="DU614" s="408"/>
      <c r="DV614" s="408">
        <v>3920.0294380538862</v>
      </c>
      <c r="DW614" s="408">
        <v>0</v>
      </c>
      <c r="DX614" s="408">
        <v>0</v>
      </c>
      <c r="DY614" s="408">
        <v>-2422.3582799999999</v>
      </c>
      <c r="DZ614" s="408">
        <v>0</v>
      </c>
      <c r="EA614" s="408">
        <v>0</v>
      </c>
      <c r="EB614" s="408">
        <v>0</v>
      </c>
      <c r="EC614" s="408">
        <v>-2403.5469273131994</v>
      </c>
      <c r="ED614" s="408">
        <v>0</v>
      </c>
      <c r="EE614" s="408">
        <v>0</v>
      </c>
      <c r="EF614" s="408">
        <v>0</v>
      </c>
      <c r="EG614" s="408">
        <v>0</v>
      </c>
      <c r="EH614" s="408">
        <v>0</v>
      </c>
      <c r="EI614" s="408">
        <v>0</v>
      </c>
      <c r="EJ614" s="408">
        <v>0</v>
      </c>
      <c r="EK614" s="408">
        <v>0</v>
      </c>
      <c r="EL614" s="408">
        <v>0</v>
      </c>
      <c r="EM614" s="408">
        <v>0</v>
      </c>
      <c r="EN614" s="408">
        <v>0</v>
      </c>
      <c r="EO614" s="408">
        <v>0</v>
      </c>
      <c r="EP614" s="408">
        <v>0</v>
      </c>
      <c r="EQ614" s="408">
        <v>0</v>
      </c>
      <c r="ER614" s="408">
        <v>0</v>
      </c>
      <c r="ES614" s="408">
        <v>0</v>
      </c>
      <c r="ET614" s="408">
        <v>0</v>
      </c>
      <c r="EU614" s="408">
        <v>0</v>
      </c>
      <c r="EV614" s="408">
        <v>265</v>
      </c>
      <c r="EW614" s="408">
        <v>0</v>
      </c>
      <c r="EX614" s="408">
        <v>0</v>
      </c>
      <c r="EY614" s="408">
        <v>0</v>
      </c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621</v>
      </c>
      <c r="B615" s="408" t="s">
        <v>1031</v>
      </c>
      <c r="C615" s="408" t="s">
        <v>2227</v>
      </c>
      <c r="D615" s="408" t="s">
        <v>2237</v>
      </c>
      <c r="E615" s="408" t="s">
        <v>969</v>
      </c>
      <c r="F615" s="408" t="s">
        <v>2245</v>
      </c>
      <c r="G615" s="408" t="s">
        <v>2246</v>
      </c>
      <c r="H615" s="408" t="s">
        <v>1317</v>
      </c>
      <c r="I615" s="408" t="s">
        <v>1317</v>
      </c>
      <c r="J615" s="408" t="s">
        <v>2228</v>
      </c>
      <c r="K615" s="828">
        <v>44713</v>
      </c>
      <c r="L615" s="408">
        <v>0</v>
      </c>
      <c r="M615" s="408">
        <v>0</v>
      </c>
      <c r="N615" s="408">
        <v>0</v>
      </c>
      <c r="O615" s="408">
        <v>0</v>
      </c>
      <c r="P615" s="408">
        <v>0</v>
      </c>
      <c r="Q615" s="408">
        <v>0</v>
      </c>
      <c r="R615" s="408"/>
      <c r="S615" s="408"/>
      <c r="T615" s="408"/>
      <c r="U615" s="408"/>
      <c r="V615" s="408"/>
      <c r="W615" s="408"/>
      <c r="X615" s="408"/>
      <c r="Y615" s="408"/>
      <c r="Z615" s="408"/>
      <c r="AA615" s="408">
        <v>0</v>
      </c>
      <c r="AB615" s="408"/>
      <c r="AC615" s="408"/>
      <c r="AD615" s="408"/>
      <c r="AE615" s="408"/>
      <c r="AF615" s="408"/>
      <c r="AG615" s="408"/>
      <c r="AH615" s="408"/>
      <c r="AI615" s="408"/>
      <c r="AJ615" s="408"/>
      <c r="AK615" s="408"/>
      <c r="AL615" s="408"/>
      <c r="AM615" s="408"/>
      <c r="AN615" s="408"/>
      <c r="AO615" s="408"/>
      <c r="AP615" s="408"/>
      <c r="AQ615" s="408"/>
      <c r="AR615" s="408"/>
      <c r="AS615" s="408"/>
      <c r="AT615" s="408"/>
      <c r="AU615" s="408"/>
      <c r="AV615" s="408"/>
      <c r="AW615" s="408"/>
      <c r="AX615" s="408"/>
      <c r="AY615" s="408"/>
      <c r="AZ615" s="408">
        <v>0</v>
      </c>
      <c r="BA615" s="408"/>
      <c r="BB615" s="408"/>
      <c r="BC615" s="408"/>
      <c r="BD615" s="408"/>
      <c r="BE615" s="408"/>
      <c r="BF615" s="408"/>
      <c r="BG615" s="408"/>
      <c r="BH615" s="408"/>
      <c r="BI615" s="408">
        <v>0</v>
      </c>
      <c r="BJ615" s="408">
        <v>0</v>
      </c>
      <c r="BK615" s="408">
        <v>295.68</v>
      </c>
      <c r="BL615" s="408">
        <v>32</v>
      </c>
      <c r="BM615" s="408"/>
      <c r="BN615" s="408"/>
      <c r="BO615" s="408"/>
      <c r="BP615" s="408"/>
      <c r="BQ615" s="408"/>
      <c r="BR615" s="408"/>
      <c r="BS615" s="408"/>
      <c r="BT615" s="408"/>
      <c r="BU615" s="408"/>
      <c r="BV615" s="408"/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/>
      <c r="CJ615" s="408">
        <v>-0.03</v>
      </c>
      <c r="CK615" s="408"/>
      <c r="CL615" s="408"/>
      <c r="CM615" s="408"/>
      <c r="CN615" s="408"/>
      <c r="CO615" s="408">
        <v>0</v>
      </c>
      <c r="CP615" s="408">
        <v>0</v>
      </c>
      <c r="CQ615" s="408">
        <v>30</v>
      </c>
      <c r="CR615" s="408"/>
      <c r="CS615" s="408"/>
      <c r="CT615" s="408"/>
      <c r="CU615" s="408"/>
      <c r="CV615" s="408"/>
      <c r="CW615" s="408"/>
      <c r="CX615" s="408"/>
      <c r="CY615" s="408"/>
      <c r="CZ615" s="408"/>
      <c r="DA615" s="408"/>
      <c r="DB615" s="408"/>
      <c r="DC615" s="408"/>
      <c r="DD615" s="408"/>
      <c r="DE615" s="408"/>
      <c r="DF615" s="408"/>
      <c r="DG615" s="408"/>
      <c r="DH615" s="408"/>
      <c r="DI615" s="408"/>
      <c r="DJ615" s="408"/>
      <c r="DK615" s="408">
        <v>0</v>
      </c>
      <c r="DL615" s="408"/>
      <c r="DM615" s="408"/>
      <c r="DN615" s="408"/>
      <c r="DO615" s="408"/>
      <c r="DP615" s="408"/>
      <c r="DQ615" s="408"/>
      <c r="DR615" s="408"/>
      <c r="DS615" s="408"/>
      <c r="DT615" s="408"/>
      <c r="DU615" s="408"/>
      <c r="DV615" s="408"/>
      <c r="DW615" s="408"/>
      <c r="DX615" s="408"/>
      <c r="DY615" s="408"/>
      <c r="DZ615" s="408"/>
      <c r="EA615" s="408"/>
      <c r="EB615" s="408"/>
      <c r="EC615" s="408"/>
      <c r="ED615" s="408"/>
      <c r="EE615" s="408"/>
      <c r="EF615" s="408"/>
      <c r="EG615" s="408"/>
      <c r="EH615" s="408"/>
      <c r="EI615" s="408"/>
      <c r="EJ615" s="408"/>
      <c r="EK615" s="408"/>
      <c r="EL615" s="408"/>
      <c r="EM615" s="408"/>
      <c r="EN615" s="408"/>
      <c r="EO615" s="408"/>
      <c r="EP615" s="408"/>
      <c r="EQ615" s="408"/>
      <c r="ER615" s="408"/>
      <c r="ES615" s="408"/>
      <c r="ET615" s="408"/>
      <c r="EU615" s="408"/>
      <c r="EV615" s="408">
        <v>265</v>
      </c>
      <c r="EW615" s="408"/>
      <c r="EX615" s="408"/>
      <c r="EY615" s="408"/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622</v>
      </c>
      <c r="B616" s="408" t="s">
        <v>2230</v>
      </c>
      <c r="C616" s="408" t="s">
        <v>2227</v>
      </c>
      <c r="D616" s="408" t="s">
        <v>2237</v>
      </c>
      <c r="E616" s="408" t="s">
        <v>969</v>
      </c>
      <c r="F616" s="408" t="s">
        <v>2245</v>
      </c>
      <c r="G616" s="408" t="s">
        <v>2246</v>
      </c>
      <c r="H616" s="408" t="s">
        <v>1317</v>
      </c>
      <c r="I616" s="408" t="s">
        <v>1317</v>
      </c>
      <c r="J616" s="408" t="s">
        <v>2228</v>
      </c>
      <c r="K616" s="828">
        <v>44713</v>
      </c>
      <c r="L616" s="408">
        <v>0</v>
      </c>
      <c r="M616" s="408">
        <v>0</v>
      </c>
      <c r="N616" s="408">
        <v>0</v>
      </c>
      <c r="O616" s="408">
        <v>0</v>
      </c>
      <c r="P616" s="408">
        <v>0</v>
      </c>
      <c r="Q616" s="408">
        <v>0</v>
      </c>
      <c r="R616" s="408"/>
      <c r="S616" s="408"/>
      <c r="T616" s="408"/>
      <c r="U616" s="408"/>
      <c r="V616" s="408"/>
      <c r="W616" s="408"/>
      <c r="X616" s="408"/>
      <c r="Y616" s="408"/>
      <c r="Z616" s="408"/>
      <c r="AA616" s="408">
        <v>0</v>
      </c>
      <c r="AB616" s="408"/>
      <c r="AC616" s="408"/>
      <c r="AD616" s="408"/>
      <c r="AE616" s="408"/>
      <c r="AF616" s="408"/>
      <c r="AG616" s="408"/>
      <c r="AH616" s="408"/>
      <c r="AI616" s="408"/>
      <c r="AJ616" s="408"/>
      <c r="AK616" s="408"/>
      <c r="AL616" s="408"/>
      <c r="AM616" s="408"/>
      <c r="AN616" s="408"/>
      <c r="AO616" s="408"/>
      <c r="AP616" s="408"/>
      <c r="AQ616" s="408"/>
      <c r="AR616" s="408"/>
      <c r="AS616" s="408"/>
      <c r="AT616" s="408"/>
      <c r="AU616" s="408"/>
      <c r="AV616" s="408"/>
      <c r="AW616" s="408"/>
      <c r="AX616" s="408"/>
      <c r="AY616" s="408"/>
      <c r="AZ616" s="408">
        <v>0</v>
      </c>
      <c r="BA616" s="408"/>
      <c r="BB616" s="408"/>
      <c r="BC616" s="408"/>
      <c r="BD616" s="408"/>
      <c r="BE616" s="408"/>
      <c r="BF616" s="408"/>
      <c r="BG616" s="408"/>
      <c r="BH616" s="408"/>
      <c r="BI616" s="408">
        <v>0</v>
      </c>
      <c r="BJ616" s="408">
        <v>0</v>
      </c>
      <c r="BK616" s="408">
        <v>18.48</v>
      </c>
      <c r="BL616" s="408">
        <v>2</v>
      </c>
      <c r="BM616" s="408"/>
      <c r="BN616" s="408"/>
      <c r="BO616" s="408"/>
      <c r="BP616" s="408"/>
      <c r="BQ616" s="408"/>
      <c r="BR616" s="408"/>
      <c r="BS616" s="408"/>
      <c r="BT616" s="408"/>
      <c r="BU616" s="408"/>
      <c r="BV616" s="408"/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/>
      <c r="CJ616" s="408">
        <v>-0.03</v>
      </c>
      <c r="CK616" s="408"/>
      <c r="CL616" s="408"/>
      <c r="CM616" s="408"/>
      <c r="CN616" s="408"/>
      <c r="CO616" s="408">
        <v>0</v>
      </c>
      <c r="CP616" s="408">
        <v>0</v>
      </c>
      <c r="CQ616" s="408">
        <v>30</v>
      </c>
      <c r="CR616" s="408"/>
      <c r="CS616" s="408"/>
      <c r="CT616" s="408"/>
      <c r="CU616" s="408"/>
      <c r="CV616" s="408"/>
      <c r="CW616" s="408"/>
      <c r="CX616" s="408"/>
      <c r="CY616" s="408"/>
      <c r="CZ616" s="408"/>
      <c r="DA616" s="408"/>
      <c r="DB616" s="408"/>
      <c r="DC616" s="408"/>
      <c r="DD616" s="408"/>
      <c r="DE616" s="408"/>
      <c r="DF616" s="408"/>
      <c r="DG616" s="408"/>
      <c r="DH616" s="408"/>
      <c r="DI616" s="408"/>
      <c r="DJ616" s="408"/>
      <c r="DK616" s="408">
        <v>0</v>
      </c>
      <c r="DL616" s="408"/>
      <c r="DM616" s="408"/>
      <c r="DN616" s="408"/>
      <c r="DO616" s="408"/>
      <c r="DP616" s="408"/>
      <c r="DQ616" s="408"/>
      <c r="DR616" s="408"/>
      <c r="DS616" s="408"/>
      <c r="DT616" s="408"/>
      <c r="DU616" s="408"/>
      <c r="DV616" s="408"/>
      <c r="DW616" s="408"/>
      <c r="DX616" s="408"/>
      <c r="DY616" s="408"/>
      <c r="DZ616" s="408"/>
      <c r="EA616" s="408"/>
      <c r="EB616" s="408"/>
      <c r="EC616" s="408"/>
      <c r="ED616" s="408"/>
      <c r="EE616" s="408"/>
      <c r="EF616" s="408"/>
      <c r="EG616" s="408"/>
      <c r="EH616" s="408"/>
      <c r="EI616" s="408"/>
      <c r="EJ616" s="408"/>
      <c r="EK616" s="408"/>
      <c r="EL616" s="408"/>
      <c r="EM616" s="408"/>
      <c r="EN616" s="408"/>
      <c r="EO616" s="408"/>
      <c r="EP616" s="408"/>
      <c r="EQ616" s="408"/>
      <c r="ER616" s="408"/>
      <c r="ES616" s="408"/>
      <c r="ET616" s="408"/>
      <c r="EU616" s="408"/>
      <c r="EV616" s="408">
        <v>265</v>
      </c>
      <c r="EW616" s="408"/>
      <c r="EX616" s="408"/>
      <c r="EY616" s="408"/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623</v>
      </c>
      <c r="B617" s="408" t="s">
        <v>1031</v>
      </c>
      <c r="C617" s="408" t="s">
        <v>2227</v>
      </c>
      <c r="D617" s="408" t="s">
        <v>2237</v>
      </c>
      <c r="E617" s="408" t="s">
        <v>969</v>
      </c>
      <c r="F617" s="408" t="s">
        <v>2245</v>
      </c>
      <c r="G617" s="408" t="s">
        <v>2246</v>
      </c>
      <c r="H617" s="408" t="s">
        <v>1317</v>
      </c>
      <c r="I617" s="408" t="s">
        <v>1317</v>
      </c>
      <c r="J617" s="408" t="s">
        <v>2228</v>
      </c>
      <c r="K617" s="828">
        <v>44713</v>
      </c>
      <c r="L617" s="408">
        <v>0</v>
      </c>
      <c r="M617" s="408">
        <v>0</v>
      </c>
      <c r="N617" s="408">
        <v>3.7</v>
      </c>
      <c r="O617" s="408">
        <v>3.7</v>
      </c>
      <c r="P617" s="408">
        <v>3.7</v>
      </c>
      <c r="Q617" s="408">
        <v>3.7</v>
      </c>
      <c r="R617" s="408"/>
      <c r="S617" s="408">
        <v>739.04</v>
      </c>
      <c r="T617" s="408">
        <v>252.22</v>
      </c>
      <c r="U617" s="408"/>
      <c r="V617" s="408">
        <v>3667.6619999999998</v>
      </c>
      <c r="W617" s="408">
        <v>3667.6619999999998</v>
      </c>
      <c r="X617" s="408">
        <v>2508.489</v>
      </c>
      <c r="Y617" s="408">
        <v>0</v>
      </c>
      <c r="Z617" s="408">
        <v>228.85667950660257</v>
      </c>
      <c r="AA617" s="408">
        <v>0</v>
      </c>
      <c r="AB617" s="408">
        <v>0</v>
      </c>
      <c r="AC617" s="408">
        <v>0</v>
      </c>
      <c r="AD617" s="408">
        <v>456.9410493160695</v>
      </c>
      <c r="AE617" s="408">
        <v>1875.8547491980573</v>
      </c>
      <c r="AF617" s="408">
        <v>933.22423966474832</v>
      </c>
      <c r="AG617" s="408">
        <v>0</v>
      </c>
      <c r="AH617" s="408">
        <v>0</v>
      </c>
      <c r="AI617" s="408">
        <v>0</v>
      </c>
      <c r="AJ617" s="408">
        <v>0</v>
      </c>
      <c r="AK617" s="408">
        <v>0</v>
      </c>
      <c r="AL617" s="408">
        <v>35.375807980797305</v>
      </c>
      <c r="AM617" s="408"/>
      <c r="AN617" s="408">
        <v>8.6702045949776174</v>
      </c>
      <c r="AO617" s="408">
        <v>0</v>
      </c>
      <c r="AP617" s="408">
        <v>0</v>
      </c>
      <c r="AQ617" s="408">
        <v>0</v>
      </c>
      <c r="AR617" s="408">
        <v>0</v>
      </c>
      <c r="AS617" s="408">
        <v>0</v>
      </c>
      <c r="AT617" s="408">
        <v>0</v>
      </c>
      <c r="AU617" s="408">
        <v>0</v>
      </c>
      <c r="AV617" s="408">
        <v>0</v>
      </c>
      <c r="AW617" s="408">
        <v>0</v>
      </c>
      <c r="AX617" s="408">
        <v>0</v>
      </c>
      <c r="AY617" s="408">
        <v>0</v>
      </c>
      <c r="AZ617" s="408">
        <v>0</v>
      </c>
      <c r="BA617" s="408"/>
      <c r="BB617" s="408">
        <v>0</v>
      </c>
      <c r="BC617" s="408">
        <v>0</v>
      </c>
      <c r="BD617" s="408">
        <v>0</v>
      </c>
      <c r="BE617" s="408">
        <v>0</v>
      </c>
      <c r="BF617" s="408">
        <v>0</v>
      </c>
      <c r="BG617" s="408">
        <v>128.73871745780235</v>
      </c>
      <c r="BH617" s="408">
        <v>0</v>
      </c>
      <c r="BI617" s="408">
        <v>0</v>
      </c>
      <c r="BJ617" s="408">
        <v>0</v>
      </c>
      <c r="BK617" s="408">
        <v>0</v>
      </c>
      <c r="BL617" s="408">
        <v>0</v>
      </c>
      <c r="BM617" s="408"/>
      <c r="BN617" s="408"/>
      <c r="BO617" s="408"/>
      <c r="BP617" s="408"/>
      <c r="BQ617" s="408"/>
      <c r="BR617" s="408">
        <v>300.99499999999989</v>
      </c>
      <c r="BS617" s="408"/>
      <c r="BT617" s="408"/>
      <c r="BU617" s="408"/>
      <c r="BV617" s="408">
        <v>1061.9629571225507</v>
      </c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>
        <v>2207.4940000000001</v>
      </c>
      <c r="CJ617" s="408">
        <v>-1020.0830000000005</v>
      </c>
      <c r="CK617" s="408"/>
      <c r="CL617" s="408"/>
      <c r="CM617" s="408"/>
      <c r="CN617" s="408"/>
      <c r="CO617" s="408">
        <v>-1159.173</v>
      </c>
      <c r="CP617" s="408">
        <v>0</v>
      </c>
      <c r="CQ617" s="408">
        <v>30</v>
      </c>
      <c r="CR617" s="408">
        <v>-8.9991286410354405</v>
      </c>
      <c r="CS617" s="408">
        <v>0</v>
      </c>
      <c r="CT617" s="408">
        <v>0</v>
      </c>
      <c r="CU617" s="408">
        <v>0</v>
      </c>
      <c r="CV617" s="408">
        <v>0</v>
      </c>
      <c r="CW617" s="408">
        <v>0</v>
      </c>
      <c r="CX617" s="408">
        <v>0</v>
      </c>
      <c r="CY617" s="408">
        <v>0</v>
      </c>
      <c r="CZ617" s="408">
        <v>-1.1743787358543045</v>
      </c>
      <c r="DA617" s="408">
        <v>0</v>
      </c>
      <c r="DB617" s="408">
        <v>0</v>
      </c>
      <c r="DC617" s="408">
        <v>-1.3083206340525066E-7</v>
      </c>
      <c r="DD617" s="408">
        <v>0</v>
      </c>
      <c r="DE617" s="408">
        <v>0</v>
      </c>
      <c r="DF617" s="408">
        <v>0</v>
      </c>
      <c r="DG617" s="408">
        <v>-1.8048240235657431E-8</v>
      </c>
      <c r="DH617" s="408">
        <v>0</v>
      </c>
      <c r="DI617" s="408">
        <v>-6.6544860467516003</v>
      </c>
      <c r="DJ617" s="408"/>
      <c r="DK617" s="408">
        <v>0</v>
      </c>
      <c r="DL617" s="408">
        <v>0</v>
      </c>
      <c r="DM617" s="408">
        <v>0</v>
      </c>
      <c r="DN617" s="408">
        <v>0</v>
      </c>
      <c r="DO617" s="408">
        <v>-0.88871508437542701</v>
      </c>
      <c r="DP617" s="408">
        <v>-0.28154862517418344</v>
      </c>
      <c r="DQ617" s="408">
        <v>0</v>
      </c>
      <c r="DR617" s="408">
        <v>0</v>
      </c>
      <c r="DS617" s="408"/>
      <c r="DT617" s="408"/>
      <c r="DU617" s="408"/>
      <c r="DV617" s="408">
        <v>1875.8547491980573</v>
      </c>
      <c r="DW617" s="408">
        <v>0</v>
      </c>
      <c r="DX617" s="408">
        <v>0</v>
      </c>
      <c r="DY617" s="408">
        <v>-1159.1729999999998</v>
      </c>
      <c r="DZ617" s="408">
        <v>0</v>
      </c>
      <c r="EA617" s="408">
        <v>0</v>
      </c>
      <c r="EB617" s="408">
        <v>0</v>
      </c>
      <c r="EC617" s="408">
        <v>-1150.1711887039367</v>
      </c>
      <c r="ED617" s="408">
        <v>0</v>
      </c>
      <c r="EE617" s="408">
        <v>0</v>
      </c>
      <c r="EF617" s="408">
        <v>0</v>
      </c>
      <c r="EG617" s="408">
        <v>0</v>
      </c>
      <c r="EH617" s="408">
        <v>0</v>
      </c>
      <c r="EI617" s="408">
        <v>0</v>
      </c>
      <c r="EJ617" s="408">
        <v>0</v>
      </c>
      <c r="EK617" s="408">
        <v>0</v>
      </c>
      <c r="EL617" s="408">
        <v>0</v>
      </c>
      <c r="EM617" s="408">
        <v>0</v>
      </c>
      <c r="EN617" s="408">
        <v>0</v>
      </c>
      <c r="EO617" s="408">
        <v>0</v>
      </c>
      <c r="EP617" s="408">
        <v>0</v>
      </c>
      <c r="EQ617" s="408">
        <v>0</v>
      </c>
      <c r="ER617" s="408">
        <v>0</v>
      </c>
      <c r="ES617" s="408">
        <v>0</v>
      </c>
      <c r="ET617" s="408">
        <v>0</v>
      </c>
      <c r="EU617" s="408">
        <v>0</v>
      </c>
      <c r="EV617" s="408">
        <v>265</v>
      </c>
      <c r="EW617" s="408">
        <v>0</v>
      </c>
      <c r="EX617" s="408">
        <v>0</v>
      </c>
      <c r="EY617" s="408">
        <v>0</v>
      </c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624</v>
      </c>
      <c r="B618" s="408" t="s">
        <v>2230</v>
      </c>
      <c r="C618" s="408" t="s">
        <v>2227</v>
      </c>
      <c r="D618" s="408" t="s">
        <v>2237</v>
      </c>
      <c r="E618" s="408" t="s">
        <v>969</v>
      </c>
      <c r="F618" s="408" t="s">
        <v>2245</v>
      </c>
      <c r="G618" s="408" t="s">
        <v>2246</v>
      </c>
      <c r="H618" s="408" t="s">
        <v>1317</v>
      </c>
      <c r="I618" s="408" t="s">
        <v>1317</v>
      </c>
      <c r="J618" s="408" t="s">
        <v>2228</v>
      </c>
      <c r="K618" s="828">
        <v>44713</v>
      </c>
      <c r="L618" s="408">
        <v>0</v>
      </c>
      <c r="M618" s="408">
        <v>0</v>
      </c>
      <c r="N618" s="408">
        <v>0.16</v>
      </c>
      <c r="O618" s="408">
        <v>0.16</v>
      </c>
      <c r="P618" s="408">
        <v>0.16</v>
      </c>
      <c r="Q618" s="408">
        <v>0.16</v>
      </c>
      <c r="R618" s="408"/>
      <c r="S618" s="408">
        <v>739.04</v>
      </c>
      <c r="T618" s="408">
        <v>252.22</v>
      </c>
      <c r="U618" s="408"/>
      <c r="V618" s="408">
        <v>158.60159999999999</v>
      </c>
      <c r="W618" s="408">
        <v>158.60159999999999</v>
      </c>
      <c r="X618" s="408">
        <v>108.4752</v>
      </c>
      <c r="Y618" s="408">
        <v>0</v>
      </c>
      <c r="Z618" s="408">
        <v>9.8965050597449764</v>
      </c>
      <c r="AA618" s="408">
        <v>0</v>
      </c>
      <c r="AB618" s="408">
        <v>0</v>
      </c>
      <c r="AC618" s="408">
        <v>0</v>
      </c>
      <c r="AD618" s="408">
        <v>19.759612943397599</v>
      </c>
      <c r="AE618" s="408">
        <v>81.118043208564643</v>
      </c>
      <c r="AF618" s="408">
        <v>40.35564279631344</v>
      </c>
      <c r="AG618" s="408">
        <v>0</v>
      </c>
      <c r="AH618" s="408">
        <v>0</v>
      </c>
      <c r="AI618" s="408">
        <v>0</v>
      </c>
      <c r="AJ618" s="408">
        <v>0</v>
      </c>
      <c r="AK618" s="408">
        <v>0</v>
      </c>
      <c r="AL618" s="408">
        <v>1.5297646694398832</v>
      </c>
      <c r="AM618" s="408"/>
      <c r="AN618" s="408">
        <v>0.37492776626930235</v>
      </c>
      <c r="AO618" s="408">
        <v>0</v>
      </c>
      <c r="AP618" s="408">
        <v>0</v>
      </c>
      <c r="AQ618" s="408">
        <v>0</v>
      </c>
      <c r="AR618" s="408">
        <v>0</v>
      </c>
      <c r="AS618" s="408">
        <v>0</v>
      </c>
      <c r="AT618" s="408">
        <v>0</v>
      </c>
      <c r="AU618" s="408">
        <v>0</v>
      </c>
      <c r="AV618" s="408">
        <v>0</v>
      </c>
      <c r="AW618" s="408">
        <v>0</v>
      </c>
      <c r="AX618" s="408">
        <v>0</v>
      </c>
      <c r="AY618" s="408">
        <v>0</v>
      </c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</v>
      </c>
      <c r="BF618" s="408">
        <v>0</v>
      </c>
      <c r="BG618" s="408">
        <v>5.5670796738509125</v>
      </c>
      <c r="BH618" s="408">
        <v>0</v>
      </c>
      <c r="BI618" s="408">
        <v>0</v>
      </c>
      <c r="BJ618" s="408">
        <v>0</v>
      </c>
      <c r="BK618" s="408">
        <v>0</v>
      </c>
      <c r="BL618" s="408">
        <v>0</v>
      </c>
      <c r="BM618" s="408"/>
      <c r="BN618" s="408"/>
      <c r="BO618" s="408"/>
      <c r="BP618" s="408"/>
      <c r="BQ618" s="408"/>
      <c r="BR618" s="408">
        <v>13.015999999999995</v>
      </c>
      <c r="BS618" s="408"/>
      <c r="BT618" s="408"/>
      <c r="BU618" s="408"/>
      <c r="BV618" s="408">
        <v>45.922722470164352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95.45920000000001</v>
      </c>
      <c r="CJ618" s="408">
        <v>-44.1404</v>
      </c>
      <c r="CK618" s="408"/>
      <c r="CL618" s="408"/>
      <c r="CM618" s="408"/>
      <c r="CN618" s="408"/>
      <c r="CO618" s="408">
        <v>-50.126399999999997</v>
      </c>
      <c r="CP618" s="408">
        <v>0</v>
      </c>
      <c r="CQ618" s="408">
        <v>30</v>
      </c>
      <c r="CR618" s="408">
        <v>-0.3891515088015467</v>
      </c>
      <c r="CS618" s="408">
        <v>0</v>
      </c>
      <c r="CT618" s="408">
        <v>0</v>
      </c>
      <c r="CU618" s="408">
        <v>0</v>
      </c>
      <c r="CV618" s="408">
        <v>0</v>
      </c>
      <c r="CW618" s="408">
        <v>0</v>
      </c>
      <c r="CX618" s="408">
        <v>0</v>
      </c>
      <c r="CY618" s="408">
        <v>0</v>
      </c>
      <c r="CZ618" s="408">
        <v>-5.0783945334238467E-2</v>
      </c>
      <c r="DA618" s="408">
        <v>0</v>
      </c>
      <c r="DB618" s="408">
        <v>0</v>
      </c>
      <c r="DC618" s="408">
        <v>-5.6575970575067913E-9</v>
      </c>
      <c r="DD618" s="408">
        <v>0</v>
      </c>
      <c r="DE618" s="408">
        <v>0</v>
      </c>
      <c r="DF618" s="408">
        <v>0</v>
      </c>
      <c r="DG618" s="408">
        <v>-7.8046458185099254E-10</v>
      </c>
      <c r="DH618" s="408">
        <v>0</v>
      </c>
      <c r="DI618" s="408">
        <v>-0.28776155877844722</v>
      </c>
      <c r="DJ618" s="408"/>
      <c r="DK618" s="408">
        <v>0</v>
      </c>
      <c r="DL618" s="408">
        <v>0</v>
      </c>
      <c r="DM618" s="408">
        <v>0</v>
      </c>
      <c r="DN618" s="408">
        <v>0</v>
      </c>
      <c r="DO618" s="408">
        <v>-3.8430922567585624E-2</v>
      </c>
      <c r="DP618" s="408">
        <v>-1.217507568320797E-2</v>
      </c>
      <c r="DQ618" s="408">
        <v>0</v>
      </c>
      <c r="DR618" s="408">
        <v>0</v>
      </c>
      <c r="DS618" s="408"/>
      <c r="DT618" s="408"/>
      <c r="DU618" s="408"/>
      <c r="DV618" s="408">
        <v>81.118043208564643</v>
      </c>
      <c r="DW618" s="408">
        <v>0</v>
      </c>
      <c r="DX618" s="408">
        <v>0</v>
      </c>
      <c r="DY618" s="408">
        <v>-50.12639999999999</v>
      </c>
      <c r="DZ618" s="408">
        <v>0</v>
      </c>
      <c r="EA618" s="408">
        <v>0</v>
      </c>
      <c r="EB618" s="408">
        <v>0</v>
      </c>
      <c r="EC618" s="408">
        <v>-49.737132484494566</v>
      </c>
      <c r="ED618" s="408">
        <v>0</v>
      </c>
      <c r="EE618" s="408">
        <v>0</v>
      </c>
      <c r="EF618" s="408">
        <v>0</v>
      </c>
      <c r="EG618" s="408">
        <v>0</v>
      </c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>
        <v>0</v>
      </c>
      <c r="EN618" s="408">
        <v>0</v>
      </c>
      <c r="EO618" s="408">
        <v>0</v>
      </c>
      <c r="EP618" s="408">
        <v>0</v>
      </c>
      <c r="EQ618" s="408">
        <v>0</v>
      </c>
      <c r="ER618" s="408">
        <v>0</v>
      </c>
      <c r="ES618" s="408">
        <v>0</v>
      </c>
      <c r="ET618" s="408">
        <v>0</v>
      </c>
      <c r="EU618" s="408">
        <v>0</v>
      </c>
      <c r="EV618" s="408">
        <v>265</v>
      </c>
      <c r="EW618" s="408">
        <v>0</v>
      </c>
      <c r="EX618" s="408">
        <v>0</v>
      </c>
      <c r="EY618" s="408">
        <v>0</v>
      </c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625</v>
      </c>
      <c r="B619" s="408" t="s">
        <v>1031</v>
      </c>
      <c r="C619" s="408" t="s">
        <v>2227</v>
      </c>
      <c r="D619" s="408" t="s">
        <v>2237</v>
      </c>
      <c r="E619" s="408" t="s">
        <v>969</v>
      </c>
      <c r="F619" s="408" t="s">
        <v>2245</v>
      </c>
      <c r="G619" s="408" t="s">
        <v>2247</v>
      </c>
      <c r="H619" s="408" t="s">
        <v>1317</v>
      </c>
      <c r="I619" s="408" t="s">
        <v>1317</v>
      </c>
      <c r="J619" s="408" t="s">
        <v>2228</v>
      </c>
      <c r="K619" s="828">
        <v>44713</v>
      </c>
      <c r="L619" s="408">
        <v>0</v>
      </c>
      <c r="M619" s="408">
        <v>0</v>
      </c>
      <c r="N619" s="408">
        <v>0.42</v>
      </c>
      <c r="O619" s="408">
        <v>0.16800000000000001</v>
      </c>
      <c r="P619" s="408">
        <v>0.42</v>
      </c>
      <c r="Q619" s="408">
        <v>0.16800000000000001</v>
      </c>
      <c r="R619" s="408"/>
      <c r="S619" s="408">
        <v>739.04</v>
      </c>
      <c r="T619" s="408">
        <v>252.22</v>
      </c>
      <c r="U619" s="408"/>
      <c r="V619" s="408">
        <v>416.32920000000001</v>
      </c>
      <c r="W619" s="408">
        <v>416.32920000000001</v>
      </c>
      <c r="X619" s="408">
        <v>284.74739999999997</v>
      </c>
      <c r="Y619" s="408">
        <v>0</v>
      </c>
      <c r="Z619" s="408">
        <v>25.978325781830563</v>
      </c>
      <c r="AA619" s="408">
        <v>0</v>
      </c>
      <c r="AB619" s="408">
        <v>0</v>
      </c>
      <c r="AC619" s="408">
        <v>0</v>
      </c>
      <c r="AD619" s="408">
        <v>51.868983976418697</v>
      </c>
      <c r="AE619" s="408">
        <v>212.93486342248218</v>
      </c>
      <c r="AF619" s="408">
        <v>105.93356234032278</v>
      </c>
      <c r="AG619" s="408">
        <v>0</v>
      </c>
      <c r="AH619" s="408">
        <v>0</v>
      </c>
      <c r="AI619" s="408">
        <v>0</v>
      </c>
      <c r="AJ619" s="408">
        <v>0</v>
      </c>
      <c r="AK619" s="408">
        <v>0</v>
      </c>
      <c r="AL619" s="408">
        <v>4.0156322572796936</v>
      </c>
      <c r="AM619" s="408"/>
      <c r="AN619" s="408">
        <v>0.98418538645691866</v>
      </c>
      <c r="AO619" s="408">
        <v>0</v>
      </c>
      <c r="AP619" s="408">
        <v>0</v>
      </c>
      <c r="AQ619" s="408">
        <v>0</v>
      </c>
      <c r="AR619" s="408">
        <v>0</v>
      </c>
      <c r="AS619" s="408">
        <v>0</v>
      </c>
      <c r="AT619" s="408">
        <v>0</v>
      </c>
      <c r="AU619" s="408">
        <v>0</v>
      </c>
      <c r="AV619" s="408">
        <v>0</v>
      </c>
      <c r="AW619" s="408">
        <v>0</v>
      </c>
      <c r="AX619" s="408">
        <v>0</v>
      </c>
      <c r="AY619" s="408">
        <v>0</v>
      </c>
      <c r="AZ619" s="408">
        <v>0</v>
      </c>
      <c r="BA619" s="408"/>
      <c r="BB619" s="408">
        <v>0</v>
      </c>
      <c r="BC619" s="408">
        <v>0</v>
      </c>
      <c r="BD619" s="408">
        <v>0</v>
      </c>
      <c r="BE619" s="408">
        <v>0</v>
      </c>
      <c r="BF619" s="408">
        <v>0</v>
      </c>
      <c r="BG619" s="408">
        <v>14.613584143858645</v>
      </c>
      <c r="BH619" s="408">
        <v>0</v>
      </c>
      <c r="BI619" s="408">
        <v>0</v>
      </c>
      <c r="BJ619" s="408">
        <v>0</v>
      </c>
      <c r="BK619" s="408">
        <v>0</v>
      </c>
      <c r="BL619" s="408">
        <v>0</v>
      </c>
      <c r="BM619" s="408"/>
      <c r="BN619" s="408"/>
      <c r="BO619" s="408"/>
      <c r="BP619" s="408"/>
      <c r="BQ619" s="408"/>
      <c r="BR619" s="408"/>
      <c r="BS619" s="408">
        <v>184.51524000000001</v>
      </c>
      <c r="BT619" s="408"/>
      <c r="BU619" s="408"/>
      <c r="BV619" s="408">
        <v>120.54714648418143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101.42540000000001</v>
      </c>
      <c r="CJ619" s="408">
        <v>-45.152679999999989</v>
      </c>
      <c r="CK619" s="408"/>
      <c r="CL619" s="408"/>
      <c r="CM619" s="408"/>
      <c r="CN619" s="408"/>
      <c r="CO619" s="408">
        <v>-131.58179999999999</v>
      </c>
      <c r="CP619" s="408">
        <v>0</v>
      </c>
      <c r="CQ619" s="408">
        <v>30</v>
      </c>
      <c r="CR619" s="408">
        <v>-1.0215227106040459</v>
      </c>
      <c r="CS619" s="408">
        <v>0</v>
      </c>
      <c r="CT619" s="408">
        <v>0</v>
      </c>
      <c r="CU619" s="408">
        <v>0</v>
      </c>
      <c r="CV619" s="408">
        <v>0</v>
      </c>
      <c r="CW619" s="408">
        <v>0</v>
      </c>
      <c r="CX619" s="408">
        <v>0</v>
      </c>
      <c r="CY619" s="408">
        <v>0</v>
      </c>
      <c r="CZ619" s="408">
        <v>-0.13330785650238397</v>
      </c>
      <c r="DA619" s="408">
        <v>0</v>
      </c>
      <c r="DB619" s="408">
        <v>0</v>
      </c>
      <c r="DC619" s="408">
        <v>-1.4851210039523721E-8</v>
      </c>
      <c r="DD619" s="408">
        <v>0</v>
      </c>
      <c r="DE619" s="408">
        <v>0</v>
      </c>
      <c r="DF619" s="408">
        <v>0</v>
      </c>
      <c r="DG619" s="408">
        <v>-2.0487203045149727E-9</v>
      </c>
      <c r="DH619" s="408">
        <v>0</v>
      </c>
      <c r="DI619" s="408">
        <v>-0.75537409179342774</v>
      </c>
      <c r="DJ619" s="408"/>
      <c r="DK619" s="408">
        <v>0</v>
      </c>
      <c r="DL619" s="408">
        <v>0</v>
      </c>
      <c r="DM619" s="408">
        <v>0</v>
      </c>
      <c r="DN619" s="408">
        <v>0</v>
      </c>
      <c r="DO619" s="408">
        <v>-0.10088117173991273</v>
      </c>
      <c r="DP619" s="408">
        <v>-3.1959573668420949E-2</v>
      </c>
      <c r="DQ619" s="408">
        <v>0</v>
      </c>
      <c r="DR619" s="408">
        <v>0</v>
      </c>
      <c r="DS619" s="408"/>
      <c r="DT619" s="408"/>
      <c r="DU619" s="408"/>
      <c r="DV619" s="408">
        <v>212.93486342248218</v>
      </c>
      <c r="DW619" s="408">
        <v>0</v>
      </c>
      <c r="DX619" s="408">
        <v>0</v>
      </c>
      <c r="DY619" s="408">
        <v>-131.58179999999999</v>
      </c>
      <c r="DZ619" s="408">
        <v>0</v>
      </c>
      <c r="EA619" s="408">
        <v>0</v>
      </c>
      <c r="EB619" s="408">
        <v>0</v>
      </c>
      <c r="EC619" s="408">
        <v>-130.55997277179821</v>
      </c>
      <c r="ED619" s="408">
        <v>0</v>
      </c>
      <c r="EE619" s="408">
        <v>0</v>
      </c>
      <c r="EF619" s="408">
        <v>0</v>
      </c>
      <c r="EG619" s="408">
        <v>0</v>
      </c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>
        <v>0</v>
      </c>
      <c r="EN619" s="408">
        <v>0</v>
      </c>
      <c r="EO619" s="408">
        <v>0</v>
      </c>
      <c r="EP619" s="408">
        <v>0</v>
      </c>
      <c r="EQ619" s="408">
        <v>0</v>
      </c>
      <c r="ER619" s="408">
        <v>0</v>
      </c>
      <c r="ES619" s="408">
        <v>0</v>
      </c>
      <c r="ET619" s="408">
        <v>0</v>
      </c>
      <c r="EU619" s="408">
        <v>0</v>
      </c>
      <c r="EV619" s="408">
        <v>265</v>
      </c>
      <c r="EW619" s="408">
        <v>0</v>
      </c>
      <c r="EX619" s="408">
        <v>0</v>
      </c>
      <c r="EY619" s="408">
        <v>0</v>
      </c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626</v>
      </c>
      <c r="B620" s="408" t="s">
        <v>2230</v>
      </c>
      <c r="C620" s="408" t="s">
        <v>2227</v>
      </c>
      <c r="D620" s="408" t="s">
        <v>2237</v>
      </c>
      <c r="E620" s="408" t="s">
        <v>969</v>
      </c>
      <c r="F620" s="408" t="s">
        <v>2245</v>
      </c>
      <c r="G620" s="408" t="s">
        <v>2247</v>
      </c>
      <c r="H620" s="408" t="s">
        <v>1317</v>
      </c>
      <c r="I620" s="408" t="s">
        <v>1317</v>
      </c>
      <c r="J620" s="408" t="s">
        <v>2228</v>
      </c>
      <c r="K620" s="828">
        <v>44713</v>
      </c>
      <c r="L620" s="408">
        <v>0</v>
      </c>
      <c r="M620" s="408">
        <v>0</v>
      </c>
      <c r="N620" s="408">
        <v>0.04</v>
      </c>
      <c r="O620" s="408">
        <v>1.6E-2</v>
      </c>
      <c r="P620" s="408">
        <v>0.04</v>
      </c>
      <c r="Q620" s="408">
        <v>1.6E-2</v>
      </c>
      <c r="R620" s="408"/>
      <c r="S620" s="408">
        <v>739.04</v>
      </c>
      <c r="T620" s="408">
        <v>252.22</v>
      </c>
      <c r="U620" s="408"/>
      <c r="V620" s="408">
        <v>39.650399999999998</v>
      </c>
      <c r="W620" s="408">
        <v>39.650399999999998</v>
      </c>
      <c r="X620" s="408">
        <v>27.1188</v>
      </c>
      <c r="Y620" s="408">
        <v>0</v>
      </c>
      <c r="Z620" s="408">
        <v>2.4741262649362441</v>
      </c>
      <c r="AA620" s="408">
        <v>0</v>
      </c>
      <c r="AB620" s="408">
        <v>0</v>
      </c>
      <c r="AC620" s="408">
        <v>0</v>
      </c>
      <c r="AD620" s="408">
        <v>4.9399032358493997</v>
      </c>
      <c r="AE620" s="408">
        <v>20.279510802141161</v>
      </c>
      <c r="AF620" s="408">
        <v>10.08891069907836</v>
      </c>
      <c r="AG620" s="408">
        <v>0</v>
      </c>
      <c r="AH620" s="408">
        <v>0</v>
      </c>
      <c r="AI620" s="408">
        <v>0</v>
      </c>
      <c r="AJ620" s="408">
        <v>0</v>
      </c>
      <c r="AK620" s="408">
        <v>0</v>
      </c>
      <c r="AL620" s="408">
        <v>0.3824411673599708</v>
      </c>
      <c r="AM620" s="408"/>
      <c r="AN620" s="408">
        <v>9.3731941567325588E-2</v>
      </c>
      <c r="AO620" s="408">
        <v>0</v>
      </c>
      <c r="AP620" s="408">
        <v>0</v>
      </c>
      <c r="AQ620" s="408">
        <v>0</v>
      </c>
      <c r="AR620" s="408">
        <v>0</v>
      </c>
      <c r="AS620" s="408">
        <v>0</v>
      </c>
      <c r="AT620" s="408">
        <v>0</v>
      </c>
      <c r="AU620" s="408">
        <v>0</v>
      </c>
      <c r="AV620" s="408">
        <v>0</v>
      </c>
      <c r="AW620" s="408">
        <v>0</v>
      </c>
      <c r="AX620" s="408">
        <v>0</v>
      </c>
      <c r="AY620" s="408">
        <v>0</v>
      </c>
      <c r="AZ620" s="408">
        <v>0</v>
      </c>
      <c r="BA620" s="408"/>
      <c r="BB620" s="408">
        <v>0</v>
      </c>
      <c r="BC620" s="408">
        <v>0</v>
      </c>
      <c r="BD620" s="408">
        <v>0</v>
      </c>
      <c r="BE620" s="408">
        <v>0</v>
      </c>
      <c r="BF620" s="408">
        <v>0</v>
      </c>
      <c r="BG620" s="408">
        <v>1.3917699184627281</v>
      </c>
      <c r="BH620" s="408">
        <v>0</v>
      </c>
      <c r="BI620" s="408">
        <v>0</v>
      </c>
      <c r="BJ620" s="408">
        <v>0</v>
      </c>
      <c r="BK620" s="408">
        <v>0</v>
      </c>
      <c r="BL620" s="408">
        <v>0</v>
      </c>
      <c r="BM620" s="408"/>
      <c r="BN620" s="408"/>
      <c r="BO620" s="408"/>
      <c r="BP620" s="408"/>
      <c r="BQ620" s="408"/>
      <c r="BR620" s="408"/>
      <c r="BS620" s="408">
        <v>17.572880000000001</v>
      </c>
      <c r="BT620" s="408"/>
      <c r="BU620" s="408"/>
      <c r="BV620" s="408">
        <v>11.480680617541088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11.932400000000001</v>
      </c>
      <c r="CJ620" s="408">
        <v>-2.0545599999999986</v>
      </c>
      <c r="CK620" s="408"/>
      <c r="CL620" s="408"/>
      <c r="CM620" s="408"/>
      <c r="CN620" s="408"/>
      <c r="CO620" s="408">
        <v>-12.531599999999999</v>
      </c>
      <c r="CP620" s="408">
        <v>0</v>
      </c>
      <c r="CQ620" s="408">
        <v>30</v>
      </c>
      <c r="CR620" s="408">
        <v>-9.7287877200386674E-2</v>
      </c>
      <c r="CS620" s="408">
        <v>0</v>
      </c>
      <c r="CT620" s="408">
        <v>0</v>
      </c>
      <c r="CU620" s="408">
        <v>0</v>
      </c>
      <c r="CV620" s="408">
        <v>0</v>
      </c>
      <c r="CW620" s="408">
        <v>0</v>
      </c>
      <c r="CX620" s="408">
        <v>0</v>
      </c>
      <c r="CY620" s="408">
        <v>0</v>
      </c>
      <c r="CZ620" s="408">
        <v>-1.2695986333559617E-2</v>
      </c>
      <c r="DA620" s="408">
        <v>0</v>
      </c>
      <c r="DB620" s="408">
        <v>0</v>
      </c>
      <c r="DC620" s="408">
        <v>-1.4143992643766978E-9</v>
      </c>
      <c r="DD620" s="408">
        <v>0</v>
      </c>
      <c r="DE620" s="408">
        <v>0</v>
      </c>
      <c r="DF620" s="408">
        <v>0</v>
      </c>
      <c r="DG620" s="408">
        <v>-1.9511614546274814E-10</v>
      </c>
      <c r="DH620" s="408">
        <v>0</v>
      </c>
      <c r="DI620" s="408">
        <v>-7.1940389694611806E-2</v>
      </c>
      <c r="DJ620" s="408"/>
      <c r="DK620" s="408">
        <v>0</v>
      </c>
      <c r="DL620" s="408">
        <v>0</v>
      </c>
      <c r="DM620" s="408">
        <v>0</v>
      </c>
      <c r="DN620" s="408">
        <v>0</v>
      </c>
      <c r="DO620" s="408">
        <v>-9.6077306418964059E-3</v>
      </c>
      <c r="DP620" s="408">
        <v>-3.0437689208019925E-3</v>
      </c>
      <c r="DQ620" s="408">
        <v>0</v>
      </c>
      <c r="DR620" s="408">
        <v>0</v>
      </c>
      <c r="DS620" s="408"/>
      <c r="DT620" s="408"/>
      <c r="DU620" s="408"/>
      <c r="DV620" s="408">
        <v>20.279510802141161</v>
      </c>
      <c r="DW620" s="408">
        <v>0</v>
      </c>
      <c r="DX620" s="408">
        <v>0</v>
      </c>
      <c r="DY620" s="408">
        <v>-12.531599999999997</v>
      </c>
      <c r="DZ620" s="408">
        <v>0</v>
      </c>
      <c r="EA620" s="408">
        <v>0</v>
      </c>
      <c r="EB620" s="408">
        <v>0</v>
      </c>
      <c r="EC620" s="408">
        <v>-12.434283121123642</v>
      </c>
      <c r="ED620" s="408">
        <v>0</v>
      </c>
      <c r="EE620" s="408">
        <v>0</v>
      </c>
      <c r="EF620" s="408">
        <v>0</v>
      </c>
      <c r="EG620" s="408">
        <v>0</v>
      </c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>
        <v>0</v>
      </c>
      <c r="EN620" s="408">
        <v>0</v>
      </c>
      <c r="EO620" s="408">
        <v>0</v>
      </c>
      <c r="EP620" s="408">
        <v>0</v>
      </c>
      <c r="EQ620" s="408">
        <v>0</v>
      </c>
      <c r="ER620" s="408">
        <v>0</v>
      </c>
      <c r="ES620" s="408">
        <v>0</v>
      </c>
      <c r="ET620" s="408">
        <v>0</v>
      </c>
      <c r="EU620" s="408">
        <v>0</v>
      </c>
      <c r="EV620" s="408">
        <v>265</v>
      </c>
      <c r="EW620" s="408">
        <v>0</v>
      </c>
      <c r="EX620" s="408">
        <v>0</v>
      </c>
      <c r="EY620" s="408">
        <v>0</v>
      </c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627</v>
      </c>
      <c r="B621" s="408" t="s">
        <v>1031</v>
      </c>
      <c r="C621" s="408" t="s">
        <v>2235</v>
      </c>
      <c r="D621" s="408" t="s">
        <v>596</v>
      </c>
      <c r="E621" s="408" t="s">
        <v>969</v>
      </c>
      <c r="F621" s="408" t="s">
        <v>2245</v>
      </c>
      <c r="G621" s="408" t="s">
        <v>1317</v>
      </c>
      <c r="H621" s="408" t="s">
        <v>1317</v>
      </c>
      <c r="I621" s="408" t="s">
        <v>968</v>
      </c>
      <c r="J621" s="408" t="s">
        <v>2228</v>
      </c>
      <c r="K621" s="828">
        <v>44713</v>
      </c>
      <c r="L621" s="408">
        <v>0</v>
      </c>
      <c r="M621" s="408">
        <v>0</v>
      </c>
      <c r="N621" s="408">
        <v>3.14</v>
      </c>
      <c r="O621" s="408">
        <v>3.0144000000000002</v>
      </c>
      <c r="P621" s="408">
        <v>3.14</v>
      </c>
      <c r="Q621" s="408">
        <v>3.0144000000000002</v>
      </c>
      <c r="R621" s="408"/>
      <c r="S621" s="408">
        <v>2641.06</v>
      </c>
      <c r="T621" s="408">
        <v>252.22</v>
      </c>
      <c r="U621" s="408"/>
      <c r="V621" s="408">
        <v>9084.8991999999998</v>
      </c>
      <c r="W621" s="408">
        <v>9084.8991999999998</v>
      </c>
      <c r="X621" s="408">
        <v>5392.4475999999995</v>
      </c>
      <c r="Y621" s="408">
        <v>0</v>
      </c>
      <c r="Z621" s="408">
        <v>168.97045326382079</v>
      </c>
      <c r="AA621" s="408">
        <v>0</v>
      </c>
      <c r="AB621" s="408">
        <v>0</v>
      </c>
      <c r="AC621" s="408">
        <v>0</v>
      </c>
      <c r="AD621" s="408">
        <v>2033.9883502932041</v>
      </c>
      <c r="AE621" s="408">
        <v>6003.9636697987535</v>
      </c>
      <c r="AF621" s="408">
        <v>791.9794898776513</v>
      </c>
      <c r="AG621" s="408">
        <v>0</v>
      </c>
      <c r="AH621" s="408">
        <v>0</v>
      </c>
      <c r="AI621" s="408">
        <v>0</v>
      </c>
      <c r="AJ621" s="408">
        <v>0</v>
      </c>
      <c r="AK621" s="408">
        <v>0</v>
      </c>
      <c r="AL621" s="408">
        <v>30.021631637757711</v>
      </c>
      <c r="AM621" s="408"/>
      <c r="AN621" s="408">
        <v>7.5545452721863029</v>
      </c>
      <c r="AO621" s="408">
        <v>0</v>
      </c>
      <c r="AP621" s="408">
        <v>0</v>
      </c>
      <c r="AQ621" s="408">
        <v>0</v>
      </c>
      <c r="AR621" s="408">
        <v>0</v>
      </c>
      <c r="AS621" s="408">
        <v>0</v>
      </c>
      <c r="AT621" s="408">
        <v>0</v>
      </c>
      <c r="AU621" s="408">
        <v>0</v>
      </c>
      <c r="AV621" s="408">
        <v>0</v>
      </c>
      <c r="AW621" s="408">
        <v>0</v>
      </c>
      <c r="AX621" s="408">
        <v>0</v>
      </c>
      <c r="AY621" s="408">
        <v>0</v>
      </c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0</v>
      </c>
      <c r="BF621" s="408">
        <v>0</v>
      </c>
      <c r="BG621" s="408">
        <v>48.427721595452809</v>
      </c>
      <c r="BH621" s="408">
        <v>0</v>
      </c>
      <c r="BI621" s="408">
        <v>0</v>
      </c>
      <c r="BJ621" s="408">
        <v>0</v>
      </c>
      <c r="BK621" s="408">
        <v>0</v>
      </c>
      <c r="BL621" s="408">
        <v>0</v>
      </c>
      <c r="BM621" s="408"/>
      <c r="BN621" s="408"/>
      <c r="BO621" s="408"/>
      <c r="BP621" s="408"/>
      <c r="BQ621" s="408"/>
      <c r="BR621" s="408">
        <v>215.69790399999985</v>
      </c>
      <c r="BS621" s="408"/>
      <c r="BT621" s="408"/>
      <c r="BU621" s="408"/>
      <c r="BV621" s="408">
        <v>840.4072114731041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5169.1933999999992</v>
      </c>
      <c r="CJ621" s="408">
        <v>-3552.3398320000024</v>
      </c>
      <c r="CK621" s="408"/>
      <c r="CL621" s="408"/>
      <c r="CM621" s="408"/>
      <c r="CN621" s="408"/>
      <c r="CO621" s="408">
        <v>-3692.4516000000003</v>
      </c>
      <c r="CP621" s="408">
        <v>0</v>
      </c>
      <c r="CQ621" s="408">
        <v>30</v>
      </c>
      <c r="CR621" s="408">
        <v>-11.140224746732201</v>
      </c>
      <c r="CS621" s="408">
        <v>0</v>
      </c>
      <c r="CT621" s="408">
        <v>0</v>
      </c>
      <c r="CU621" s="408">
        <v>0</v>
      </c>
      <c r="CV621" s="408">
        <v>0</v>
      </c>
      <c r="CW621" s="408">
        <v>0</v>
      </c>
      <c r="CX621" s="408">
        <v>0</v>
      </c>
      <c r="CY621" s="408">
        <v>0</v>
      </c>
      <c r="CZ621" s="408">
        <v>-5.2275291772048149</v>
      </c>
      <c r="DA621" s="408">
        <v>0</v>
      </c>
      <c r="DB621" s="408">
        <v>0</v>
      </c>
      <c r="DC621" s="408">
        <v>-1.1103043107141275E-7</v>
      </c>
      <c r="DD621" s="408">
        <v>0</v>
      </c>
      <c r="DE621" s="408">
        <v>0</v>
      </c>
      <c r="DF621" s="408">
        <v>0</v>
      </c>
      <c r="DG621" s="408">
        <v>-6.7893068944613333E-9</v>
      </c>
      <c r="DH621" s="408">
        <v>0</v>
      </c>
      <c r="DI621" s="408">
        <v>-4.9131689141935055</v>
      </c>
      <c r="DJ621" s="408"/>
      <c r="DK621" s="408">
        <v>0</v>
      </c>
      <c r="DL621" s="408">
        <v>0</v>
      </c>
      <c r="DM621" s="408">
        <v>0</v>
      </c>
      <c r="DN621" s="408">
        <v>0</v>
      </c>
      <c r="DO621" s="408">
        <v>-0.75420685538887255</v>
      </c>
      <c r="DP621" s="408">
        <v>-0.24531968212520194</v>
      </c>
      <c r="DQ621" s="408">
        <v>0</v>
      </c>
      <c r="DR621" s="408">
        <v>0</v>
      </c>
      <c r="DS621" s="408"/>
      <c r="DT621" s="408"/>
      <c r="DU621" s="408"/>
      <c r="DV621" s="408">
        <v>6003.9636697987535</v>
      </c>
      <c r="DW621" s="408">
        <v>0</v>
      </c>
      <c r="DX621" s="408">
        <v>0</v>
      </c>
      <c r="DY621" s="408">
        <v>-3692.4516000000012</v>
      </c>
      <c r="DZ621" s="408">
        <v>0</v>
      </c>
      <c r="EA621" s="408">
        <v>0</v>
      </c>
      <c r="EB621" s="408">
        <v>0</v>
      </c>
      <c r="EC621" s="408">
        <v>-3681.301035690462</v>
      </c>
      <c r="ED621" s="408">
        <v>0</v>
      </c>
      <c r="EE621" s="408">
        <v>0</v>
      </c>
      <c r="EF621" s="408">
        <v>0</v>
      </c>
      <c r="EG621" s="408">
        <v>0</v>
      </c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>
        <v>0</v>
      </c>
      <c r="EN621" s="408">
        <v>0</v>
      </c>
      <c r="EO621" s="408">
        <v>0</v>
      </c>
      <c r="EP621" s="408">
        <v>0</v>
      </c>
      <c r="EQ621" s="408">
        <v>0</v>
      </c>
      <c r="ER621" s="408">
        <v>0</v>
      </c>
      <c r="ES621" s="408">
        <v>0</v>
      </c>
      <c r="ET621" s="408">
        <v>0</v>
      </c>
      <c r="EU621" s="408">
        <v>0</v>
      </c>
      <c r="EV621" s="408">
        <v>265</v>
      </c>
      <c r="EW621" s="408">
        <v>0</v>
      </c>
      <c r="EX621" s="408">
        <v>0</v>
      </c>
      <c r="EY621" s="408">
        <v>0</v>
      </c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629</v>
      </c>
      <c r="B622" s="408" t="s">
        <v>1031</v>
      </c>
      <c r="C622" s="408" t="s">
        <v>2235</v>
      </c>
      <c r="D622" s="408" t="s">
        <v>596</v>
      </c>
      <c r="E622" s="408" t="s">
        <v>969</v>
      </c>
      <c r="F622" s="408" t="s">
        <v>2245</v>
      </c>
      <c r="G622" s="408" t="s">
        <v>1317</v>
      </c>
      <c r="H622" s="408" t="s">
        <v>1317</v>
      </c>
      <c r="I622" s="408" t="s">
        <v>2236</v>
      </c>
      <c r="J622" s="408" t="s">
        <v>2228</v>
      </c>
      <c r="K622" s="828">
        <v>44713</v>
      </c>
      <c r="L622" s="408">
        <v>0</v>
      </c>
      <c r="M622" s="408">
        <v>0</v>
      </c>
      <c r="N622" s="408">
        <v>18.062999999999999</v>
      </c>
      <c r="O622" s="408">
        <v>17.340479999999999</v>
      </c>
      <c r="P622" s="408">
        <v>18.062999999999999</v>
      </c>
      <c r="Q622" s="408">
        <v>17.340479999999999</v>
      </c>
      <c r="R622" s="408"/>
      <c r="S622" s="408">
        <v>81.2</v>
      </c>
      <c r="T622" s="408">
        <v>252.22</v>
      </c>
      <c r="U622" s="408"/>
      <c r="V622" s="408">
        <v>6022.5654599999998</v>
      </c>
      <c r="W622" s="408">
        <v>6022.5654599999998</v>
      </c>
      <c r="X622" s="408">
        <v>5988.6070199999995</v>
      </c>
      <c r="Y622" s="408">
        <v>0</v>
      </c>
      <c r="Z622" s="408">
        <v>972.01060423706826</v>
      </c>
      <c r="AA622" s="408">
        <v>0</v>
      </c>
      <c r="AB622" s="408">
        <v>0</v>
      </c>
      <c r="AC622" s="408">
        <v>0</v>
      </c>
      <c r="AD622" s="408">
        <v>0</v>
      </c>
      <c r="AE622" s="408">
        <v>0</v>
      </c>
      <c r="AF622" s="408">
        <v>4555.8998489363103</v>
      </c>
      <c r="AG622" s="408">
        <v>0</v>
      </c>
      <c r="AH622" s="408">
        <v>0</v>
      </c>
      <c r="AI622" s="408">
        <v>0</v>
      </c>
      <c r="AJ622" s="408">
        <v>0</v>
      </c>
      <c r="AK622" s="408">
        <v>0</v>
      </c>
      <c r="AL622" s="408">
        <v>172.70087015057882</v>
      </c>
      <c r="AM622" s="408"/>
      <c r="AN622" s="408">
        <v>43.457882564172351</v>
      </c>
      <c r="AO622" s="408">
        <v>0</v>
      </c>
      <c r="AP622" s="408">
        <v>0</v>
      </c>
      <c r="AQ622" s="408">
        <v>0</v>
      </c>
      <c r="AR622" s="408">
        <v>0</v>
      </c>
      <c r="AS622" s="408">
        <v>0</v>
      </c>
      <c r="AT622" s="408">
        <v>0</v>
      </c>
      <c r="AU622" s="408">
        <v>0</v>
      </c>
      <c r="AV622" s="408">
        <v>0</v>
      </c>
      <c r="AW622" s="408">
        <v>0</v>
      </c>
      <c r="AX622" s="408">
        <v>0</v>
      </c>
      <c r="AY622" s="408">
        <v>0</v>
      </c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>
        <v>0</v>
      </c>
      <c r="BG622" s="408">
        <v>278.58278190403314</v>
      </c>
      <c r="BH622" s="408">
        <v>0</v>
      </c>
      <c r="BI622" s="408">
        <v>0</v>
      </c>
      <c r="BJ622" s="408">
        <v>0</v>
      </c>
      <c r="BK622" s="408">
        <v>0</v>
      </c>
      <c r="BL622" s="408">
        <v>0</v>
      </c>
      <c r="BM622" s="408"/>
      <c r="BN622" s="408"/>
      <c r="BO622" s="408"/>
      <c r="BP622" s="408"/>
      <c r="BQ622" s="408"/>
      <c r="BR622" s="408">
        <v>239.5442807999998</v>
      </c>
      <c r="BS622" s="408"/>
      <c r="BT622" s="408"/>
      <c r="BU622" s="408"/>
      <c r="BV622" s="408">
        <v>4834.4826308403435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5748.9036000000006</v>
      </c>
      <c r="CJ622" s="408">
        <v>-32.789241599999514</v>
      </c>
      <c r="CK622" s="408"/>
      <c r="CL622" s="408"/>
      <c r="CM622" s="408"/>
      <c r="CN622" s="408"/>
      <c r="CO622" s="408">
        <v>-33.958440000000174</v>
      </c>
      <c r="CP622" s="408">
        <v>0</v>
      </c>
      <c r="CQ622" s="408">
        <v>30</v>
      </c>
      <c r="CR622" s="408">
        <v>-34.013063717315163</v>
      </c>
      <c r="CS622" s="408">
        <v>0</v>
      </c>
      <c r="CT622" s="408">
        <v>0</v>
      </c>
      <c r="CU622" s="408">
        <v>0</v>
      </c>
      <c r="CV622" s="408">
        <v>0</v>
      </c>
      <c r="CW622" s="408">
        <v>0</v>
      </c>
      <c r="CX622" s="408">
        <v>0</v>
      </c>
      <c r="CY622" s="408">
        <v>0</v>
      </c>
      <c r="CZ622" s="408">
        <v>0</v>
      </c>
      <c r="DA622" s="408">
        <v>0</v>
      </c>
      <c r="DB622" s="408">
        <v>0</v>
      </c>
      <c r="DC622" s="408">
        <v>-6.3870811572996899E-7</v>
      </c>
      <c r="DD622" s="408">
        <v>0</v>
      </c>
      <c r="DE622" s="408">
        <v>0</v>
      </c>
      <c r="DF622" s="408">
        <v>0</v>
      </c>
      <c r="DG622" s="408">
        <v>-3.9055805700627388E-8</v>
      </c>
      <c r="DH622" s="408">
        <v>0</v>
      </c>
      <c r="DI622" s="408">
        <v>-28.263238884419479</v>
      </c>
      <c r="DJ622" s="408"/>
      <c r="DK622" s="408">
        <v>0</v>
      </c>
      <c r="DL622" s="408">
        <v>0</v>
      </c>
      <c r="DM622" s="408">
        <v>0</v>
      </c>
      <c r="DN622" s="408">
        <v>0</v>
      </c>
      <c r="DO622" s="408">
        <v>-4.3386109646143893</v>
      </c>
      <c r="DP622" s="408">
        <v>-1.4112131905183176</v>
      </c>
      <c r="DQ622" s="408">
        <v>0</v>
      </c>
      <c r="DR622" s="408">
        <v>0</v>
      </c>
      <c r="DS622" s="408"/>
      <c r="DT622" s="408"/>
      <c r="DU622" s="408"/>
      <c r="DV622" s="408">
        <v>0</v>
      </c>
      <c r="DW622" s="408">
        <v>0</v>
      </c>
      <c r="DX622" s="408">
        <v>0</v>
      </c>
      <c r="DY622" s="408">
        <v>-33.95844000000011</v>
      </c>
      <c r="DZ622" s="408">
        <v>0</v>
      </c>
      <c r="EA622" s="408">
        <v>0</v>
      </c>
      <c r="EB622" s="408">
        <v>0</v>
      </c>
      <c r="EC622" s="408">
        <v>0</v>
      </c>
      <c r="ED622" s="408">
        <v>0</v>
      </c>
      <c r="EE622" s="408">
        <v>0</v>
      </c>
      <c r="EF622" s="408">
        <v>0</v>
      </c>
      <c r="EG622" s="408">
        <v>0</v>
      </c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>
        <v>0</v>
      </c>
      <c r="EN622" s="408">
        <v>0</v>
      </c>
      <c r="EO622" s="408">
        <v>0</v>
      </c>
      <c r="EP622" s="408">
        <v>0</v>
      </c>
      <c r="EQ622" s="408">
        <v>0</v>
      </c>
      <c r="ER622" s="408">
        <v>0</v>
      </c>
      <c r="ES622" s="408">
        <v>0</v>
      </c>
      <c r="ET622" s="408">
        <v>0</v>
      </c>
      <c r="EU622" s="408">
        <v>0</v>
      </c>
      <c r="EV622" s="408">
        <v>265</v>
      </c>
      <c r="EW622" s="408">
        <v>0</v>
      </c>
      <c r="EX622" s="408">
        <v>0</v>
      </c>
      <c r="EY622" s="408">
        <v>0</v>
      </c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630</v>
      </c>
      <c r="B623" s="408" t="s">
        <v>1031</v>
      </c>
      <c r="C623" s="408" t="s">
        <v>2235</v>
      </c>
      <c r="D623" s="408" t="s">
        <v>596</v>
      </c>
      <c r="E623" s="408" t="s">
        <v>969</v>
      </c>
      <c r="F623" s="408" t="s">
        <v>2245</v>
      </c>
      <c r="G623" s="408" t="s">
        <v>1317</v>
      </c>
      <c r="H623" s="408" t="s">
        <v>1317</v>
      </c>
      <c r="I623" s="408" t="s">
        <v>1317</v>
      </c>
      <c r="J623" s="408" t="s">
        <v>2228</v>
      </c>
      <c r="K623" s="828">
        <v>44713</v>
      </c>
      <c r="L623" s="408">
        <v>803</v>
      </c>
      <c r="M623" s="408">
        <v>770.88</v>
      </c>
      <c r="N623" s="408">
        <v>0</v>
      </c>
      <c r="O623" s="408">
        <v>0</v>
      </c>
      <c r="P623" s="408">
        <v>0</v>
      </c>
      <c r="Q623" s="408">
        <v>0</v>
      </c>
      <c r="R623" s="408">
        <v>74.44</v>
      </c>
      <c r="S623" s="408"/>
      <c r="T623" s="408"/>
      <c r="U623" s="408">
        <v>59775.32</v>
      </c>
      <c r="V623" s="408"/>
      <c r="W623" s="408">
        <v>59775.32</v>
      </c>
      <c r="X623" s="408">
        <v>36472.26</v>
      </c>
      <c r="Y623" s="408">
        <v>0</v>
      </c>
      <c r="Z623" s="408">
        <v>0</v>
      </c>
      <c r="AA623" s="408">
        <v>0</v>
      </c>
      <c r="AB623" s="408">
        <v>0</v>
      </c>
      <c r="AC623" s="408">
        <v>0</v>
      </c>
      <c r="AD623" s="408">
        <v>21855.325301952795</v>
      </c>
      <c r="AE623" s="408">
        <v>37918.894961145095</v>
      </c>
      <c r="AF623" s="408"/>
      <c r="AG623" s="408"/>
      <c r="AH623" s="408"/>
      <c r="AI623" s="408">
        <v>0</v>
      </c>
      <c r="AJ623" s="408">
        <v>0</v>
      </c>
      <c r="AK623" s="408">
        <v>0</v>
      </c>
      <c r="AL623" s="408">
        <v>0</v>
      </c>
      <c r="AM623" s="408"/>
      <c r="AN623" s="408">
        <v>0</v>
      </c>
      <c r="AO623" s="408">
        <v>0</v>
      </c>
      <c r="AP623" s="408">
        <v>0</v>
      </c>
      <c r="AQ623" s="408">
        <v>0</v>
      </c>
      <c r="AR623" s="408">
        <v>0</v>
      </c>
      <c r="AS623" s="408"/>
      <c r="AT623" s="408"/>
      <c r="AU623" s="408">
        <v>0</v>
      </c>
      <c r="AV623" s="408">
        <v>0</v>
      </c>
      <c r="AW623" s="408">
        <v>0</v>
      </c>
      <c r="AX623" s="408"/>
      <c r="AY623" s="408"/>
      <c r="AZ623" s="408">
        <v>0</v>
      </c>
      <c r="BA623" s="408"/>
      <c r="BB623" s="408">
        <v>0</v>
      </c>
      <c r="BC623" s="408">
        <v>0</v>
      </c>
      <c r="BD623" s="408">
        <v>0</v>
      </c>
      <c r="BE623" s="408">
        <v>0</v>
      </c>
      <c r="BF623" s="408"/>
      <c r="BG623" s="408">
        <v>0</v>
      </c>
      <c r="BH623" s="408">
        <v>0</v>
      </c>
      <c r="BI623" s="408">
        <v>0</v>
      </c>
      <c r="BJ623" s="408">
        <v>0</v>
      </c>
      <c r="BK623" s="408">
        <v>123.93</v>
      </c>
      <c r="BL623" s="408">
        <v>24</v>
      </c>
      <c r="BM623" s="408"/>
      <c r="BN623" s="408"/>
      <c r="BO623" s="408"/>
      <c r="BP623" s="408"/>
      <c r="BQ623" s="408"/>
      <c r="BR623" s="408">
        <v>1458.8904000000002</v>
      </c>
      <c r="BS623" s="408"/>
      <c r="BT623" s="408"/>
      <c r="BU623" s="408"/>
      <c r="BV623" s="408">
        <v>0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35013.369599999998</v>
      </c>
      <c r="CJ623" s="408">
        <v>-22370.967600000004</v>
      </c>
      <c r="CK623" s="408"/>
      <c r="CL623" s="408"/>
      <c r="CM623" s="408"/>
      <c r="CN623" s="408"/>
      <c r="CO623" s="408">
        <v>-23303.059999999998</v>
      </c>
      <c r="CP623" s="408">
        <v>0</v>
      </c>
      <c r="CQ623" s="408">
        <v>30</v>
      </c>
      <c r="CR623" s="408">
        <v>-56.170110648257833</v>
      </c>
      <c r="CS623" s="408">
        <v>0</v>
      </c>
      <c r="CT623" s="408">
        <v>0</v>
      </c>
      <c r="CU623" s="408">
        <v>0</v>
      </c>
      <c r="CV623" s="408">
        <v>0</v>
      </c>
      <c r="CW623" s="408"/>
      <c r="CX623" s="408"/>
      <c r="CY623" s="408"/>
      <c r="CZ623" s="408">
        <v>-56.170110648257833</v>
      </c>
      <c r="DA623" s="408">
        <v>0</v>
      </c>
      <c r="DB623" s="408">
        <v>0</v>
      </c>
      <c r="DC623" s="408"/>
      <c r="DD623" s="408"/>
      <c r="DE623" s="408">
        <v>0</v>
      </c>
      <c r="DF623" s="408">
        <v>0</v>
      </c>
      <c r="DG623" s="408">
        <v>0</v>
      </c>
      <c r="DH623" s="408">
        <v>0</v>
      </c>
      <c r="DI623" s="408">
        <v>0</v>
      </c>
      <c r="DJ623" s="408"/>
      <c r="DK623" s="408">
        <v>0</v>
      </c>
      <c r="DL623" s="408">
        <v>0</v>
      </c>
      <c r="DM623" s="408"/>
      <c r="DN623" s="408">
        <v>0</v>
      </c>
      <c r="DO623" s="408">
        <v>0</v>
      </c>
      <c r="DP623" s="408">
        <v>0</v>
      </c>
      <c r="DQ623" s="408">
        <v>0</v>
      </c>
      <c r="DR623" s="408">
        <v>0</v>
      </c>
      <c r="DS623" s="408"/>
      <c r="DT623" s="408"/>
      <c r="DU623" s="408">
        <v>37918.894961145095</v>
      </c>
      <c r="DV623" s="408"/>
      <c r="DW623" s="408">
        <v>0</v>
      </c>
      <c r="DX623" s="408">
        <v>0</v>
      </c>
      <c r="DY623" s="408">
        <v>-23303.059999999998</v>
      </c>
      <c r="DZ623" s="408"/>
      <c r="EA623" s="408">
        <v>0</v>
      </c>
      <c r="EB623" s="408"/>
      <c r="EC623" s="408">
        <v>-23249.785470034403</v>
      </c>
      <c r="ED623" s="408"/>
      <c r="EE623" s="408">
        <v>0</v>
      </c>
      <c r="EF623" s="408">
        <v>0</v>
      </c>
      <c r="EG623" s="408"/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/>
      <c r="EN623" s="408"/>
      <c r="EO623" s="408">
        <v>0</v>
      </c>
      <c r="EP623" s="408">
        <v>0</v>
      </c>
      <c r="EQ623" s="408"/>
      <c r="ER623" s="408">
        <v>0</v>
      </c>
      <c r="ES623" s="408"/>
      <c r="ET623" s="408">
        <v>0</v>
      </c>
      <c r="EU623" s="408"/>
      <c r="EV623" s="408">
        <v>265</v>
      </c>
      <c r="EW623" s="408"/>
      <c r="EX623" s="408"/>
      <c r="EY623" s="408"/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631</v>
      </c>
      <c r="B624" s="408" t="s">
        <v>2230</v>
      </c>
      <c r="C624" s="408" t="s">
        <v>2235</v>
      </c>
      <c r="D624" s="408" t="s">
        <v>596</v>
      </c>
      <c r="E624" s="408" t="s">
        <v>969</v>
      </c>
      <c r="F624" s="408" t="s">
        <v>2245</v>
      </c>
      <c r="G624" s="408" t="s">
        <v>1317</v>
      </c>
      <c r="H624" s="408" t="s">
        <v>1317</v>
      </c>
      <c r="I624" s="408" t="s">
        <v>1317</v>
      </c>
      <c r="J624" s="408" t="s">
        <v>2228</v>
      </c>
      <c r="K624" s="828">
        <v>44713</v>
      </c>
      <c r="L624" s="408">
        <v>18</v>
      </c>
      <c r="M624" s="408">
        <v>17.28</v>
      </c>
      <c r="N624" s="408">
        <v>0</v>
      </c>
      <c r="O624" s="408">
        <v>0</v>
      </c>
      <c r="P624" s="408">
        <v>0</v>
      </c>
      <c r="Q624" s="408">
        <v>0</v>
      </c>
      <c r="R624" s="408">
        <v>74.44</v>
      </c>
      <c r="S624" s="408"/>
      <c r="T624" s="408"/>
      <c r="U624" s="408">
        <v>1339.92</v>
      </c>
      <c r="V624" s="408"/>
      <c r="W624" s="408">
        <v>1339.92</v>
      </c>
      <c r="X624" s="408">
        <v>817.56000000000006</v>
      </c>
      <c r="Y624" s="408">
        <v>0</v>
      </c>
      <c r="Z624" s="408">
        <v>0</v>
      </c>
      <c r="AA624" s="408">
        <v>0</v>
      </c>
      <c r="AB624" s="408">
        <v>0</v>
      </c>
      <c r="AC624" s="408">
        <v>0</v>
      </c>
      <c r="AD624" s="408">
        <v>489.9076655481324</v>
      </c>
      <c r="AE624" s="408">
        <v>849.98768281520756</v>
      </c>
      <c r="AF624" s="408"/>
      <c r="AG624" s="408"/>
      <c r="AH624" s="408"/>
      <c r="AI624" s="408">
        <v>0</v>
      </c>
      <c r="AJ624" s="408">
        <v>0</v>
      </c>
      <c r="AK624" s="408">
        <v>0</v>
      </c>
      <c r="AL624" s="408">
        <v>0</v>
      </c>
      <c r="AM624" s="408"/>
      <c r="AN624" s="408">
        <v>0</v>
      </c>
      <c r="AO624" s="408">
        <v>0</v>
      </c>
      <c r="AP624" s="408">
        <v>0</v>
      </c>
      <c r="AQ624" s="408">
        <v>0</v>
      </c>
      <c r="AR624" s="408">
        <v>0</v>
      </c>
      <c r="AS624" s="408"/>
      <c r="AT624" s="408"/>
      <c r="AU624" s="408">
        <v>0</v>
      </c>
      <c r="AV624" s="408">
        <v>0</v>
      </c>
      <c r="AW624" s="408">
        <v>0</v>
      </c>
      <c r="AX624" s="408"/>
      <c r="AY624" s="408"/>
      <c r="AZ624" s="408">
        <v>0</v>
      </c>
      <c r="BA624" s="408"/>
      <c r="BB624" s="408">
        <v>0</v>
      </c>
      <c r="BC624" s="408">
        <v>0</v>
      </c>
      <c r="BD624" s="408">
        <v>0</v>
      </c>
      <c r="BE624" s="408">
        <v>0</v>
      </c>
      <c r="BF624" s="408"/>
      <c r="BG624" s="408">
        <v>0</v>
      </c>
      <c r="BH624" s="408">
        <v>0</v>
      </c>
      <c r="BI624" s="408">
        <v>0</v>
      </c>
      <c r="BJ624" s="408">
        <v>0</v>
      </c>
      <c r="BK624" s="408">
        <v>4.28</v>
      </c>
      <c r="BL624" s="408">
        <v>2</v>
      </c>
      <c r="BM624" s="408"/>
      <c r="BN624" s="408"/>
      <c r="BO624" s="408"/>
      <c r="BP624" s="408"/>
      <c r="BQ624" s="408"/>
      <c r="BR624" s="408">
        <v>32.702399999999948</v>
      </c>
      <c r="BS624" s="408"/>
      <c r="BT624" s="408"/>
      <c r="BU624" s="408"/>
      <c r="BV624" s="408">
        <v>0</v>
      </c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>
        <v>784.85760000000005</v>
      </c>
      <c r="CJ624" s="408">
        <v>-501.49559999999997</v>
      </c>
      <c r="CK624" s="408"/>
      <c r="CL624" s="408"/>
      <c r="CM624" s="408"/>
      <c r="CN624" s="408"/>
      <c r="CO624" s="408">
        <v>-522.3599999999999</v>
      </c>
      <c r="CP624" s="408">
        <v>0</v>
      </c>
      <c r="CQ624" s="408">
        <v>30</v>
      </c>
      <c r="CR624" s="408">
        <v>-1.2591058426758082</v>
      </c>
      <c r="CS624" s="408">
        <v>0</v>
      </c>
      <c r="CT624" s="408">
        <v>0</v>
      </c>
      <c r="CU624" s="408">
        <v>0</v>
      </c>
      <c r="CV624" s="408">
        <v>0</v>
      </c>
      <c r="CW624" s="408"/>
      <c r="CX624" s="408"/>
      <c r="CY624" s="408"/>
      <c r="CZ624" s="408">
        <v>-1.2591058426758082</v>
      </c>
      <c r="DA624" s="408">
        <v>0</v>
      </c>
      <c r="DB624" s="408">
        <v>0</v>
      </c>
      <c r="DC624" s="408"/>
      <c r="DD624" s="408"/>
      <c r="DE624" s="408">
        <v>0</v>
      </c>
      <c r="DF624" s="408">
        <v>0</v>
      </c>
      <c r="DG624" s="408">
        <v>0</v>
      </c>
      <c r="DH624" s="408">
        <v>0</v>
      </c>
      <c r="DI624" s="408">
        <v>0</v>
      </c>
      <c r="DJ624" s="408"/>
      <c r="DK624" s="408">
        <v>0</v>
      </c>
      <c r="DL624" s="408">
        <v>0</v>
      </c>
      <c r="DM624" s="408"/>
      <c r="DN624" s="408">
        <v>0</v>
      </c>
      <c r="DO624" s="408">
        <v>0</v>
      </c>
      <c r="DP624" s="408">
        <v>0</v>
      </c>
      <c r="DQ624" s="408">
        <v>0</v>
      </c>
      <c r="DR624" s="408">
        <v>0</v>
      </c>
      <c r="DS624" s="408"/>
      <c r="DT624" s="408"/>
      <c r="DU624" s="408">
        <v>849.98768281520756</v>
      </c>
      <c r="DV624" s="408"/>
      <c r="DW624" s="408">
        <v>0</v>
      </c>
      <c r="DX624" s="408">
        <v>0</v>
      </c>
      <c r="DY624" s="408">
        <v>-522.36</v>
      </c>
      <c r="DZ624" s="408"/>
      <c r="EA624" s="408">
        <v>0</v>
      </c>
      <c r="EB624" s="408"/>
      <c r="EC624" s="408">
        <v>-521.16580132082095</v>
      </c>
      <c r="ED624" s="408"/>
      <c r="EE624" s="408">
        <v>0</v>
      </c>
      <c r="EF624" s="408">
        <v>0</v>
      </c>
      <c r="EG624" s="408"/>
      <c r="EH624" s="408">
        <v>0</v>
      </c>
      <c r="EI624" s="408">
        <v>0</v>
      </c>
      <c r="EJ624" s="408">
        <v>0</v>
      </c>
      <c r="EK624" s="408">
        <v>0</v>
      </c>
      <c r="EL624" s="408">
        <v>0</v>
      </c>
      <c r="EM624" s="408"/>
      <c r="EN624" s="408"/>
      <c r="EO624" s="408">
        <v>0</v>
      </c>
      <c r="EP624" s="408">
        <v>0</v>
      </c>
      <c r="EQ624" s="408"/>
      <c r="ER624" s="408">
        <v>0</v>
      </c>
      <c r="ES624" s="408"/>
      <c r="ET624" s="408">
        <v>0</v>
      </c>
      <c r="EU624" s="408"/>
      <c r="EV624" s="408">
        <v>265</v>
      </c>
      <c r="EW624" s="408"/>
      <c r="EX624" s="408"/>
      <c r="EY624" s="408"/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632</v>
      </c>
      <c r="B625" s="408" t="s">
        <v>1031</v>
      </c>
      <c r="C625" s="408" t="s">
        <v>2235</v>
      </c>
      <c r="D625" s="408" t="s">
        <v>596</v>
      </c>
      <c r="E625" s="408" t="s">
        <v>969</v>
      </c>
      <c r="F625" s="408" t="s">
        <v>2245</v>
      </c>
      <c r="G625" s="408" t="s">
        <v>2247</v>
      </c>
      <c r="H625" s="408" t="s">
        <v>1317</v>
      </c>
      <c r="I625" s="408" t="s">
        <v>2236</v>
      </c>
      <c r="J625" s="408" t="s">
        <v>2228</v>
      </c>
      <c r="K625" s="828">
        <v>44713</v>
      </c>
      <c r="L625" s="408">
        <v>0</v>
      </c>
      <c r="M625" s="408">
        <v>0</v>
      </c>
      <c r="N625" s="408">
        <v>11.398</v>
      </c>
      <c r="O625" s="408">
        <v>3.4194</v>
      </c>
      <c r="P625" s="408">
        <v>11.398</v>
      </c>
      <c r="Q625" s="408">
        <v>3.4194</v>
      </c>
      <c r="R625" s="408"/>
      <c r="S625" s="408">
        <v>81.2</v>
      </c>
      <c r="T625" s="408">
        <v>252.22</v>
      </c>
      <c r="U625" s="408"/>
      <c r="V625" s="408">
        <v>3800.32116</v>
      </c>
      <c r="W625" s="408">
        <v>3800.32116</v>
      </c>
      <c r="X625" s="408">
        <v>3778.8929199999998</v>
      </c>
      <c r="Y625" s="408">
        <v>0</v>
      </c>
      <c r="Z625" s="408">
        <v>613.35198289841696</v>
      </c>
      <c r="AA625" s="408">
        <v>0</v>
      </c>
      <c r="AB625" s="408">
        <v>0</v>
      </c>
      <c r="AC625" s="408">
        <v>0</v>
      </c>
      <c r="AD625" s="408">
        <v>0</v>
      </c>
      <c r="AE625" s="408">
        <v>0</v>
      </c>
      <c r="AF625" s="408">
        <v>2874.8351037023785</v>
      </c>
      <c r="AG625" s="408">
        <v>0</v>
      </c>
      <c r="AH625" s="408">
        <v>0</v>
      </c>
      <c r="AI625" s="408">
        <v>0</v>
      </c>
      <c r="AJ625" s="408">
        <v>0</v>
      </c>
      <c r="AK625" s="408">
        <v>0</v>
      </c>
      <c r="AL625" s="408">
        <v>108.97661063922368</v>
      </c>
      <c r="AM625" s="408"/>
      <c r="AN625" s="408">
        <v>27.422518156808749</v>
      </c>
      <c r="AO625" s="408">
        <v>0</v>
      </c>
      <c r="AP625" s="408">
        <v>0</v>
      </c>
      <c r="AQ625" s="408">
        <v>0</v>
      </c>
      <c r="AR625" s="408">
        <v>0</v>
      </c>
      <c r="AS625" s="408">
        <v>0</v>
      </c>
      <c r="AT625" s="408">
        <v>0</v>
      </c>
      <c r="AU625" s="408">
        <v>0</v>
      </c>
      <c r="AV625" s="408">
        <v>0</v>
      </c>
      <c r="AW625" s="408">
        <v>0</v>
      </c>
      <c r="AX625" s="408">
        <v>0</v>
      </c>
      <c r="AY625" s="408">
        <v>0</v>
      </c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0</v>
      </c>
      <c r="BF625" s="408">
        <v>0</v>
      </c>
      <c r="BG625" s="408">
        <v>175.7895448232392</v>
      </c>
      <c r="BH625" s="408">
        <v>0</v>
      </c>
      <c r="BI625" s="408">
        <v>0</v>
      </c>
      <c r="BJ625" s="408">
        <v>0</v>
      </c>
      <c r="BK625" s="408">
        <v>0</v>
      </c>
      <c r="BL625" s="408">
        <v>0</v>
      </c>
      <c r="BM625" s="408"/>
      <c r="BN625" s="408"/>
      <c r="BO625" s="408"/>
      <c r="BP625" s="408"/>
      <c r="BQ625" s="408"/>
      <c r="BR625" s="408"/>
      <c r="BS625" s="408">
        <v>2645.2250439999998</v>
      </c>
      <c r="BT625" s="408"/>
      <c r="BU625" s="408"/>
      <c r="BV625" s="408">
        <v>3050.6246485256179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1133.8668</v>
      </c>
      <c r="CJ625" s="408">
        <v>-6.2595479999999952</v>
      </c>
      <c r="CK625" s="408"/>
      <c r="CL625" s="408"/>
      <c r="CM625" s="408"/>
      <c r="CN625" s="408"/>
      <c r="CO625" s="408">
        <v>-21.428240000000109</v>
      </c>
      <c r="CP625" s="408">
        <v>0</v>
      </c>
      <c r="CQ625" s="408">
        <v>30</v>
      </c>
      <c r="CR625" s="408">
        <v>-21.462708312571522</v>
      </c>
      <c r="CS625" s="408">
        <v>0</v>
      </c>
      <c r="CT625" s="408">
        <v>0</v>
      </c>
      <c r="CU625" s="408">
        <v>0</v>
      </c>
      <c r="CV625" s="408">
        <v>0</v>
      </c>
      <c r="CW625" s="408">
        <v>0</v>
      </c>
      <c r="CX625" s="408">
        <v>0</v>
      </c>
      <c r="CY625" s="408">
        <v>0</v>
      </c>
      <c r="CZ625" s="408">
        <v>0</v>
      </c>
      <c r="DA625" s="408">
        <v>0</v>
      </c>
      <c r="DB625" s="408">
        <v>0</v>
      </c>
      <c r="DC625" s="408">
        <v>-4.0303348214365542E-7</v>
      </c>
      <c r="DD625" s="408">
        <v>0</v>
      </c>
      <c r="DE625" s="408">
        <v>0</v>
      </c>
      <c r="DF625" s="408">
        <v>0</v>
      </c>
      <c r="DG625" s="408">
        <v>-2.4644748464197619E-8</v>
      </c>
      <c r="DH625" s="408">
        <v>0</v>
      </c>
      <c r="DI625" s="408">
        <v>-17.834490217827351</v>
      </c>
      <c r="DJ625" s="408"/>
      <c r="DK625" s="408">
        <v>0</v>
      </c>
      <c r="DL625" s="408">
        <v>0</v>
      </c>
      <c r="DM625" s="408">
        <v>0</v>
      </c>
      <c r="DN625" s="408">
        <v>0</v>
      </c>
      <c r="DO625" s="408">
        <v>-2.7377228464083885</v>
      </c>
      <c r="DP625" s="408">
        <v>-0.89049482065702179</v>
      </c>
      <c r="DQ625" s="408">
        <v>0</v>
      </c>
      <c r="DR625" s="408">
        <v>0</v>
      </c>
      <c r="DS625" s="408"/>
      <c r="DT625" s="408"/>
      <c r="DU625" s="408"/>
      <c r="DV625" s="408">
        <v>0</v>
      </c>
      <c r="DW625" s="408">
        <v>0</v>
      </c>
      <c r="DX625" s="408">
        <v>0</v>
      </c>
      <c r="DY625" s="408">
        <v>-21.428240000000073</v>
      </c>
      <c r="DZ625" s="408">
        <v>0</v>
      </c>
      <c r="EA625" s="408">
        <v>0</v>
      </c>
      <c r="EB625" s="408">
        <v>0</v>
      </c>
      <c r="EC625" s="408">
        <v>0</v>
      </c>
      <c r="ED625" s="408">
        <v>0</v>
      </c>
      <c r="EE625" s="408">
        <v>0</v>
      </c>
      <c r="EF625" s="408">
        <v>0</v>
      </c>
      <c r="EG625" s="408">
        <v>0</v>
      </c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>
        <v>0</v>
      </c>
      <c r="EN625" s="408">
        <v>0</v>
      </c>
      <c r="EO625" s="408">
        <v>0</v>
      </c>
      <c r="EP625" s="408">
        <v>0</v>
      </c>
      <c r="EQ625" s="408">
        <v>0</v>
      </c>
      <c r="ER625" s="408">
        <v>0</v>
      </c>
      <c r="ES625" s="408">
        <v>0</v>
      </c>
      <c r="ET625" s="408">
        <v>0</v>
      </c>
      <c r="EU625" s="408">
        <v>0</v>
      </c>
      <c r="EV625" s="408">
        <v>265</v>
      </c>
      <c r="EW625" s="408">
        <v>0</v>
      </c>
      <c r="EX625" s="408">
        <v>0</v>
      </c>
      <c r="EY625" s="408">
        <v>0</v>
      </c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635</v>
      </c>
      <c r="B626" s="408" t="s">
        <v>1031</v>
      </c>
      <c r="C626" s="408" t="s">
        <v>2235</v>
      </c>
      <c r="D626" s="408" t="s">
        <v>596</v>
      </c>
      <c r="E626" s="408" t="s">
        <v>965</v>
      </c>
      <c r="F626" s="408" t="s">
        <v>1317</v>
      </c>
      <c r="G626" s="408" t="s">
        <v>2319</v>
      </c>
      <c r="H626" s="408" t="s">
        <v>1317</v>
      </c>
      <c r="I626" s="408" t="s">
        <v>1317</v>
      </c>
      <c r="J626" s="408" t="s">
        <v>2320</v>
      </c>
      <c r="K626" s="828">
        <v>44378</v>
      </c>
      <c r="L626" s="408">
        <v>1200</v>
      </c>
      <c r="M626" s="408">
        <v>600</v>
      </c>
      <c r="N626" s="408">
        <v>0</v>
      </c>
      <c r="O626" s="408">
        <v>0</v>
      </c>
      <c r="P626" s="408">
        <v>0</v>
      </c>
      <c r="Q626" s="408">
        <v>0</v>
      </c>
      <c r="R626" s="408">
        <v>74.44</v>
      </c>
      <c r="S626" s="408"/>
      <c r="T626" s="408"/>
      <c r="U626" s="408">
        <v>89328</v>
      </c>
      <c r="V626" s="408"/>
      <c r="W626" s="408">
        <v>89328</v>
      </c>
      <c r="X626" s="408">
        <v>54504</v>
      </c>
      <c r="Y626" s="408">
        <v>0</v>
      </c>
      <c r="Z626" s="408">
        <v>0</v>
      </c>
      <c r="AA626" s="408">
        <v>0</v>
      </c>
      <c r="AB626" s="408">
        <v>0</v>
      </c>
      <c r="AC626" s="408">
        <v>0</v>
      </c>
      <c r="AD626" s="408">
        <v>32660.511036542161</v>
      </c>
      <c r="AE626" s="408">
        <v>56665.845521013842</v>
      </c>
      <c r="AF626" s="408"/>
      <c r="AG626" s="408"/>
      <c r="AH626" s="408"/>
      <c r="AI626" s="408">
        <v>0</v>
      </c>
      <c r="AJ626" s="408">
        <v>0</v>
      </c>
      <c r="AK626" s="408">
        <v>0</v>
      </c>
      <c r="AL626" s="408">
        <v>0</v>
      </c>
      <c r="AM626" s="408"/>
      <c r="AN626" s="408">
        <v>0</v>
      </c>
      <c r="AO626" s="408">
        <v>0</v>
      </c>
      <c r="AP626" s="408">
        <v>0</v>
      </c>
      <c r="AQ626" s="408">
        <v>0</v>
      </c>
      <c r="AR626" s="408">
        <v>0</v>
      </c>
      <c r="AS626" s="408"/>
      <c r="AT626" s="408"/>
      <c r="AU626" s="408">
        <v>0</v>
      </c>
      <c r="AV626" s="408">
        <v>0</v>
      </c>
      <c r="AW626" s="408">
        <v>0</v>
      </c>
      <c r="AX626" s="408"/>
      <c r="AY626" s="408"/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0</v>
      </c>
      <c r="BF626" s="408"/>
      <c r="BG626" s="408">
        <v>0</v>
      </c>
      <c r="BH626" s="408">
        <v>0</v>
      </c>
      <c r="BI626" s="408">
        <v>0</v>
      </c>
      <c r="BJ626" s="408">
        <v>0</v>
      </c>
      <c r="BK626" s="408">
        <v>10732.68</v>
      </c>
      <c r="BL626" s="408">
        <v>1</v>
      </c>
      <c r="BM626" s="408"/>
      <c r="BN626" s="408">
        <v>27252</v>
      </c>
      <c r="BO626" s="408"/>
      <c r="BP626" s="408"/>
      <c r="BQ626" s="408"/>
      <c r="BR626" s="408"/>
      <c r="BS626" s="408"/>
      <c r="BT626" s="408"/>
      <c r="BU626" s="408"/>
      <c r="BV626" s="408">
        <v>0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27252</v>
      </c>
      <c r="CJ626" s="408">
        <v>-17412.030000000006</v>
      </c>
      <c r="CK626" s="408"/>
      <c r="CL626" s="408"/>
      <c r="CM626" s="408"/>
      <c r="CN626" s="408"/>
      <c r="CO626" s="408">
        <v>-34823.999999999993</v>
      </c>
      <c r="CP626" s="408">
        <v>0</v>
      </c>
      <c r="CQ626" s="408">
        <v>31</v>
      </c>
      <c r="CR626" s="408">
        <v>-83.94038951172115</v>
      </c>
      <c r="CS626" s="408">
        <v>0</v>
      </c>
      <c r="CT626" s="408">
        <v>0</v>
      </c>
      <c r="CU626" s="408">
        <v>0</v>
      </c>
      <c r="CV626" s="408">
        <v>0</v>
      </c>
      <c r="CW626" s="408"/>
      <c r="CX626" s="408"/>
      <c r="CY626" s="408"/>
      <c r="CZ626" s="408">
        <v>-83.94038951172115</v>
      </c>
      <c r="DA626" s="408">
        <v>0</v>
      </c>
      <c r="DB626" s="408">
        <v>0</v>
      </c>
      <c r="DC626" s="408"/>
      <c r="DD626" s="408"/>
      <c r="DE626" s="408">
        <v>0</v>
      </c>
      <c r="DF626" s="408">
        <v>0</v>
      </c>
      <c r="DG626" s="408">
        <v>0</v>
      </c>
      <c r="DH626" s="408">
        <v>0</v>
      </c>
      <c r="DI626" s="408">
        <v>0</v>
      </c>
      <c r="DJ626" s="408"/>
      <c r="DK626" s="408">
        <v>0</v>
      </c>
      <c r="DL626" s="408">
        <v>0</v>
      </c>
      <c r="DM626" s="408"/>
      <c r="DN626" s="408">
        <v>0</v>
      </c>
      <c r="DO626" s="408">
        <v>0</v>
      </c>
      <c r="DP626" s="408">
        <v>0</v>
      </c>
      <c r="DQ626" s="408">
        <v>0</v>
      </c>
      <c r="DR626" s="408">
        <v>0</v>
      </c>
      <c r="DS626" s="408"/>
      <c r="DT626" s="408"/>
      <c r="DU626" s="408">
        <v>56665.845521013842</v>
      </c>
      <c r="DV626" s="408"/>
      <c r="DW626" s="408">
        <v>0</v>
      </c>
      <c r="DX626" s="408">
        <v>0</v>
      </c>
      <c r="DY626" s="408">
        <v>-34824</v>
      </c>
      <c r="DZ626" s="408"/>
      <c r="EA626" s="408">
        <v>0</v>
      </c>
      <c r="EB626" s="408"/>
      <c r="EC626" s="408">
        <v>-34744.386754721403</v>
      </c>
      <c r="ED626" s="408"/>
      <c r="EE626" s="408">
        <v>0</v>
      </c>
      <c r="EF626" s="408">
        <v>0</v>
      </c>
      <c r="EG626" s="408"/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/>
      <c r="EN626" s="408"/>
      <c r="EO626" s="408">
        <v>0</v>
      </c>
      <c r="EP626" s="408">
        <v>0</v>
      </c>
      <c r="EQ626" s="408"/>
      <c r="ER626" s="408">
        <v>0</v>
      </c>
      <c r="ES626" s="408"/>
      <c r="ET626" s="408">
        <v>0</v>
      </c>
      <c r="EU626" s="408"/>
      <c r="EV626" s="408">
        <v>265</v>
      </c>
      <c r="EW626" s="408"/>
      <c r="EX626" s="408"/>
      <c r="EY626" s="408"/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636</v>
      </c>
      <c r="B627" s="408" t="s">
        <v>1031</v>
      </c>
      <c r="C627" s="408" t="s">
        <v>2235</v>
      </c>
      <c r="D627" s="408" t="s">
        <v>596</v>
      </c>
      <c r="E627" s="408" t="s">
        <v>965</v>
      </c>
      <c r="F627" s="408" t="s">
        <v>1317</v>
      </c>
      <c r="G627" s="408" t="s">
        <v>2319</v>
      </c>
      <c r="H627" s="408" t="s">
        <v>1317</v>
      </c>
      <c r="I627" s="408" t="s">
        <v>1317</v>
      </c>
      <c r="J627" s="408" t="s">
        <v>2320</v>
      </c>
      <c r="K627" s="828">
        <v>44409</v>
      </c>
      <c r="L627" s="408">
        <v>600</v>
      </c>
      <c r="M627" s="408">
        <v>600</v>
      </c>
      <c r="N627" s="408">
        <v>0</v>
      </c>
      <c r="O627" s="408">
        <v>0</v>
      </c>
      <c r="P627" s="408">
        <v>0</v>
      </c>
      <c r="Q627" s="408">
        <v>0</v>
      </c>
      <c r="R627" s="408">
        <v>74.44</v>
      </c>
      <c r="S627" s="408"/>
      <c r="T627" s="408"/>
      <c r="U627" s="408">
        <v>44664</v>
      </c>
      <c r="V627" s="408"/>
      <c r="W627" s="408">
        <v>44664</v>
      </c>
      <c r="X627" s="408">
        <v>27252</v>
      </c>
      <c r="Y627" s="408">
        <v>0</v>
      </c>
      <c r="Z627" s="408">
        <v>0</v>
      </c>
      <c r="AA627" s="408">
        <v>0</v>
      </c>
      <c r="AB627" s="408">
        <v>0</v>
      </c>
      <c r="AC627" s="408">
        <v>0</v>
      </c>
      <c r="AD627" s="408">
        <v>16330.25551827108</v>
      </c>
      <c r="AE627" s="408">
        <v>28332.922760506921</v>
      </c>
      <c r="AF627" s="408"/>
      <c r="AG627" s="408"/>
      <c r="AH627" s="408"/>
      <c r="AI627" s="408">
        <v>0</v>
      </c>
      <c r="AJ627" s="408">
        <v>0</v>
      </c>
      <c r="AK627" s="408">
        <v>0</v>
      </c>
      <c r="AL627" s="408">
        <v>0</v>
      </c>
      <c r="AM627" s="408"/>
      <c r="AN627" s="408">
        <v>0</v>
      </c>
      <c r="AO627" s="408">
        <v>0</v>
      </c>
      <c r="AP627" s="408">
        <v>0</v>
      </c>
      <c r="AQ627" s="408">
        <v>0</v>
      </c>
      <c r="AR627" s="408">
        <v>0</v>
      </c>
      <c r="AS627" s="408"/>
      <c r="AT627" s="408"/>
      <c r="AU627" s="408">
        <v>0</v>
      </c>
      <c r="AV627" s="408">
        <v>0</v>
      </c>
      <c r="AW627" s="408">
        <v>0</v>
      </c>
      <c r="AX627" s="408"/>
      <c r="AY627" s="408"/>
      <c r="AZ627" s="408">
        <v>0</v>
      </c>
      <c r="BA627" s="408"/>
      <c r="BB627" s="408">
        <v>0</v>
      </c>
      <c r="BC627" s="408">
        <v>0</v>
      </c>
      <c r="BD627" s="408">
        <v>0</v>
      </c>
      <c r="BE627" s="408">
        <v>0</v>
      </c>
      <c r="BF627" s="408"/>
      <c r="BG627" s="408">
        <v>0</v>
      </c>
      <c r="BH627" s="408">
        <v>0</v>
      </c>
      <c r="BI627" s="408">
        <v>0</v>
      </c>
      <c r="BJ627" s="408">
        <v>0</v>
      </c>
      <c r="BK627" s="408">
        <v>12480.45</v>
      </c>
      <c r="BL627" s="408">
        <v>1</v>
      </c>
      <c r="BM627" s="408"/>
      <c r="BN627" s="408"/>
      <c r="BO627" s="408"/>
      <c r="BP627" s="408"/>
      <c r="BQ627" s="408"/>
      <c r="BR627" s="408"/>
      <c r="BS627" s="408"/>
      <c r="BT627" s="408"/>
      <c r="BU627" s="408"/>
      <c r="BV627" s="408">
        <v>0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27252</v>
      </c>
      <c r="CJ627" s="408">
        <v>-17412.030000000006</v>
      </c>
      <c r="CK627" s="408"/>
      <c r="CL627" s="408"/>
      <c r="CM627" s="408"/>
      <c r="CN627" s="408"/>
      <c r="CO627" s="408">
        <v>-17411.999999999996</v>
      </c>
      <c r="CP627" s="408">
        <v>0</v>
      </c>
      <c r="CQ627" s="408">
        <v>31</v>
      </c>
      <c r="CR627" s="408">
        <v>-41.970194755860575</v>
      </c>
      <c r="CS627" s="408">
        <v>0</v>
      </c>
      <c r="CT627" s="408">
        <v>0</v>
      </c>
      <c r="CU627" s="408">
        <v>0</v>
      </c>
      <c r="CV627" s="408">
        <v>0</v>
      </c>
      <c r="CW627" s="408"/>
      <c r="CX627" s="408"/>
      <c r="CY627" s="408"/>
      <c r="CZ627" s="408">
        <v>-41.970194755860575</v>
      </c>
      <c r="DA627" s="408">
        <v>0</v>
      </c>
      <c r="DB627" s="408">
        <v>0</v>
      </c>
      <c r="DC627" s="408"/>
      <c r="DD627" s="408"/>
      <c r="DE627" s="408">
        <v>0</v>
      </c>
      <c r="DF627" s="408">
        <v>0</v>
      </c>
      <c r="DG627" s="408">
        <v>0</v>
      </c>
      <c r="DH627" s="408">
        <v>0</v>
      </c>
      <c r="DI627" s="408">
        <v>0</v>
      </c>
      <c r="DJ627" s="408"/>
      <c r="DK627" s="408">
        <v>0</v>
      </c>
      <c r="DL627" s="408">
        <v>0</v>
      </c>
      <c r="DM627" s="408"/>
      <c r="DN627" s="408">
        <v>0</v>
      </c>
      <c r="DO627" s="408">
        <v>0</v>
      </c>
      <c r="DP627" s="408">
        <v>0</v>
      </c>
      <c r="DQ627" s="408">
        <v>0</v>
      </c>
      <c r="DR627" s="408">
        <v>0</v>
      </c>
      <c r="DS627" s="408"/>
      <c r="DT627" s="408"/>
      <c r="DU627" s="408">
        <v>28332.922760506921</v>
      </c>
      <c r="DV627" s="408"/>
      <c r="DW627" s="408">
        <v>0</v>
      </c>
      <c r="DX627" s="408">
        <v>0</v>
      </c>
      <c r="DY627" s="408">
        <v>-17412</v>
      </c>
      <c r="DZ627" s="408"/>
      <c r="EA627" s="408">
        <v>0</v>
      </c>
      <c r="EB627" s="408"/>
      <c r="EC627" s="408">
        <v>-17372.193377360702</v>
      </c>
      <c r="ED627" s="408"/>
      <c r="EE627" s="408">
        <v>0</v>
      </c>
      <c r="EF627" s="408">
        <v>0</v>
      </c>
      <c r="EG627" s="408"/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/>
      <c r="EN627" s="408"/>
      <c r="EO627" s="408">
        <v>0</v>
      </c>
      <c r="EP627" s="408">
        <v>0</v>
      </c>
      <c r="EQ627" s="408"/>
      <c r="ER627" s="408">
        <v>0</v>
      </c>
      <c r="ES627" s="408"/>
      <c r="ET627" s="408">
        <v>0</v>
      </c>
      <c r="EU627" s="408"/>
      <c r="EV627" s="408">
        <v>265</v>
      </c>
      <c r="EW627" s="408"/>
      <c r="EX627" s="408"/>
      <c r="EY627" s="408"/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637</v>
      </c>
      <c r="B628" s="408" t="s">
        <v>1031</v>
      </c>
      <c r="C628" s="408" t="s">
        <v>2235</v>
      </c>
      <c r="D628" s="408" t="s">
        <v>596</v>
      </c>
      <c r="E628" s="408" t="s">
        <v>965</v>
      </c>
      <c r="F628" s="408" t="s">
        <v>1317</v>
      </c>
      <c r="G628" s="408" t="s">
        <v>2319</v>
      </c>
      <c r="H628" s="408" t="s">
        <v>1317</v>
      </c>
      <c r="I628" s="408" t="s">
        <v>968</v>
      </c>
      <c r="J628" s="408" t="s">
        <v>2320</v>
      </c>
      <c r="K628" s="828">
        <v>44440</v>
      </c>
      <c r="L628" s="408">
        <v>0</v>
      </c>
      <c r="M628" s="408">
        <v>0</v>
      </c>
      <c r="N628" s="408">
        <v>0.6</v>
      </c>
      <c r="O628" s="408">
        <v>0.6</v>
      </c>
      <c r="P628" s="408">
        <v>0</v>
      </c>
      <c r="Q628" s="408">
        <v>0</v>
      </c>
      <c r="R628" s="408"/>
      <c r="S628" s="408">
        <v>2641.06</v>
      </c>
      <c r="T628" s="408"/>
      <c r="U628" s="408"/>
      <c r="V628" s="408">
        <v>1584.636</v>
      </c>
      <c r="W628" s="408">
        <v>1584.636</v>
      </c>
      <c r="X628" s="408">
        <v>879.07199999999989</v>
      </c>
      <c r="Y628" s="408">
        <v>0</v>
      </c>
      <c r="Z628" s="408">
        <v>32.287347757417983</v>
      </c>
      <c r="AA628" s="408">
        <v>0</v>
      </c>
      <c r="AB628" s="408">
        <v>0</v>
      </c>
      <c r="AC628" s="408">
        <v>0</v>
      </c>
      <c r="AD628" s="408">
        <v>388.66019432354216</v>
      </c>
      <c r="AE628" s="408">
        <v>1147.2542044201439</v>
      </c>
      <c r="AF628" s="408"/>
      <c r="AG628" s="408"/>
      <c r="AH628" s="408"/>
      <c r="AI628" s="408">
        <v>0</v>
      </c>
      <c r="AJ628" s="408">
        <v>0</v>
      </c>
      <c r="AK628" s="408">
        <v>0</v>
      </c>
      <c r="AL628" s="408">
        <v>5.7366175103995625</v>
      </c>
      <c r="AM628" s="408"/>
      <c r="AN628" s="408">
        <v>1.4435436825833698</v>
      </c>
      <c r="AO628" s="408">
        <v>0</v>
      </c>
      <c r="AP628" s="408">
        <v>0</v>
      </c>
      <c r="AQ628" s="408">
        <v>0</v>
      </c>
      <c r="AR628" s="408">
        <v>0</v>
      </c>
      <c r="AS628" s="408"/>
      <c r="AT628" s="408"/>
      <c r="AU628" s="408">
        <v>0</v>
      </c>
      <c r="AV628" s="408">
        <v>0</v>
      </c>
      <c r="AW628" s="408">
        <v>0</v>
      </c>
      <c r="AX628" s="408"/>
      <c r="AY628" s="408"/>
      <c r="AZ628" s="408">
        <v>0</v>
      </c>
      <c r="BA628" s="408"/>
      <c r="BB628" s="408">
        <v>0</v>
      </c>
      <c r="BC628" s="408">
        <v>0</v>
      </c>
      <c r="BD628" s="408">
        <v>0</v>
      </c>
      <c r="BE628" s="408">
        <v>0</v>
      </c>
      <c r="BF628" s="408"/>
      <c r="BG628" s="408">
        <v>9.25370476346232</v>
      </c>
      <c r="BH628" s="408">
        <v>0</v>
      </c>
      <c r="BI628" s="408">
        <v>0</v>
      </c>
      <c r="BJ628" s="408">
        <v>0</v>
      </c>
      <c r="BK628" s="408">
        <v>0</v>
      </c>
      <c r="BL628" s="408">
        <v>0</v>
      </c>
      <c r="BM628" s="408"/>
      <c r="BN628" s="408"/>
      <c r="BO628" s="408"/>
      <c r="BP628" s="408"/>
      <c r="BQ628" s="408"/>
      <c r="BR628" s="408"/>
      <c r="BS628" s="408"/>
      <c r="BT628" s="408"/>
      <c r="BU628" s="408"/>
      <c r="BV628" s="408">
        <v>9.25370476346232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879.07199999999989</v>
      </c>
      <c r="CJ628" s="408">
        <v>-705.59400000000005</v>
      </c>
      <c r="CK628" s="408"/>
      <c r="CL628" s="408"/>
      <c r="CM628" s="408"/>
      <c r="CN628" s="408"/>
      <c r="CO628" s="408">
        <v>-705.56399999999996</v>
      </c>
      <c r="CP628" s="408">
        <v>0</v>
      </c>
      <c r="CQ628" s="408">
        <v>30</v>
      </c>
      <c r="CR628" s="408">
        <v>-2.1287053444016806</v>
      </c>
      <c r="CS628" s="408">
        <v>0</v>
      </c>
      <c r="CT628" s="408">
        <v>0</v>
      </c>
      <c r="CU628" s="408">
        <v>0</v>
      </c>
      <c r="CV628" s="408">
        <v>0</v>
      </c>
      <c r="CW628" s="408"/>
      <c r="CX628" s="408"/>
      <c r="CY628" s="408"/>
      <c r="CZ628" s="408">
        <v>-0.99889092558055381</v>
      </c>
      <c r="DA628" s="408">
        <v>0</v>
      </c>
      <c r="DB628" s="408">
        <v>0</v>
      </c>
      <c r="DC628" s="408"/>
      <c r="DD628" s="408"/>
      <c r="DE628" s="408">
        <v>0</v>
      </c>
      <c r="DF628" s="408">
        <v>0</v>
      </c>
      <c r="DG628" s="408">
        <v>-1.2973195850918273E-9</v>
      </c>
      <c r="DH628" s="408">
        <v>0</v>
      </c>
      <c r="DI628" s="408">
        <v>-0.93882208551468693</v>
      </c>
      <c r="DJ628" s="408"/>
      <c r="DK628" s="408">
        <v>0</v>
      </c>
      <c r="DL628" s="408">
        <v>0</v>
      </c>
      <c r="DM628" s="408"/>
      <c r="DN628" s="408">
        <v>0</v>
      </c>
      <c r="DO628" s="408">
        <v>-0.14411595962844714</v>
      </c>
      <c r="DP628" s="408">
        <v>-4.6876372380611819E-2</v>
      </c>
      <c r="DQ628" s="408">
        <v>0</v>
      </c>
      <c r="DR628" s="408">
        <v>0</v>
      </c>
      <c r="DS628" s="408"/>
      <c r="DT628" s="408"/>
      <c r="DU628" s="408"/>
      <c r="DV628" s="408">
        <v>1147.2542044201439</v>
      </c>
      <c r="DW628" s="408">
        <v>0</v>
      </c>
      <c r="DX628" s="408">
        <v>0</v>
      </c>
      <c r="DY628" s="408">
        <v>-705.56400000000008</v>
      </c>
      <c r="DZ628" s="408"/>
      <c r="EA628" s="408">
        <v>0</v>
      </c>
      <c r="EB628" s="408"/>
      <c r="EC628" s="408">
        <v>-703.43331892174433</v>
      </c>
      <c r="ED628" s="408"/>
      <c r="EE628" s="408">
        <v>0</v>
      </c>
      <c r="EF628" s="408">
        <v>0</v>
      </c>
      <c r="EG628" s="408"/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/>
      <c r="EN628" s="408"/>
      <c r="EO628" s="408">
        <v>0</v>
      </c>
      <c r="EP628" s="408">
        <v>0</v>
      </c>
      <c r="EQ628" s="408"/>
      <c r="ER628" s="408">
        <v>0</v>
      </c>
      <c r="ES628" s="408"/>
      <c r="ET628" s="408">
        <v>0</v>
      </c>
      <c r="EU628" s="408"/>
      <c r="EV628" s="408">
        <v>265</v>
      </c>
      <c r="EW628" s="408"/>
      <c r="EX628" s="408"/>
      <c r="EY628" s="408"/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638</v>
      </c>
      <c r="B629" s="408" t="s">
        <v>1031</v>
      </c>
      <c r="C629" s="408" t="s">
        <v>2235</v>
      </c>
      <c r="D629" s="408" t="s">
        <v>596</v>
      </c>
      <c r="E629" s="408" t="s">
        <v>965</v>
      </c>
      <c r="F629" s="408" t="s">
        <v>1317</v>
      </c>
      <c r="G629" s="408" t="s">
        <v>2319</v>
      </c>
      <c r="H629" s="408" t="s">
        <v>1317</v>
      </c>
      <c r="I629" s="408" t="s">
        <v>2236</v>
      </c>
      <c r="J629" s="408" t="s">
        <v>2320</v>
      </c>
      <c r="K629" s="828">
        <v>44440</v>
      </c>
      <c r="L629" s="408">
        <v>0</v>
      </c>
      <c r="M629" s="408">
        <v>0</v>
      </c>
      <c r="N629" s="408">
        <v>4.87</v>
      </c>
      <c r="O629" s="408">
        <v>4.87</v>
      </c>
      <c r="P629" s="408">
        <v>0</v>
      </c>
      <c r="Q629" s="408">
        <v>0</v>
      </c>
      <c r="R629" s="408"/>
      <c r="S629" s="408">
        <v>81.2</v>
      </c>
      <c r="T629" s="408"/>
      <c r="U629" s="408"/>
      <c r="V629" s="408">
        <v>395.44400000000002</v>
      </c>
      <c r="W629" s="408">
        <v>395.44400000000002</v>
      </c>
      <c r="X629" s="408">
        <v>386.28839999999997</v>
      </c>
      <c r="Y629" s="408">
        <v>0</v>
      </c>
      <c r="Z629" s="408">
        <v>262.06563929770931</v>
      </c>
      <c r="AA629" s="408">
        <v>0</v>
      </c>
      <c r="AB629" s="408">
        <v>0</v>
      </c>
      <c r="AC629" s="408">
        <v>0</v>
      </c>
      <c r="AD629" s="408">
        <v>0</v>
      </c>
      <c r="AE629" s="408">
        <v>0</v>
      </c>
      <c r="AF629" s="408"/>
      <c r="AG629" s="408"/>
      <c r="AH629" s="408"/>
      <c r="AI629" s="408">
        <v>0</v>
      </c>
      <c r="AJ629" s="408">
        <v>0</v>
      </c>
      <c r="AK629" s="408">
        <v>0</v>
      </c>
      <c r="AL629" s="408">
        <v>46.562212126076446</v>
      </c>
      <c r="AM629" s="408"/>
      <c r="AN629" s="408">
        <v>11.716762890301686</v>
      </c>
      <c r="AO629" s="408">
        <v>0</v>
      </c>
      <c r="AP629" s="408">
        <v>0</v>
      </c>
      <c r="AQ629" s="408">
        <v>0</v>
      </c>
      <c r="AR629" s="408">
        <v>0</v>
      </c>
      <c r="AS629" s="408"/>
      <c r="AT629" s="408"/>
      <c r="AU629" s="408">
        <v>0</v>
      </c>
      <c r="AV629" s="408">
        <v>0</v>
      </c>
      <c r="AW629" s="408">
        <v>0</v>
      </c>
      <c r="AX629" s="408"/>
      <c r="AY629" s="408"/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0</v>
      </c>
      <c r="BF629" s="408"/>
      <c r="BG629" s="408">
        <v>75.10923699676917</v>
      </c>
      <c r="BH629" s="408">
        <v>0</v>
      </c>
      <c r="BI629" s="408">
        <v>0</v>
      </c>
      <c r="BJ629" s="408">
        <v>0</v>
      </c>
      <c r="BK629" s="408">
        <v>0</v>
      </c>
      <c r="BL629" s="408">
        <v>0</v>
      </c>
      <c r="BM629" s="408"/>
      <c r="BN629" s="408"/>
      <c r="BO629" s="408"/>
      <c r="BP629" s="408"/>
      <c r="BQ629" s="408"/>
      <c r="BR629" s="408"/>
      <c r="BS629" s="408"/>
      <c r="BT629" s="408"/>
      <c r="BU629" s="408"/>
      <c r="BV629" s="408">
        <v>75.10923699676917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386.28839999999997</v>
      </c>
      <c r="CJ629" s="408">
        <v>-9.1856000000000222</v>
      </c>
      <c r="CK629" s="408"/>
      <c r="CL629" s="408"/>
      <c r="CM629" s="408"/>
      <c r="CN629" s="408"/>
      <c r="CO629" s="408">
        <v>-9.1556000000000477</v>
      </c>
      <c r="CP629" s="408">
        <v>0</v>
      </c>
      <c r="CQ629" s="408">
        <v>30</v>
      </c>
      <c r="CR629" s="408">
        <v>-9.1703270327644191</v>
      </c>
      <c r="CS629" s="408">
        <v>0</v>
      </c>
      <c r="CT629" s="408">
        <v>0</v>
      </c>
      <c r="CU629" s="408">
        <v>0</v>
      </c>
      <c r="CV629" s="408">
        <v>0</v>
      </c>
      <c r="CW629" s="408"/>
      <c r="CX629" s="408"/>
      <c r="CY629" s="408"/>
      <c r="CZ629" s="408">
        <v>0</v>
      </c>
      <c r="DA629" s="408">
        <v>0</v>
      </c>
      <c r="DB629" s="408">
        <v>0</v>
      </c>
      <c r="DC629" s="408"/>
      <c r="DD629" s="408"/>
      <c r="DE629" s="408">
        <v>0</v>
      </c>
      <c r="DF629" s="408">
        <v>0</v>
      </c>
      <c r="DG629" s="408">
        <v>-1.0529916494306235E-8</v>
      </c>
      <c r="DH629" s="408">
        <v>0</v>
      </c>
      <c r="DI629" s="408">
        <v>-7.6201059274275167</v>
      </c>
      <c r="DJ629" s="408"/>
      <c r="DK629" s="408">
        <v>0</v>
      </c>
      <c r="DL629" s="408">
        <v>0</v>
      </c>
      <c r="DM629" s="408"/>
      <c r="DN629" s="408">
        <v>0</v>
      </c>
      <c r="DO629" s="408">
        <v>-1.1697412056508938</v>
      </c>
      <c r="DP629" s="408">
        <v>-0.38047988915596598</v>
      </c>
      <c r="DQ629" s="408">
        <v>0</v>
      </c>
      <c r="DR629" s="408">
        <v>0</v>
      </c>
      <c r="DS629" s="408"/>
      <c r="DT629" s="408"/>
      <c r="DU629" s="408"/>
      <c r="DV629" s="408">
        <v>0</v>
      </c>
      <c r="DW629" s="408">
        <v>0</v>
      </c>
      <c r="DX629" s="408">
        <v>0</v>
      </c>
      <c r="DY629" s="408">
        <v>-9.1556000000000495</v>
      </c>
      <c r="DZ629" s="408"/>
      <c r="EA629" s="408">
        <v>0</v>
      </c>
      <c r="EB629" s="408"/>
      <c r="EC629" s="408">
        <v>0</v>
      </c>
      <c r="ED629" s="408"/>
      <c r="EE629" s="408">
        <v>0</v>
      </c>
      <c r="EF629" s="408">
        <v>0</v>
      </c>
      <c r="EG629" s="408"/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/>
      <c r="EN629" s="408"/>
      <c r="EO629" s="408">
        <v>0</v>
      </c>
      <c r="EP629" s="408">
        <v>0</v>
      </c>
      <c r="EQ629" s="408"/>
      <c r="ER629" s="408">
        <v>0</v>
      </c>
      <c r="ES629" s="408"/>
      <c r="ET629" s="408">
        <v>0</v>
      </c>
      <c r="EU629" s="408"/>
      <c r="EV629" s="408">
        <v>265</v>
      </c>
      <c r="EW629" s="408"/>
      <c r="EX629" s="408"/>
      <c r="EY629" s="408"/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639</v>
      </c>
      <c r="B630" s="408" t="s">
        <v>1031</v>
      </c>
      <c r="C630" s="408" t="s">
        <v>2235</v>
      </c>
      <c r="D630" s="408" t="s">
        <v>596</v>
      </c>
      <c r="E630" s="408" t="s">
        <v>965</v>
      </c>
      <c r="F630" s="408" t="s">
        <v>1317</v>
      </c>
      <c r="G630" s="408" t="s">
        <v>2319</v>
      </c>
      <c r="H630" s="408" t="s">
        <v>1317</v>
      </c>
      <c r="I630" s="408" t="s">
        <v>1317</v>
      </c>
      <c r="J630" s="408" t="s">
        <v>2320</v>
      </c>
      <c r="K630" s="828">
        <v>44440</v>
      </c>
      <c r="L630" s="408">
        <v>600</v>
      </c>
      <c r="M630" s="408">
        <v>600</v>
      </c>
      <c r="N630" s="408">
        <v>0</v>
      </c>
      <c r="O630" s="408">
        <v>0</v>
      </c>
      <c r="P630" s="408">
        <v>0</v>
      </c>
      <c r="Q630" s="408">
        <v>0</v>
      </c>
      <c r="R630" s="408">
        <v>74.44</v>
      </c>
      <c r="S630" s="408"/>
      <c r="T630" s="408"/>
      <c r="U630" s="408">
        <v>44664</v>
      </c>
      <c r="V630" s="408"/>
      <c r="W630" s="408">
        <v>44664</v>
      </c>
      <c r="X630" s="408">
        <v>27252</v>
      </c>
      <c r="Y630" s="408">
        <v>0</v>
      </c>
      <c r="Z630" s="408">
        <v>0</v>
      </c>
      <c r="AA630" s="408">
        <v>0</v>
      </c>
      <c r="AB630" s="408">
        <v>0</v>
      </c>
      <c r="AC630" s="408">
        <v>0</v>
      </c>
      <c r="AD630" s="408">
        <v>16330.25551827108</v>
      </c>
      <c r="AE630" s="408">
        <v>28332.922760506921</v>
      </c>
      <c r="AF630" s="408"/>
      <c r="AG630" s="408"/>
      <c r="AH630" s="408"/>
      <c r="AI630" s="408">
        <v>0</v>
      </c>
      <c r="AJ630" s="408">
        <v>0</v>
      </c>
      <c r="AK630" s="408">
        <v>0</v>
      </c>
      <c r="AL630" s="408">
        <v>0</v>
      </c>
      <c r="AM630" s="408"/>
      <c r="AN630" s="408">
        <v>0</v>
      </c>
      <c r="AO630" s="408">
        <v>0</v>
      </c>
      <c r="AP630" s="408">
        <v>0</v>
      </c>
      <c r="AQ630" s="408">
        <v>0</v>
      </c>
      <c r="AR630" s="408">
        <v>0</v>
      </c>
      <c r="AS630" s="408"/>
      <c r="AT630" s="408"/>
      <c r="AU630" s="408">
        <v>0</v>
      </c>
      <c r="AV630" s="408">
        <v>0</v>
      </c>
      <c r="AW630" s="408">
        <v>0</v>
      </c>
      <c r="AX630" s="408"/>
      <c r="AY630" s="408"/>
      <c r="AZ630" s="408">
        <v>0</v>
      </c>
      <c r="BA630" s="408"/>
      <c r="BB630" s="408">
        <v>0</v>
      </c>
      <c r="BC630" s="408">
        <v>0</v>
      </c>
      <c r="BD630" s="408">
        <v>0</v>
      </c>
      <c r="BE630" s="408">
        <v>0</v>
      </c>
      <c r="BF630" s="408"/>
      <c r="BG630" s="408">
        <v>0</v>
      </c>
      <c r="BH630" s="408">
        <v>0</v>
      </c>
      <c r="BI630" s="408">
        <v>0</v>
      </c>
      <c r="BJ630" s="408">
        <v>0</v>
      </c>
      <c r="BK630" s="408">
        <v>1854.02</v>
      </c>
      <c r="BL630" s="408">
        <v>1</v>
      </c>
      <c r="BM630" s="408"/>
      <c r="BN630" s="408"/>
      <c r="BO630" s="408"/>
      <c r="BP630" s="408"/>
      <c r="BQ630" s="408"/>
      <c r="BR630" s="408"/>
      <c r="BS630" s="408"/>
      <c r="BT630" s="408"/>
      <c r="BU630" s="408"/>
      <c r="BV630" s="408">
        <v>0</v>
      </c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>
        <v>27252</v>
      </c>
      <c r="CJ630" s="408">
        <v>-17412.030000000006</v>
      </c>
      <c r="CK630" s="408"/>
      <c r="CL630" s="408"/>
      <c r="CM630" s="408"/>
      <c r="CN630" s="408"/>
      <c r="CO630" s="408">
        <v>-17411.999999999996</v>
      </c>
      <c r="CP630" s="408">
        <v>0</v>
      </c>
      <c r="CQ630" s="408">
        <v>30</v>
      </c>
      <c r="CR630" s="408">
        <v>-41.970194755860575</v>
      </c>
      <c r="CS630" s="408">
        <v>0</v>
      </c>
      <c r="CT630" s="408">
        <v>0</v>
      </c>
      <c r="CU630" s="408">
        <v>0</v>
      </c>
      <c r="CV630" s="408">
        <v>0</v>
      </c>
      <c r="CW630" s="408"/>
      <c r="CX630" s="408"/>
      <c r="CY630" s="408"/>
      <c r="CZ630" s="408">
        <v>-41.970194755860575</v>
      </c>
      <c r="DA630" s="408">
        <v>0</v>
      </c>
      <c r="DB630" s="408">
        <v>0</v>
      </c>
      <c r="DC630" s="408"/>
      <c r="DD630" s="408"/>
      <c r="DE630" s="408">
        <v>0</v>
      </c>
      <c r="DF630" s="408">
        <v>0</v>
      </c>
      <c r="DG630" s="408">
        <v>0</v>
      </c>
      <c r="DH630" s="408">
        <v>0</v>
      </c>
      <c r="DI630" s="408">
        <v>0</v>
      </c>
      <c r="DJ630" s="408"/>
      <c r="DK630" s="408">
        <v>0</v>
      </c>
      <c r="DL630" s="408">
        <v>0</v>
      </c>
      <c r="DM630" s="408"/>
      <c r="DN630" s="408">
        <v>0</v>
      </c>
      <c r="DO630" s="408">
        <v>0</v>
      </c>
      <c r="DP630" s="408">
        <v>0</v>
      </c>
      <c r="DQ630" s="408">
        <v>0</v>
      </c>
      <c r="DR630" s="408">
        <v>0</v>
      </c>
      <c r="DS630" s="408"/>
      <c r="DT630" s="408"/>
      <c r="DU630" s="408">
        <v>28332.922760506921</v>
      </c>
      <c r="DV630" s="408"/>
      <c r="DW630" s="408">
        <v>0</v>
      </c>
      <c r="DX630" s="408">
        <v>0</v>
      </c>
      <c r="DY630" s="408">
        <v>-17412</v>
      </c>
      <c r="DZ630" s="408"/>
      <c r="EA630" s="408">
        <v>0</v>
      </c>
      <c r="EB630" s="408"/>
      <c r="EC630" s="408">
        <v>-17372.193377360702</v>
      </c>
      <c r="ED630" s="408"/>
      <c r="EE630" s="408">
        <v>0</v>
      </c>
      <c r="EF630" s="408">
        <v>0</v>
      </c>
      <c r="EG630" s="408"/>
      <c r="EH630" s="408">
        <v>0</v>
      </c>
      <c r="EI630" s="408">
        <v>0</v>
      </c>
      <c r="EJ630" s="408">
        <v>0</v>
      </c>
      <c r="EK630" s="408">
        <v>0</v>
      </c>
      <c r="EL630" s="408">
        <v>0</v>
      </c>
      <c r="EM630" s="408"/>
      <c r="EN630" s="408"/>
      <c r="EO630" s="408">
        <v>0</v>
      </c>
      <c r="EP630" s="408">
        <v>0</v>
      </c>
      <c r="EQ630" s="408"/>
      <c r="ER630" s="408">
        <v>0</v>
      </c>
      <c r="ES630" s="408"/>
      <c r="ET630" s="408">
        <v>0</v>
      </c>
      <c r="EU630" s="408"/>
      <c r="EV630" s="408">
        <v>265</v>
      </c>
      <c r="EW630" s="408"/>
      <c r="EX630" s="408"/>
      <c r="EY630" s="408"/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640</v>
      </c>
      <c r="B631" s="408" t="s">
        <v>1031</v>
      </c>
      <c r="C631" s="408" t="s">
        <v>2235</v>
      </c>
      <c r="D631" s="408" t="s">
        <v>596</v>
      </c>
      <c r="E631" s="408" t="s">
        <v>965</v>
      </c>
      <c r="F631" s="408" t="s">
        <v>1317</v>
      </c>
      <c r="G631" s="408" t="s">
        <v>2319</v>
      </c>
      <c r="H631" s="408" t="s">
        <v>1317</v>
      </c>
      <c r="I631" s="408" t="s">
        <v>968</v>
      </c>
      <c r="J631" s="408" t="s">
        <v>2320</v>
      </c>
      <c r="K631" s="828">
        <v>44470</v>
      </c>
      <c r="L631" s="408">
        <v>0</v>
      </c>
      <c r="M631" s="408">
        <v>0</v>
      </c>
      <c r="N631" s="408">
        <v>0.54300000000000004</v>
      </c>
      <c r="O631" s="408">
        <v>0.27150000000000002</v>
      </c>
      <c r="P631" s="408">
        <v>0</v>
      </c>
      <c r="Q631" s="408">
        <v>0</v>
      </c>
      <c r="R631" s="408"/>
      <c r="S631" s="408">
        <v>2641.06</v>
      </c>
      <c r="T631" s="408"/>
      <c r="U631" s="408"/>
      <c r="V631" s="408">
        <v>1434.0955800000002</v>
      </c>
      <c r="W631" s="408">
        <v>1434.0955800000002</v>
      </c>
      <c r="X631" s="408">
        <v>795.56016</v>
      </c>
      <c r="Y631" s="408">
        <v>0</v>
      </c>
      <c r="Z631" s="408">
        <v>29.220049720463276</v>
      </c>
      <c r="AA631" s="408">
        <v>0</v>
      </c>
      <c r="AB631" s="408">
        <v>0</v>
      </c>
      <c r="AC631" s="408">
        <v>0</v>
      </c>
      <c r="AD631" s="408">
        <v>351.7374758628057</v>
      </c>
      <c r="AE631" s="408">
        <v>1038.2650550002304</v>
      </c>
      <c r="AF631" s="408"/>
      <c r="AG631" s="408"/>
      <c r="AH631" s="408"/>
      <c r="AI631" s="408">
        <v>0</v>
      </c>
      <c r="AJ631" s="408">
        <v>0</v>
      </c>
      <c r="AK631" s="408">
        <v>0</v>
      </c>
      <c r="AL631" s="408">
        <v>5.1916388469116042</v>
      </c>
      <c r="AM631" s="408"/>
      <c r="AN631" s="408">
        <v>1.3064070327379498</v>
      </c>
      <c r="AO631" s="408">
        <v>0</v>
      </c>
      <c r="AP631" s="408">
        <v>0</v>
      </c>
      <c r="AQ631" s="408">
        <v>0</v>
      </c>
      <c r="AR631" s="408">
        <v>0</v>
      </c>
      <c r="AS631" s="408"/>
      <c r="AT631" s="408"/>
      <c r="AU631" s="408">
        <v>0</v>
      </c>
      <c r="AV631" s="408">
        <v>0</v>
      </c>
      <c r="AW631" s="408">
        <v>0</v>
      </c>
      <c r="AX631" s="408"/>
      <c r="AY631" s="408"/>
      <c r="AZ631" s="408">
        <v>0</v>
      </c>
      <c r="BA631" s="408"/>
      <c r="BB631" s="408">
        <v>0</v>
      </c>
      <c r="BC631" s="408">
        <v>0</v>
      </c>
      <c r="BD631" s="408">
        <v>0</v>
      </c>
      <c r="BE631" s="408">
        <v>0</v>
      </c>
      <c r="BF631" s="408"/>
      <c r="BG631" s="408">
        <v>8.3746028109333999</v>
      </c>
      <c r="BH631" s="408">
        <v>0</v>
      </c>
      <c r="BI631" s="408">
        <v>0</v>
      </c>
      <c r="BJ631" s="408">
        <v>0</v>
      </c>
      <c r="BK631" s="408">
        <v>0</v>
      </c>
      <c r="BL631" s="408">
        <v>0</v>
      </c>
      <c r="BM631" s="408"/>
      <c r="BN631" s="408">
        <v>397.78008</v>
      </c>
      <c r="BO631" s="408"/>
      <c r="BP631" s="408"/>
      <c r="BQ631" s="408"/>
      <c r="BR631" s="408"/>
      <c r="BS631" s="408"/>
      <c r="BT631" s="408"/>
      <c r="BU631" s="408"/>
      <c r="BV631" s="408">
        <v>8.3746028109333999</v>
      </c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>
        <v>395.58240000000001</v>
      </c>
      <c r="CJ631" s="408">
        <v>-321.49539000000004</v>
      </c>
      <c r="CK631" s="408"/>
      <c r="CL631" s="408"/>
      <c r="CM631" s="408"/>
      <c r="CN631" s="408"/>
      <c r="CO631" s="408">
        <v>-638.53542000000004</v>
      </c>
      <c r="CP631" s="408">
        <v>0</v>
      </c>
      <c r="CQ631" s="408">
        <v>31</v>
      </c>
      <c r="CR631" s="408">
        <v>-1.926478336683374</v>
      </c>
      <c r="CS631" s="408">
        <v>0</v>
      </c>
      <c r="CT631" s="408">
        <v>0</v>
      </c>
      <c r="CU631" s="408">
        <v>0</v>
      </c>
      <c r="CV631" s="408">
        <v>0</v>
      </c>
      <c r="CW631" s="408"/>
      <c r="CX631" s="408"/>
      <c r="CY631" s="408"/>
      <c r="CZ631" s="408">
        <v>-0.90399628765038642</v>
      </c>
      <c r="DA631" s="408">
        <v>0</v>
      </c>
      <c r="DB631" s="408">
        <v>0</v>
      </c>
      <c r="DC631" s="408"/>
      <c r="DD631" s="408"/>
      <c r="DE631" s="408">
        <v>0</v>
      </c>
      <c r="DF631" s="408">
        <v>0</v>
      </c>
      <c r="DG631" s="408">
        <v>-1.1740741712173985E-9</v>
      </c>
      <c r="DH631" s="408">
        <v>0</v>
      </c>
      <c r="DI631" s="408">
        <v>-0.84963398739078855</v>
      </c>
      <c r="DJ631" s="408"/>
      <c r="DK631" s="408">
        <v>0</v>
      </c>
      <c r="DL631" s="408">
        <v>0</v>
      </c>
      <c r="DM631" s="408"/>
      <c r="DN631" s="408">
        <v>0</v>
      </c>
      <c r="DO631" s="408">
        <v>-0.13042494346374411</v>
      </c>
      <c r="DP631" s="408">
        <v>-4.2423117004453559E-2</v>
      </c>
      <c r="DQ631" s="408">
        <v>0</v>
      </c>
      <c r="DR631" s="408">
        <v>0</v>
      </c>
      <c r="DS631" s="408"/>
      <c r="DT631" s="408"/>
      <c r="DU631" s="408"/>
      <c r="DV631" s="408">
        <v>1038.2650550002304</v>
      </c>
      <c r="DW631" s="408">
        <v>0</v>
      </c>
      <c r="DX631" s="408">
        <v>0</v>
      </c>
      <c r="DY631" s="408">
        <v>-638.53542000000016</v>
      </c>
      <c r="DZ631" s="408"/>
      <c r="EA631" s="408">
        <v>0</v>
      </c>
      <c r="EB631" s="408"/>
      <c r="EC631" s="408">
        <v>-636.60715362417875</v>
      </c>
      <c r="ED631" s="408"/>
      <c r="EE631" s="408">
        <v>0</v>
      </c>
      <c r="EF631" s="408">
        <v>0</v>
      </c>
      <c r="EG631" s="408"/>
      <c r="EH631" s="408">
        <v>0</v>
      </c>
      <c r="EI631" s="408">
        <v>0</v>
      </c>
      <c r="EJ631" s="408">
        <v>0</v>
      </c>
      <c r="EK631" s="408">
        <v>0</v>
      </c>
      <c r="EL631" s="408">
        <v>0</v>
      </c>
      <c r="EM631" s="408"/>
      <c r="EN631" s="408"/>
      <c r="EO631" s="408">
        <v>0</v>
      </c>
      <c r="EP631" s="408">
        <v>0</v>
      </c>
      <c r="EQ631" s="408"/>
      <c r="ER631" s="408">
        <v>0</v>
      </c>
      <c r="ES631" s="408"/>
      <c r="ET631" s="408">
        <v>0</v>
      </c>
      <c r="EU631" s="408"/>
      <c r="EV631" s="408">
        <v>265</v>
      </c>
      <c r="EW631" s="408"/>
      <c r="EX631" s="408"/>
      <c r="EY631" s="408"/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641</v>
      </c>
      <c r="B632" s="408" t="s">
        <v>1031</v>
      </c>
      <c r="C632" s="408" t="s">
        <v>2235</v>
      </c>
      <c r="D632" s="408" t="s">
        <v>596</v>
      </c>
      <c r="E632" s="408" t="s">
        <v>965</v>
      </c>
      <c r="F632" s="408" t="s">
        <v>1317</v>
      </c>
      <c r="G632" s="408" t="s">
        <v>2319</v>
      </c>
      <c r="H632" s="408" t="s">
        <v>1317</v>
      </c>
      <c r="I632" s="408" t="s">
        <v>2236</v>
      </c>
      <c r="J632" s="408" t="s">
        <v>2320</v>
      </c>
      <c r="K632" s="828">
        <v>44470</v>
      </c>
      <c r="L632" s="408">
        <v>0</v>
      </c>
      <c r="M632" s="408">
        <v>0</v>
      </c>
      <c r="N632" s="408">
        <v>7.6310000000000002</v>
      </c>
      <c r="O632" s="408">
        <v>3.8155000000000001</v>
      </c>
      <c r="P632" s="408">
        <v>0</v>
      </c>
      <c r="Q632" s="408">
        <v>0</v>
      </c>
      <c r="R632" s="408"/>
      <c r="S632" s="408">
        <v>81.2</v>
      </c>
      <c r="T632" s="408"/>
      <c r="U632" s="408"/>
      <c r="V632" s="408">
        <v>619.63720000000001</v>
      </c>
      <c r="W632" s="408">
        <v>619.63720000000001</v>
      </c>
      <c r="X632" s="408">
        <v>605.29091999999991</v>
      </c>
      <c r="Y632" s="408">
        <v>0</v>
      </c>
      <c r="Z632" s="408">
        <v>410.64125122809435</v>
      </c>
      <c r="AA632" s="408">
        <v>0</v>
      </c>
      <c r="AB632" s="408">
        <v>0</v>
      </c>
      <c r="AC632" s="408">
        <v>0</v>
      </c>
      <c r="AD632" s="408">
        <v>0</v>
      </c>
      <c r="AE632" s="408">
        <v>0</v>
      </c>
      <c r="AF632" s="408"/>
      <c r="AG632" s="408"/>
      <c r="AH632" s="408"/>
      <c r="AI632" s="408">
        <v>0</v>
      </c>
      <c r="AJ632" s="408">
        <v>0</v>
      </c>
      <c r="AK632" s="408">
        <v>0</v>
      </c>
      <c r="AL632" s="408">
        <v>72.960213703098432</v>
      </c>
      <c r="AM632" s="408"/>
      <c r="AN632" s="408">
        <v>18.359469736322826</v>
      </c>
      <c r="AO632" s="408">
        <v>0</v>
      </c>
      <c r="AP632" s="408">
        <v>0</v>
      </c>
      <c r="AQ632" s="408">
        <v>0</v>
      </c>
      <c r="AR632" s="408">
        <v>0</v>
      </c>
      <c r="AS632" s="408"/>
      <c r="AT632" s="408"/>
      <c r="AU632" s="408">
        <v>0</v>
      </c>
      <c r="AV632" s="408">
        <v>0</v>
      </c>
      <c r="AW632" s="408">
        <v>0</v>
      </c>
      <c r="AX632" s="408"/>
      <c r="AY632" s="408"/>
      <c r="AZ632" s="408">
        <v>0</v>
      </c>
      <c r="BA632" s="408"/>
      <c r="BB632" s="408">
        <v>0</v>
      </c>
      <c r="BC632" s="408">
        <v>0</v>
      </c>
      <c r="BD632" s="408">
        <v>0</v>
      </c>
      <c r="BE632" s="408">
        <v>0</v>
      </c>
      <c r="BF632" s="408"/>
      <c r="BG632" s="408">
        <v>117.69170174996827</v>
      </c>
      <c r="BH632" s="408">
        <v>0</v>
      </c>
      <c r="BI632" s="408">
        <v>0</v>
      </c>
      <c r="BJ632" s="408">
        <v>0</v>
      </c>
      <c r="BK632" s="408">
        <v>0</v>
      </c>
      <c r="BL632" s="408">
        <v>0</v>
      </c>
      <c r="BM632" s="408"/>
      <c r="BN632" s="408">
        <v>302.64545999999996</v>
      </c>
      <c r="BO632" s="408"/>
      <c r="BP632" s="408"/>
      <c r="BQ632" s="408"/>
      <c r="BR632" s="408"/>
      <c r="BS632" s="408"/>
      <c r="BT632" s="408"/>
      <c r="BU632" s="408"/>
      <c r="BV632" s="408">
        <v>117.69170174996827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303.00239999999997</v>
      </c>
      <c r="CJ632" s="408">
        <v>-6.8462000000000103</v>
      </c>
      <c r="CK632" s="408"/>
      <c r="CL632" s="408"/>
      <c r="CM632" s="408"/>
      <c r="CN632" s="408"/>
      <c r="CO632" s="408">
        <v>-14.346280000000075</v>
      </c>
      <c r="CP632" s="408">
        <v>0</v>
      </c>
      <c r="CQ632" s="408">
        <v>31</v>
      </c>
      <c r="CR632" s="408">
        <v>-14.369356383372519</v>
      </c>
      <c r="CS632" s="408">
        <v>0</v>
      </c>
      <c r="CT632" s="408">
        <v>0</v>
      </c>
      <c r="CU632" s="408">
        <v>0</v>
      </c>
      <c r="CV632" s="408">
        <v>0</v>
      </c>
      <c r="CW632" s="408"/>
      <c r="CX632" s="408"/>
      <c r="CY632" s="408"/>
      <c r="CZ632" s="408">
        <v>0</v>
      </c>
      <c r="DA632" s="408">
        <v>0</v>
      </c>
      <c r="DB632" s="408">
        <v>0</v>
      </c>
      <c r="DC632" s="408"/>
      <c r="DD632" s="408"/>
      <c r="DE632" s="408">
        <v>0</v>
      </c>
      <c r="DF632" s="408">
        <v>0</v>
      </c>
      <c r="DG632" s="408">
        <v>-1.649974024076073E-8</v>
      </c>
      <c r="DH632" s="408">
        <v>0</v>
      </c>
      <c r="DI632" s="408">
        <v>-11.940252224270864</v>
      </c>
      <c r="DJ632" s="408"/>
      <c r="DK632" s="408">
        <v>0</v>
      </c>
      <c r="DL632" s="408">
        <v>0</v>
      </c>
      <c r="DM632" s="408"/>
      <c r="DN632" s="408">
        <v>0</v>
      </c>
      <c r="DO632" s="408">
        <v>-1.8329148132077933</v>
      </c>
      <c r="DP632" s="408">
        <v>-0.59618932939407898</v>
      </c>
      <c r="DQ632" s="408">
        <v>0</v>
      </c>
      <c r="DR632" s="408">
        <v>0</v>
      </c>
      <c r="DS632" s="408"/>
      <c r="DT632" s="408"/>
      <c r="DU632" s="408"/>
      <c r="DV632" s="408">
        <v>0</v>
      </c>
      <c r="DW632" s="408">
        <v>0</v>
      </c>
      <c r="DX632" s="408">
        <v>0</v>
      </c>
      <c r="DY632" s="408">
        <v>-14.346280000000093</v>
      </c>
      <c r="DZ632" s="408"/>
      <c r="EA632" s="408">
        <v>0</v>
      </c>
      <c r="EB632" s="408"/>
      <c r="EC632" s="408">
        <v>0</v>
      </c>
      <c r="ED632" s="408"/>
      <c r="EE632" s="408">
        <v>0</v>
      </c>
      <c r="EF632" s="408">
        <v>0</v>
      </c>
      <c r="EG632" s="408"/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/>
      <c r="EN632" s="408"/>
      <c r="EO632" s="408">
        <v>0</v>
      </c>
      <c r="EP632" s="408">
        <v>0</v>
      </c>
      <c r="EQ632" s="408"/>
      <c r="ER632" s="408">
        <v>0</v>
      </c>
      <c r="ES632" s="408"/>
      <c r="ET632" s="408">
        <v>0</v>
      </c>
      <c r="EU632" s="408"/>
      <c r="EV632" s="408">
        <v>265</v>
      </c>
      <c r="EW632" s="408"/>
      <c r="EX632" s="408"/>
      <c r="EY632" s="408"/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642</v>
      </c>
      <c r="B633" s="408" t="s">
        <v>1031</v>
      </c>
      <c r="C633" s="408" t="s">
        <v>2235</v>
      </c>
      <c r="D633" s="408" t="s">
        <v>596</v>
      </c>
      <c r="E633" s="408" t="s">
        <v>965</v>
      </c>
      <c r="F633" s="408" t="s">
        <v>1317</v>
      </c>
      <c r="G633" s="408" t="s">
        <v>2319</v>
      </c>
      <c r="H633" s="408" t="s">
        <v>1317</v>
      </c>
      <c r="I633" s="408" t="s">
        <v>1317</v>
      </c>
      <c r="J633" s="408" t="s">
        <v>2320</v>
      </c>
      <c r="K633" s="828">
        <v>44470</v>
      </c>
      <c r="L633" s="408">
        <v>600</v>
      </c>
      <c r="M633" s="408">
        <v>317.64</v>
      </c>
      <c r="N633" s="408">
        <v>0</v>
      </c>
      <c r="O633" s="408">
        <v>0</v>
      </c>
      <c r="P633" s="408">
        <v>0</v>
      </c>
      <c r="Q633" s="408">
        <v>0</v>
      </c>
      <c r="R633" s="408">
        <v>74.44</v>
      </c>
      <c r="S633" s="408"/>
      <c r="T633" s="408"/>
      <c r="U633" s="408">
        <v>44664</v>
      </c>
      <c r="V633" s="408"/>
      <c r="W633" s="408">
        <v>44664</v>
      </c>
      <c r="X633" s="408">
        <v>27252</v>
      </c>
      <c r="Y633" s="408">
        <v>0</v>
      </c>
      <c r="Z633" s="408">
        <v>0</v>
      </c>
      <c r="AA633" s="408">
        <v>0</v>
      </c>
      <c r="AB633" s="408">
        <v>0</v>
      </c>
      <c r="AC633" s="408">
        <v>0</v>
      </c>
      <c r="AD633" s="408">
        <v>16330.25551827108</v>
      </c>
      <c r="AE633" s="408">
        <v>28332.922760506921</v>
      </c>
      <c r="AF633" s="408"/>
      <c r="AG633" s="408"/>
      <c r="AH633" s="408"/>
      <c r="AI633" s="408">
        <v>0</v>
      </c>
      <c r="AJ633" s="408">
        <v>0</v>
      </c>
      <c r="AK633" s="408">
        <v>0</v>
      </c>
      <c r="AL633" s="408">
        <v>0</v>
      </c>
      <c r="AM633" s="408"/>
      <c r="AN633" s="408">
        <v>0</v>
      </c>
      <c r="AO633" s="408">
        <v>0</v>
      </c>
      <c r="AP633" s="408">
        <v>0</v>
      </c>
      <c r="AQ633" s="408">
        <v>0</v>
      </c>
      <c r="AR633" s="408">
        <v>0</v>
      </c>
      <c r="AS633" s="408"/>
      <c r="AT633" s="408"/>
      <c r="AU633" s="408">
        <v>0</v>
      </c>
      <c r="AV633" s="408">
        <v>0</v>
      </c>
      <c r="AW633" s="408">
        <v>0</v>
      </c>
      <c r="AX633" s="408"/>
      <c r="AY633" s="408"/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0</v>
      </c>
      <c r="BF633" s="408"/>
      <c r="BG633" s="408">
        <v>0</v>
      </c>
      <c r="BH633" s="408">
        <v>0</v>
      </c>
      <c r="BI633" s="408">
        <v>0</v>
      </c>
      <c r="BJ633" s="408">
        <v>0</v>
      </c>
      <c r="BK633" s="408">
        <v>-9871.4</v>
      </c>
      <c r="BL633" s="408">
        <v>1</v>
      </c>
      <c r="BM633" s="408"/>
      <c r="BN633" s="408">
        <v>12824.791200000001</v>
      </c>
      <c r="BO633" s="408"/>
      <c r="BP633" s="408"/>
      <c r="BQ633" s="408"/>
      <c r="BR633" s="408"/>
      <c r="BS633" s="408"/>
      <c r="BT633" s="408"/>
      <c r="BU633" s="408"/>
      <c r="BV633" s="408">
        <v>0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14427.2088</v>
      </c>
      <c r="CJ633" s="408">
        <v>-9217.9427999999934</v>
      </c>
      <c r="CK633" s="408"/>
      <c r="CL633" s="408"/>
      <c r="CM633" s="408"/>
      <c r="CN633" s="408"/>
      <c r="CO633" s="408">
        <v>-17411.999999999996</v>
      </c>
      <c r="CP633" s="408">
        <v>0</v>
      </c>
      <c r="CQ633" s="408">
        <v>31</v>
      </c>
      <c r="CR633" s="408">
        <v>-41.970194755860575</v>
      </c>
      <c r="CS633" s="408">
        <v>0</v>
      </c>
      <c r="CT633" s="408">
        <v>0</v>
      </c>
      <c r="CU633" s="408">
        <v>0</v>
      </c>
      <c r="CV633" s="408">
        <v>0</v>
      </c>
      <c r="CW633" s="408"/>
      <c r="CX633" s="408"/>
      <c r="CY633" s="408"/>
      <c r="CZ633" s="408">
        <v>-41.970194755860575</v>
      </c>
      <c r="DA633" s="408">
        <v>0</v>
      </c>
      <c r="DB633" s="408">
        <v>0</v>
      </c>
      <c r="DC633" s="408"/>
      <c r="DD633" s="408"/>
      <c r="DE633" s="408">
        <v>0</v>
      </c>
      <c r="DF633" s="408">
        <v>0</v>
      </c>
      <c r="DG633" s="408">
        <v>0</v>
      </c>
      <c r="DH633" s="408">
        <v>0</v>
      </c>
      <c r="DI633" s="408">
        <v>0</v>
      </c>
      <c r="DJ633" s="408"/>
      <c r="DK633" s="408">
        <v>0</v>
      </c>
      <c r="DL633" s="408">
        <v>0</v>
      </c>
      <c r="DM633" s="408"/>
      <c r="DN633" s="408">
        <v>0</v>
      </c>
      <c r="DO633" s="408">
        <v>0</v>
      </c>
      <c r="DP633" s="408">
        <v>0</v>
      </c>
      <c r="DQ633" s="408">
        <v>0</v>
      </c>
      <c r="DR633" s="408">
        <v>0</v>
      </c>
      <c r="DS633" s="408"/>
      <c r="DT633" s="408"/>
      <c r="DU633" s="408">
        <v>28332.922760506921</v>
      </c>
      <c r="DV633" s="408"/>
      <c r="DW633" s="408">
        <v>0</v>
      </c>
      <c r="DX633" s="408">
        <v>0</v>
      </c>
      <c r="DY633" s="408">
        <v>-17412</v>
      </c>
      <c r="DZ633" s="408"/>
      <c r="EA633" s="408">
        <v>0</v>
      </c>
      <c r="EB633" s="408"/>
      <c r="EC633" s="408">
        <v>-17372.193377360702</v>
      </c>
      <c r="ED633" s="408"/>
      <c r="EE633" s="408">
        <v>0</v>
      </c>
      <c r="EF633" s="408">
        <v>0</v>
      </c>
      <c r="EG633" s="408"/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/>
      <c r="EN633" s="408"/>
      <c r="EO633" s="408">
        <v>0</v>
      </c>
      <c r="EP633" s="408">
        <v>0</v>
      </c>
      <c r="EQ633" s="408"/>
      <c r="ER633" s="408">
        <v>0</v>
      </c>
      <c r="ES633" s="408"/>
      <c r="ET633" s="408">
        <v>0</v>
      </c>
      <c r="EU633" s="408"/>
      <c r="EV633" s="408">
        <v>265</v>
      </c>
      <c r="EW633" s="408"/>
      <c r="EX633" s="408"/>
      <c r="EY633" s="408"/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643</v>
      </c>
      <c r="B634" s="408" t="s">
        <v>1031</v>
      </c>
      <c r="C634" s="408" t="s">
        <v>2235</v>
      </c>
      <c r="D634" s="408" t="s">
        <v>596</v>
      </c>
      <c r="E634" s="408" t="s">
        <v>965</v>
      </c>
      <c r="F634" s="408" t="s">
        <v>1317</v>
      </c>
      <c r="G634" s="408" t="s">
        <v>2319</v>
      </c>
      <c r="H634" s="408" t="s">
        <v>1317</v>
      </c>
      <c r="I634" s="408" t="s">
        <v>968</v>
      </c>
      <c r="J634" s="408" t="s">
        <v>2320</v>
      </c>
      <c r="K634" s="828">
        <v>44501</v>
      </c>
      <c r="L634" s="408">
        <v>0</v>
      </c>
      <c r="M634" s="408">
        <v>0</v>
      </c>
      <c r="N634" s="408">
        <v>0.63800000000000001</v>
      </c>
      <c r="O634" s="408">
        <v>0.63800000000000001</v>
      </c>
      <c r="P634" s="408">
        <v>0</v>
      </c>
      <c r="Q634" s="408">
        <v>0</v>
      </c>
      <c r="R634" s="408"/>
      <c r="S634" s="408">
        <v>2641.06</v>
      </c>
      <c r="T634" s="408"/>
      <c r="U634" s="408"/>
      <c r="V634" s="408">
        <v>1684.9962800000001</v>
      </c>
      <c r="W634" s="408">
        <v>1684.9962800000001</v>
      </c>
      <c r="X634" s="408">
        <v>934.74655999999993</v>
      </c>
      <c r="Y634" s="408">
        <v>0</v>
      </c>
      <c r="Z634" s="408">
        <v>34.332213115387788</v>
      </c>
      <c r="AA634" s="408">
        <v>0</v>
      </c>
      <c r="AB634" s="408">
        <v>0</v>
      </c>
      <c r="AC634" s="408">
        <v>0</v>
      </c>
      <c r="AD634" s="408">
        <v>413.27533996403321</v>
      </c>
      <c r="AE634" s="408">
        <v>1219.9136373667532</v>
      </c>
      <c r="AF634" s="408"/>
      <c r="AG634" s="408"/>
      <c r="AH634" s="408"/>
      <c r="AI634" s="408">
        <v>0</v>
      </c>
      <c r="AJ634" s="408">
        <v>0</v>
      </c>
      <c r="AK634" s="408">
        <v>0</v>
      </c>
      <c r="AL634" s="408">
        <v>6.099936619391535</v>
      </c>
      <c r="AM634" s="408"/>
      <c r="AN634" s="408">
        <v>1.5349681158136501</v>
      </c>
      <c r="AO634" s="408">
        <v>0</v>
      </c>
      <c r="AP634" s="408">
        <v>0</v>
      </c>
      <c r="AQ634" s="408">
        <v>0</v>
      </c>
      <c r="AR634" s="408">
        <v>0</v>
      </c>
      <c r="AS634" s="408"/>
      <c r="AT634" s="408"/>
      <c r="AU634" s="408">
        <v>0</v>
      </c>
      <c r="AV634" s="408">
        <v>0</v>
      </c>
      <c r="AW634" s="408">
        <v>0</v>
      </c>
      <c r="AX634" s="408"/>
      <c r="AY634" s="408"/>
      <c r="AZ634" s="408">
        <v>0</v>
      </c>
      <c r="BA634" s="408"/>
      <c r="BB634" s="408">
        <v>0</v>
      </c>
      <c r="BC634" s="408">
        <v>0</v>
      </c>
      <c r="BD634" s="408">
        <v>0</v>
      </c>
      <c r="BE634" s="408">
        <v>0</v>
      </c>
      <c r="BF634" s="408"/>
      <c r="BG634" s="408">
        <v>9.8397727318149339</v>
      </c>
      <c r="BH634" s="408">
        <v>0</v>
      </c>
      <c r="BI634" s="408">
        <v>0</v>
      </c>
      <c r="BJ634" s="408">
        <v>0</v>
      </c>
      <c r="BK634" s="408">
        <v>0</v>
      </c>
      <c r="BL634" s="408">
        <v>0</v>
      </c>
      <c r="BM634" s="408"/>
      <c r="BN634" s="408"/>
      <c r="BO634" s="408"/>
      <c r="BP634" s="408"/>
      <c r="BQ634" s="408"/>
      <c r="BR634" s="408"/>
      <c r="BS634" s="408"/>
      <c r="BT634" s="408"/>
      <c r="BU634" s="408"/>
      <c r="BV634" s="408">
        <v>9.8397727318149339</v>
      </c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>
        <v>937.67679999999996</v>
      </c>
      <c r="CJ634" s="408">
        <v>-747.34948000000009</v>
      </c>
      <c r="CK634" s="408"/>
      <c r="CL634" s="408"/>
      <c r="CM634" s="408"/>
      <c r="CN634" s="408"/>
      <c r="CO634" s="408">
        <v>-750.24972000000002</v>
      </c>
      <c r="CP634" s="408">
        <v>0</v>
      </c>
      <c r="CQ634" s="408">
        <v>30</v>
      </c>
      <c r="CR634" s="408">
        <v>-2.2635233495470288</v>
      </c>
      <c r="CS634" s="408">
        <v>0</v>
      </c>
      <c r="CT634" s="408">
        <v>0</v>
      </c>
      <c r="CU634" s="408">
        <v>0</v>
      </c>
      <c r="CV634" s="408">
        <v>0</v>
      </c>
      <c r="CW634" s="408"/>
      <c r="CX634" s="408"/>
      <c r="CY634" s="408"/>
      <c r="CZ634" s="408">
        <v>-1.0621540175339987</v>
      </c>
      <c r="DA634" s="408">
        <v>0</v>
      </c>
      <c r="DB634" s="408">
        <v>0</v>
      </c>
      <c r="DC634" s="408"/>
      <c r="DD634" s="408"/>
      <c r="DE634" s="408">
        <v>0</v>
      </c>
      <c r="DF634" s="408">
        <v>0</v>
      </c>
      <c r="DG634" s="408">
        <v>-1.3794831943414465E-9</v>
      </c>
      <c r="DH634" s="408">
        <v>0</v>
      </c>
      <c r="DI634" s="408">
        <v>-0.99828081759727638</v>
      </c>
      <c r="DJ634" s="408"/>
      <c r="DK634" s="408">
        <v>0</v>
      </c>
      <c r="DL634" s="408">
        <v>0</v>
      </c>
      <c r="DM634" s="408"/>
      <c r="DN634" s="408">
        <v>0</v>
      </c>
      <c r="DO634" s="408">
        <v>-0.15324330373824857</v>
      </c>
      <c r="DP634" s="408">
        <v>-4.9845209298050586E-2</v>
      </c>
      <c r="DQ634" s="408">
        <v>0</v>
      </c>
      <c r="DR634" s="408">
        <v>0</v>
      </c>
      <c r="DS634" s="408"/>
      <c r="DT634" s="408"/>
      <c r="DU634" s="408"/>
      <c r="DV634" s="408">
        <v>1219.9136373667532</v>
      </c>
      <c r="DW634" s="408">
        <v>0</v>
      </c>
      <c r="DX634" s="408">
        <v>0</v>
      </c>
      <c r="DY634" s="408">
        <v>-750.24972000000014</v>
      </c>
      <c r="DZ634" s="408"/>
      <c r="EA634" s="408">
        <v>0</v>
      </c>
      <c r="EB634" s="408"/>
      <c r="EC634" s="408">
        <v>-747.9840957867882</v>
      </c>
      <c r="ED634" s="408"/>
      <c r="EE634" s="408">
        <v>0</v>
      </c>
      <c r="EF634" s="408">
        <v>0</v>
      </c>
      <c r="EG634" s="408"/>
      <c r="EH634" s="408">
        <v>0</v>
      </c>
      <c r="EI634" s="408">
        <v>0</v>
      </c>
      <c r="EJ634" s="408">
        <v>0</v>
      </c>
      <c r="EK634" s="408">
        <v>0</v>
      </c>
      <c r="EL634" s="408">
        <v>0</v>
      </c>
      <c r="EM634" s="408"/>
      <c r="EN634" s="408"/>
      <c r="EO634" s="408">
        <v>0</v>
      </c>
      <c r="EP634" s="408">
        <v>0</v>
      </c>
      <c r="EQ634" s="408"/>
      <c r="ER634" s="408">
        <v>0</v>
      </c>
      <c r="ES634" s="408"/>
      <c r="ET634" s="408">
        <v>0</v>
      </c>
      <c r="EU634" s="408"/>
      <c r="EV634" s="408">
        <v>265</v>
      </c>
      <c r="EW634" s="408"/>
      <c r="EX634" s="408"/>
      <c r="EY634" s="408"/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644</v>
      </c>
      <c r="B635" s="408" t="s">
        <v>1031</v>
      </c>
      <c r="C635" s="408" t="s">
        <v>2235</v>
      </c>
      <c r="D635" s="408" t="s">
        <v>596</v>
      </c>
      <c r="E635" s="408" t="s">
        <v>965</v>
      </c>
      <c r="F635" s="408" t="s">
        <v>1317</v>
      </c>
      <c r="G635" s="408" t="s">
        <v>2319</v>
      </c>
      <c r="H635" s="408" t="s">
        <v>1317</v>
      </c>
      <c r="I635" s="408" t="s">
        <v>2236</v>
      </c>
      <c r="J635" s="408" t="s">
        <v>2320</v>
      </c>
      <c r="K635" s="828">
        <v>44501</v>
      </c>
      <c r="L635" s="408">
        <v>0</v>
      </c>
      <c r="M635" s="408">
        <v>0</v>
      </c>
      <c r="N635" s="408">
        <v>10.301</v>
      </c>
      <c r="O635" s="408">
        <v>10.301</v>
      </c>
      <c r="P635" s="408">
        <v>0</v>
      </c>
      <c r="Q635" s="408">
        <v>0</v>
      </c>
      <c r="R635" s="408"/>
      <c r="S635" s="408">
        <v>81.2</v>
      </c>
      <c r="T635" s="408"/>
      <c r="U635" s="408"/>
      <c r="V635" s="408">
        <v>836.44120000000009</v>
      </c>
      <c r="W635" s="408">
        <v>836.44120000000009</v>
      </c>
      <c r="X635" s="408">
        <v>817.07531999999992</v>
      </c>
      <c r="Y635" s="408">
        <v>0</v>
      </c>
      <c r="Z635" s="408">
        <v>554.31994874860436</v>
      </c>
      <c r="AA635" s="408">
        <v>0</v>
      </c>
      <c r="AB635" s="408">
        <v>0</v>
      </c>
      <c r="AC635" s="408">
        <v>0</v>
      </c>
      <c r="AD635" s="408">
        <v>0</v>
      </c>
      <c r="AE635" s="408">
        <v>0</v>
      </c>
      <c r="AF635" s="408"/>
      <c r="AG635" s="408"/>
      <c r="AH635" s="408"/>
      <c r="AI635" s="408">
        <v>0</v>
      </c>
      <c r="AJ635" s="408">
        <v>0</v>
      </c>
      <c r="AK635" s="408">
        <v>0</v>
      </c>
      <c r="AL635" s="408">
        <v>98.488161624376488</v>
      </c>
      <c r="AM635" s="408"/>
      <c r="AN635" s="408">
        <v>24.783239123818824</v>
      </c>
      <c r="AO635" s="408">
        <v>0</v>
      </c>
      <c r="AP635" s="408">
        <v>0</v>
      </c>
      <c r="AQ635" s="408">
        <v>0</v>
      </c>
      <c r="AR635" s="408">
        <v>0</v>
      </c>
      <c r="AS635" s="408"/>
      <c r="AT635" s="408"/>
      <c r="AU635" s="408">
        <v>0</v>
      </c>
      <c r="AV635" s="408">
        <v>0</v>
      </c>
      <c r="AW635" s="408">
        <v>0</v>
      </c>
      <c r="AX635" s="408"/>
      <c r="AY635" s="408"/>
      <c r="AZ635" s="408">
        <v>0</v>
      </c>
      <c r="BA635" s="408"/>
      <c r="BB635" s="408">
        <v>0</v>
      </c>
      <c r="BC635" s="408">
        <v>0</v>
      </c>
      <c r="BD635" s="408">
        <v>0</v>
      </c>
      <c r="BE635" s="408">
        <v>0</v>
      </c>
      <c r="BF635" s="408"/>
      <c r="BG635" s="408">
        <v>158.87068794737559</v>
      </c>
      <c r="BH635" s="408">
        <v>0</v>
      </c>
      <c r="BI635" s="408">
        <v>0</v>
      </c>
      <c r="BJ635" s="408">
        <v>0</v>
      </c>
      <c r="BK635" s="408">
        <v>0</v>
      </c>
      <c r="BL635" s="408">
        <v>0</v>
      </c>
      <c r="BM635" s="408"/>
      <c r="BN635" s="408"/>
      <c r="BO635" s="408"/>
      <c r="BP635" s="408"/>
      <c r="BQ635" s="408"/>
      <c r="BR635" s="408"/>
      <c r="BS635" s="408"/>
      <c r="BT635" s="408"/>
      <c r="BU635" s="408"/>
      <c r="BV635" s="408">
        <v>158.87068794737559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816.99599999999998</v>
      </c>
      <c r="CJ635" s="408">
        <v>-19.475200000000086</v>
      </c>
      <c r="CK635" s="408"/>
      <c r="CL635" s="408"/>
      <c r="CM635" s="408"/>
      <c r="CN635" s="408"/>
      <c r="CO635" s="408">
        <v>-19.3658800000001</v>
      </c>
      <c r="CP635" s="408">
        <v>0</v>
      </c>
      <c r="CQ635" s="408">
        <v>30</v>
      </c>
      <c r="CR635" s="408">
        <v>-19.397030547126292</v>
      </c>
      <c r="CS635" s="408">
        <v>0</v>
      </c>
      <c r="CT635" s="408">
        <v>0</v>
      </c>
      <c r="CU635" s="408">
        <v>0</v>
      </c>
      <c r="CV635" s="408">
        <v>0</v>
      </c>
      <c r="CW635" s="408"/>
      <c r="CX635" s="408"/>
      <c r="CY635" s="408"/>
      <c r="CZ635" s="408">
        <v>0</v>
      </c>
      <c r="DA635" s="408">
        <v>0</v>
      </c>
      <c r="DB635" s="408">
        <v>0</v>
      </c>
      <c r="DC635" s="408"/>
      <c r="DD635" s="408"/>
      <c r="DE635" s="408">
        <v>0</v>
      </c>
      <c r="DF635" s="408">
        <v>0</v>
      </c>
      <c r="DG635" s="408">
        <v>-2.2272814703683252E-8</v>
      </c>
      <c r="DH635" s="408">
        <v>0</v>
      </c>
      <c r="DI635" s="408">
        <v>-16.118010504811195</v>
      </c>
      <c r="DJ635" s="408"/>
      <c r="DK635" s="408">
        <v>0</v>
      </c>
      <c r="DL635" s="408">
        <v>0</v>
      </c>
      <c r="DM635" s="408"/>
      <c r="DN635" s="408">
        <v>0</v>
      </c>
      <c r="DO635" s="408">
        <v>-2.4742308335543868</v>
      </c>
      <c r="DP635" s="408">
        <v>-0.80478918648780606</v>
      </c>
      <c r="DQ635" s="408">
        <v>0</v>
      </c>
      <c r="DR635" s="408">
        <v>0</v>
      </c>
      <c r="DS635" s="408"/>
      <c r="DT635" s="408"/>
      <c r="DU635" s="408"/>
      <c r="DV635" s="408">
        <v>0</v>
      </c>
      <c r="DW635" s="408">
        <v>0</v>
      </c>
      <c r="DX635" s="408">
        <v>0</v>
      </c>
      <c r="DY635" s="408">
        <v>-19.365880000000175</v>
      </c>
      <c r="DZ635" s="408"/>
      <c r="EA635" s="408">
        <v>0</v>
      </c>
      <c r="EB635" s="408"/>
      <c r="EC635" s="408">
        <v>0</v>
      </c>
      <c r="ED635" s="408"/>
      <c r="EE635" s="408">
        <v>0</v>
      </c>
      <c r="EF635" s="408">
        <v>0</v>
      </c>
      <c r="EG635" s="408"/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/>
      <c r="EN635" s="408"/>
      <c r="EO635" s="408">
        <v>0</v>
      </c>
      <c r="EP635" s="408">
        <v>0</v>
      </c>
      <c r="EQ635" s="408"/>
      <c r="ER635" s="408">
        <v>0</v>
      </c>
      <c r="ES635" s="408"/>
      <c r="ET635" s="408">
        <v>0</v>
      </c>
      <c r="EU635" s="408"/>
      <c r="EV635" s="408">
        <v>265</v>
      </c>
      <c r="EW635" s="408"/>
      <c r="EX635" s="408"/>
      <c r="EY635" s="408"/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645</v>
      </c>
      <c r="B636" s="408" t="s">
        <v>1031</v>
      </c>
      <c r="C636" s="408" t="s">
        <v>2235</v>
      </c>
      <c r="D636" s="408" t="s">
        <v>596</v>
      </c>
      <c r="E636" s="408" t="s">
        <v>965</v>
      </c>
      <c r="F636" s="408" t="s">
        <v>1317</v>
      </c>
      <c r="G636" s="408" t="s">
        <v>2319</v>
      </c>
      <c r="H636" s="408" t="s">
        <v>1317</v>
      </c>
      <c r="I636" s="408" t="s">
        <v>1317</v>
      </c>
      <c r="J636" s="408" t="s">
        <v>2320</v>
      </c>
      <c r="K636" s="828">
        <v>44501</v>
      </c>
      <c r="L636" s="408">
        <v>600</v>
      </c>
      <c r="M636" s="408">
        <v>209.04</v>
      </c>
      <c r="N636" s="408">
        <v>0</v>
      </c>
      <c r="O636" s="408">
        <v>0</v>
      </c>
      <c r="P636" s="408">
        <v>0</v>
      </c>
      <c r="Q636" s="408">
        <v>0</v>
      </c>
      <c r="R636" s="408">
        <v>74.44</v>
      </c>
      <c r="S636" s="408"/>
      <c r="T636" s="408"/>
      <c r="U636" s="408">
        <v>44664</v>
      </c>
      <c r="V636" s="408"/>
      <c r="W636" s="408">
        <v>44664</v>
      </c>
      <c r="X636" s="408">
        <v>27252</v>
      </c>
      <c r="Y636" s="408">
        <v>0</v>
      </c>
      <c r="Z636" s="408">
        <v>0</v>
      </c>
      <c r="AA636" s="408">
        <v>0</v>
      </c>
      <c r="AB636" s="408">
        <v>0</v>
      </c>
      <c r="AC636" s="408">
        <v>0</v>
      </c>
      <c r="AD636" s="408">
        <v>16330.25551827108</v>
      </c>
      <c r="AE636" s="408">
        <v>28332.922760506921</v>
      </c>
      <c r="AF636" s="408"/>
      <c r="AG636" s="408"/>
      <c r="AH636" s="408"/>
      <c r="AI636" s="408">
        <v>0</v>
      </c>
      <c r="AJ636" s="408">
        <v>0</v>
      </c>
      <c r="AK636" s="408">
        <v>0</v>
      </c>
      <c r="AL636" s="408">
        <v>0</v>
      </c>
      <c r="AM636" s="408"/>
      <c r="AN636" s="408">
        <v>0</v>
      </c>
      <c r="AO636" s="408">
        <v>0</v>
      </c>
      <c r="AP636" s="408">
        <v>0</v>
      </c>
      <c r="AQ636" s="408">
        <v>0</v>
      </c>
      <c r="AR636" s="408">
        <v>0</v>
      </c>
      <c r="AS636" s="408"/>
      <c r="AT636" s="408"/>
      <c r="AU636" s="408">
        <v>0</v>
      </c>
      <c r="AV636" s="408">
        <v>0</v>
      </c>
      <c r="AW636" s="408">
        <v>0</v>
      </c>
      <c r="AX636" s="408"/>
      <c r="AY636" s="408"/>
      <c r="AZ636" s="408">
        <v>0</v>
      </c>
      <c r="BA636" s="408"/>
      <c r="BB636" s="408">
        <v>0</v>
      </c>
      <c r="BC636" s="408">
        <v>0</v>
      </c>
      <c r="BD636" s="408">
        <v>0</v>
      </c>
      <c r="BE636" s="408">
        <v>0</v>
      </c>
      <c r="BF636" s="408"/>
      <c r="BG636" s="408">
        <v>0</v>
      </c>
      <c r="BH636" s="408">
        <v>0</v>
      </c>
      <c r="BI636" s="408">
        <v>0</v>
      </c>
      <c r="BJ636" s="408">
        <v>0</v>
      </c>
      <c r="BK636" s="408">
        <v>1876.29</v>
      </c>
      <c r="BL636" s="408">
        <v>1</v>
      </c>
      <c r="BM636" s="408"/>
      <c r="BN636" s="408">
        <v>17757.403200000001</v>
      </c>
      <c r="BO636" s="408"/>
      <c r="BP636" s="408"/>
      <c r="BQ636" s="408"/>
      <c r="BR636" s="408"/>
      <c r="BS636" s="408"/>
      <c r="BT636" s="408"/>
      <c r="BU636" s="408"/>
      <c r="BV636" s="408">
        <v>0</v>
      </c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>
        <v>9494.5967999999993</v>
      </c>
      <c r="CJ636" s="408">
        <v>-6066.3708000000006</v>
      </c>
      <c r="CK636" s="408"/>
      <c r="CL636" s="408"/>
      <c r="CM636" s="408"/>
      <c r="CN636" s="408"/>
      <c r="CO636" s="408">
        <v>-17411.999999999996</v>
      </c>
      <c r="CP636" s="408">
        <v>0</v>
      </c>
      <c r="CQ636" s="408">
        <v>30</v>
      </c>
      <c r="CR636" s="408">
        <v>-41.970194755860575</v>
      </c>
      <c r="CS636" s="408">
        <v>0</v>
      </c>
      <c r="CT636" s="408">
        <v>0</v>
      </c>
      <c r="CU636" s="408">
        <v>0</v>
      </c>
      <c r="CV636" s="408">
        <v>0</v>
      </c>
      <c r="CW636" s="408"/>
      <c r="CX636" s="408"/>
      <c r="CY636" s="408"/>
      <c r="CZ636" s="408">
        <v>-41.970194755860575</v>
      </c>
      <c r="DA636" s="408">
        <v>0</v>
      </c>
      <c r="DB636" s="408">
        <v>0</v>
      </c>
      <c r="DC636" s="408"/>
      <c r="DD636" s="408"/>
      <c r="DE636" s="408">
        <v>0</v>
      </c>
      <c r="DF636" s="408">
        <v>0</v>
      </c>
      <c r="DG636" s="408">
        <v>0</v>
      </c>
      <c r="DH636" s="408">
        <v>0</v>
      </c>
      <c r="DI636" s="408">
        <v>0</v>
      </c>
      <c r="DJ636" s="408"/>
      <c r="DK636" s="408">
        <v>0</v>
      </c>
      <c r="DL636" s="408">
        <v>0</v>
      </c>
      <c r="DM636" s="408"/>
      <c r="DN636" s="408">
        <v>0</v>
      </c>
      <c r="DO636" s="408">
        <v>0</v>
      </c>
      <c r="DP636" s="408">
        <v>0</v>
      </c>
      <c r="DQ636" s="408">
        <v>0</v>
      </c>
      <c r="DR636" s="408">
        <v>0</v>
      </c>
      <c r="DS636" s="408"/>
      <c r="DT636" s="408"/>
      <c r="DU636" s="408">
        <v>28332.922760506921</v>
      </c>
      <c r="DV636" s="408"/>
      <c r="DW636" s="408">
        <v>0</v>
      </c>
      <c r="DX636" s="408">
        <v>0</v>
      </c>
      <c r="DY636" s="408">
        <v>-17412</v>
      </c>
      <c r="DZ636" s="408"/>
      <c r="EA636" s="408">
        <v>0</v>
      </c>
      <c r="EB636" s="408"/>
      <c r="EC636" s="408">
        <v>-17372.193377360702</v>
      </c>
      <c r="ED636" s="408"/>
      <c r="EE636" s="408">
        <v>0</v>
      </c>
      <c r="EF636" s="408">
        <v>0</v>
      </c>
      <c r="EG636" s="408"/>
      <c r="EH636" s="408">
        <v>0</v>
      </c>
      <c r="EI636" s="408">
        <v>0</v>
      </c>
      <c r="EJ636" s="408">
        <v>0</v>
      </c>
      <c r="EK636" s="408">
        <v>0</v>
      </c>
      <c r="EL636" s="408">
        <v>0</v>
      </c>
      <c r="EM636" s="408"/>
      <c r="EN636" s="408"/>
      <c r="EO636" s="408">
        <v>0</v>
      </c>
      <c r="EP636" s="408">
        <v>0</v>
      </c>
      <c r="EQ636" s="408"/>
      <c r="ER636" s="408">
        <v>0</v>
      </c>
      <c r="ES636" s="408"/>
      <c r="ET636" s="408">
        <v>0</v>
      </c>
      <c r="EU636" s="408"/>
      <c r="EV636" s="408">
        <v>265</v>
      </c>
      <c r="EW636" s="408"/>
      <c r="EX636" s="408"/>
      <c r="EY636" s="408"/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646</v>
      </c>
      <c r="B637" s="408" t="s">
        <v>1031</v>
      </c>
      <c r="C637" s="408" t="s">
        <v>2235</v>
      </c>
      <c r="D637" s="408" t="s">
        <v>596</v>
      </c>
      <c r="E637" s="408" t="s">
        <v>965</v>
      </c>
      <c r="F637" s="408" t="s">
        <v>1317</v>
      </c>
      <c r="G637" s="408" t="s">
        <v>2319</v>
      </c>
      <c r="H637" s="408" t="s">
        <v>1317</v>
      </c>
      <c r="I637" s="408" t="s">
        <v>968</v>
      </c>
      <c r="J637" s="408" t="s">
        <v>2320</v>
      </c>
      <c r="K637" s="828">
        <v>44531</v>
      </c>
      <c r="L637" s="408">
        <v>0</v>
      </c>
      <c r="M637" s="408">
        <v>0</v>
      </c>
      <c r="N637" s="408">
        <v>0.81</v>
      </c>
      <c r="O637" s="408">
        <v>0.81</v>
      </c>
      <c r="P637" s="408">
        <v>0</v>
      </c>
      <c r="Q637" s="408">
        <v>0</v>
      </c>
      <c r="R637" s="408"/>
      <c r="S637" s="408">
        <v>2641.06</v>
      </c>
      <c r="T637" s="408"/>
      <c r="U637" s="408"/>
      <c r="V637" s="408">
        <v>2139.2586000000001</v>
      </c>
      <c r="W637" s="408">
        <v>2139.2586000000001</v>
      </c>
      <c r="X637" s="408">
        <v>1186.7472</v>
      </c>
      <c r="Y637" s="408">
        <v>0</v>
      </c>
      <c r="Z637" s="408">
        <v>43.58791947251428</v>
      </c>
      <c r="AA637" s="408">
        <v>0</v>
      </c>
      <c r="AB637" s="408">
        <v>0</v>
      </c>
      <c r="AC637" s="408">
        <v>0</v>
      </c>
      <c r="AD637" s="408">
        <v>524.69126233678196</v>
      </c>
      <c r="AE637" s="408">
        <v>1548.7931759671944</v>
      </c>
      <c r="AF637" s="408"/>
      <c r="AG637" s="408"/>
      <c r="AH637" s="408"/>
      <c r="AI637" s="408">
        <v>0</v>
      </c>
      <c r="AJ637" s="408">
        <v>0</v>
      </c>
      <c r="AK637" s="408">
        <v>0</v>
      </c>
      <c r="AL637" s="408">
        <v>7.7444336390394097</v>
      </c>
      <c r="AM637" s="408"/>
      <c r="AN637" s="408">
        <v>1.9487839714875494</v>
      </c>
      <c r="AO637" s="408">
        <v>0</v>
      </c>
      <c r="AP637" s="408">
        <v>0</v>
      </c>
      <c r="AQ637" s="408">
        <v>0</v>
      </c>
      <c r="AR637" s="408">
        <v>0</v>
      </c>
      <c r="AS637" s="408"/>
      <c r="AT637" s="408"/>
      <c r="AU637" s="408">
        <v>0</v>
      </c>
      <c r="AV637" s="408">
        <v>0</v>
      </c>
      <c r="AW637" s="408">
        <v>0</v>
      </c>
      <c r="AX637" s="408"/>
      <c r="AY637" s="408"/>
      <c r="AZ637" s="408">
        <v>0</v>
      </c>
      <c r="BA637" s="408"/>
      <c r="BB637" s="408">
        <v>0</v>
      </c>
      <c r="BC637" s="408">
        <v>0</v>
      </c>
      <c r="BD637" s="408">
        <v>0</v>
      </c>
      <c r="BE637" s="408">
        <v>0</v>
      </c>
      <c r="BF637" s="408"/>
      <c r="BG637" s="408">
        <v>12.492501430674134</v>
      </c>
      <c r="BH637" s="408">
        <v>0</v>
      </c>
      <c r="BI637" s="408">
        <v>0</v>
      </c>
      <c r="BJ637" s="408">
        <v>0</v>
      </c>
      <c r="BK637" s="408">
        <v>0</v>
      </c>
      <c r="BL637" s="408">
        <v>0</v>
      </c>
      <c r="BM637" s="408"/>
      <c r="BN637" s="408"/>
      <c r="BO637" s="408"/>
      <c r="BP637" s="408"/>
      <c r="BQ637" s="408"/>
      <c r="BR637" s="408"/>
      <c r="BS637" s="408"/>
      <c r="BT637" s="408"/>
      <c r="BU637" s="408"/>
      <c r="BV637" s="408">
        <v>12.492501430674134</v>
      </c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>
        <v>1186.7472</v>
      </c>
      <c r="CJ637" s="408">
        <v>-952.54140000000075</v>
      </c>
      <c r="CK637" s="408"/>
      <c r="CL637" s="408"/>
      <c r="CM637" s="408"/>
      <c r="CN637" s="408"/>
      <c r="CO637" s="408">
        <v>-952.51140000000009</v>
      </c>
      <c r="CP637" s="408">
        <v>0</v>
      </c>
      <c r="CQ637" s="408"/>
      <c r="CR637" s="408">
        <v>-2.8737522149419874</v>
      </c>
      <c r="CS637" s="408">
        <v>0</v>
      </c>
      <c r="CT637" s="408">
        <v>0</v>
      </c>
      <c r="CU637" s="408">
        <v>0</v>
      </c>
      <c r="CV637" s="408">
        <v>0</v>
      </c>
      <c r="CW637" s="408"/>
      <c r="CX637" s="408"/>
      <c r="CY637" s="408"/>
      <c r="CZ637" s="408">
        <v>-1.3485027495337363</v>
      </c>
      <c r="DA637" s="408">
        <v>0</v>
      </c>
      <c r="DB637" s="408">
        <v>0</v>
      </c>
      <c r="DC637" s="408"/>
      <c r="DD637" s="408"/>
      <c r="DE637" s="408">
        <v>0</v>
      </c>
      <c r="DF637" s="408">
        <v>0</v>
      </c>
      <c r="DG637" s="408">
        <v>-1.7513830385951223E-9</v>
      </c>
      <c r="DH637" s="408">
        <v>0</v>
      </c>
      <c r="DI637" s="408">
        <v>-1.2674098154448217</v>
      </c>
      <c r="DJ637" s="408"/>
      <c r="DK637" s="408">
        <v>0</v>
      </c>
      <c r="DL637" s="408">
        <v>0</v>
      </c>
      <c r="DM637" s="408"/>
      <c r="DN637" s="408">
        <v>0</v>
      </c>
      <c r="DO637" s="408">
        <v>-0.19455654549840329</v>
      </c>
      <c r="DP637" s="408">
        <v>-6.3283102713825867E-2</v>
      </c>
      <c r="DQ637" s="408">
        <v>0</v>
      </c>
      <c r="DR637" s="408">
        <v>0</v>
      </c>
      <c r="DS637" s="408"/>
      <c r="DT637" s="408"/>
      <c r="DU637" s="408"/>
      <c r="DV637" s="408">
        <v>1548.7931759671944</v>
      </c>
      <c r="DW637" s="408">
        <v>0</v>
      </c>
      <c r="DX637" s="408">
        <v>0</v>
      </c>
      <c r="DY637" s="408">
        <v>-952.51140000000009</v>
      </c>
      <c r="DZ637" s="408"/>
      <c r="EA637" s="408">
        <v>0</v>
      </c>
      <c r="EB637" s="408"/>
      <c r="EC637" s="408">
        <v>-949.6349805443549</v>
      </c>
      <c r="ED637" s="408"/>
      <c r="EE637" s="408">
        <v>0</v>
      </c>
      <c r="EF637" s="408">
        <v>0</v>
      </c>
      <c r="EG637" s="408"/>
      <c r="EH637" s="408">
        <v>0</v>
      </c>
      <c r="EI637" s="408">
        <v>0</v>
      </c>
      <c r="EJ637" s="408">
        <v>0</v>
      </c>
      <c r="EK637" s="408">
        <v>0</v>
      </c>
      <c r="EL637" s="408">
        <v>0</v>
      </c>
      <c r="EM637" s="408"/>
      <c r="EN637" s="408"/>
      <c r="EO637" s="408">
        <v>0</v>
      </c>
      <c r="EP637" s="408">
        <v>0</v>
      </c>
      <c r="EQ637" s="408"/>
      <c r="ER637" s="408">
        <v>0</v>
      </c>
      <c r="ES637" s="408"/>
      <c r="ET637" s="408">
        <v>0</v>
      </c>
      <c r="EU637" s="408"/>
      <c r="EV637" s="408">
        <v>265</v>
      </c>
      <c r="EW637" s="408"/>
      <c r="EX637" s="408"/>
      <c r="EY637" s="408"/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647</v>
      </c>
      <c r="B638" s="408" t="s">
        <v>1031</v>
      </c>
      <c r="C638" s="408" t="s">
        <v>2235</v>
      </c>
      <c r="D638" s="408" t="s">
        <v>596</v>
      </c>
      <c r="E638" s="408" t="s">
        <v>965</v>
      </c>
      <c r="F638" s="408" t="s">
        <v>1317</v>
      </c>
      <c r="G638" s="408" t="s">
        <v>2319</v>
      </c>
      <c r="H638" s="408" t="s">
        <v>1317</v>
      </c>
      <c r="I638" s="408" t="s">
        <v>2236</v>
      </c>
      <c r="J638" s="408" t="s">
        <v>2320</v>
      </c>
      <c r="K638" s="828">
        <v>44531</v>
      </c>
      <c r="L638" s="408">
        <v>0</v>
      </c>
      <c r="M638" s="408">
        <v>0</v>
      </c>
      <c r="N638" s="408">
        <v>19.350999999999999</v>
      </c>
      <c r="O638" s="408">
        <v>19.350999999999999</v>
      </c>
      <c r="P638" s="408">
        <v>0</v>
      </c>
      <c r="Q638" s="408">
        <v>0</v>
      </c>
      <c r="R638" s="408"/>
      <c r="S638" s="408">
        <v>81.2</v>
      </c>
      <c r="T638" s="408"/>
      <c r="U638" s="408"/>
      <c r="V638" s="408">
        <v>1571.3011999999999</v>
      </c>
      <c r="W638" s="408">
        <v>1571.3011999999999</v>
      </c>
      <c r="X638" s="408">
        <v>1534.9213199999997</v>
      </c>
      <c r="Y638" s="408">
        <v>0</v>
      </c>
      <c r="Z638" s="408">
        <v>1041.3207774229923</v>
      </c>
      <c r="AA638" s="408">
        <v>0</v>
      </c>
      <c r="AB638" s="408">
        <v>0</v>
      </c>
      <c r="AC638" s="408">
        <v>0</v>
      </c>
      <c r="AD638" s="408">
        <v>0</v>
      </c>
      <c r="AE638" s="408">
        <v>0</v>
      </c>
      <c r="AF638" s="408"/>
      <c r="AG638" s="408"/>
      <c r="AH638" s="408"/>
      <c r="AI638" s="408">
        <v>0</v>
      </c>
      <c r="AJ638" s="408">
        <v>0</v>
      </c>
      <c r="AK638" s="408">
        <v>0</v>
      </c>
      <c r="AL638" s="408">
        <v>185.01547573956987</v>
      </c>
      <c r="AM638" s="408"/>
      <c r="AN638" s="408">
        <v>46.556689669451316</v>
      </c>
      <c r="AO638" s="408">
        <v>0</v>
      </c>
      <c r="AP638" s="408">
        <v>0</v>
      </c>
      <c r="AQ638" s="408">
        <v>0</v>
      </c>
      <c r="AR638" s="408">
        <v>0</v>
      </c>
      <c r="AS638" s="408"/>
      <c r="AT638" s="408"/>
      <c r="AU638" s="408">
        <v>0</v>
      </c>
      <c r="AV638" s="408">
        <v>0</v>
      </c>
      <c r="AW638" s="408">
        <v>0</v>
      </c>
      <c r="AX638" s="408"/>
      <c r="AY638" s="408"/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0</v>
      </c>
      <c r="BF638" s="408"/>
      <c r="BG638" s="408">
        <v>298.44740146293225</v>
      </c>
      <c r="BH638" s="408">
        <v>0</v>
      </c>
      <c r="BI638" s="408">
        <v>0</v>
      </c>
      <c r="BJ638" s="408">
        <v>0</v>
      </c>
      <c r="BK638" s="408">
        <v>0</v>
      </c>
      <c r="BL638" s="408">
        <v>0</v>
      </c>
      <c r="BM638" s="408"/>
      <c r="BN638" s="408"/>
      <c r="BO638" s="408"/>
      <c r="BP638" s="408"/>
      <c r="BQ638" s="408"/>
      <c r="BR638" s="408"/>
      <c r="BS638" s="408"/>
      <c r="BT638" s="408"/>
      <c r="BU638" s="408"/>
      <c r="BV638" s="408">
        <v>298.44740146293225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1534.8419999999999</v>
      </c>
      <c r="CJ638" s="408">
        <v>-36.489199999999983</v>
      </c>
      <c r="CK638" s="408"/>
      <c r="CL638" s="408"/>
      <c r="CM638" s="408"/>
      <c r="CN638" s="408"/>
      <c r="CO638" s="408">
        <v>-36.379880000000185</v>
      </c>
      <c r="CP638" s="408">
        <v>0</v>
      </c>
      <c r="CQ638" s="408"/>
      <c r="CR638" s="408">
        <v>-36.438398031010593</v>
      </c>
      <c r="CS638" s="408">
        <v>0</v>
      </c>
      <c r="CT638" s="408">
        <v>0</v>
      </c>
      <c r="CU638" s="408">
        <v>0</v>
      </c>
      <c r="CV638" s="408">
        <v>0</v>
      </c>
      <c r="CW638" s="408"/>
      <c r="CX638" s="408"/>
      <c r="CY638" s="408"/>
      <c r="CZ638" s="408">
        <v>0</v>
      </c>
      <c r="DA638" s="408">
        <v>0</v>
      </c>
      <c r="DB638" s="408">
        <v>0</v>
      </c>
      <c r="DC638" s="408"/>
      <c r="DD638" s="408"/>
      <c r="DE638" s="408">
        <v>0</v>
      </c>
      <c r="DF638" s="408">
        <v>0</v>
      </c>
      <c r="DG638" s="408">
        <v>-4.1840735320874956E-8</v>
      </c>
      <c r="DH638" s="408">
        <v>0</v>
      </c>
      <c r="DI638" s="408">
        <v>-30.278576961324347</v>
      </c>
      <c r="DJ638" s="408"/>
      <c r="DK638" s="408">
        <v>0</v>
      </c>
      <c r="DL638" s="408">
        <v>0</v>
      </c>
      <c r="DM638" s="408"/>
      <c r="DN638" s="408">
        <v>0</v>
      </c>
      <c r="DO638" s="408">
        <v>-4.6479798912834553</v>
      </c>
      <c r="DP638" s="408">
        <v>-1.5118411365620332</v>
      </c>
      <c r="DQ638" s="408">
        <v>0</v>
      </c>
      <c r="DR638" s="408">
        <v>0</v>
      </c>
      <c r="DS638" s="408"/>
      <c r="DT638" s="408"/>
      <c r="DU638" s="408"/>
      <c r="DV638" s="408">
        <v>0</v>
      </c>
      <c r="DW638" s="408">
        <v>0</v>
      </c>
      <c r="DX638" s="408">
        <v>0</v>
      </c>
      <c r="DY638" s="408">
        <v>-36.379880000000185</v>
      </c>
      <c r="DZ638" s="408"/>
      <c r="EA638" s="408">
        <v>0</v>
      </c>
      <c r="EB638" s="408"/>
      <c r="EC638" s="408">
        <v>0</v>
      </c>
      <c r="ED638" s="408"/>
      <c r="EE638" s="408">
        <v>0</v>
      </c>
      <c r="EF638" s="408">
        <v>0</v>
      </c>
      <c r="EG638" s="408"/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/>
      <c r="EN638" s="408"/>
      <c r="EO638" s="408">
        <v>0</v>
      </c>
      <c r="EP638" s="408">
        <v>0</v>
      </c>
      <c r="EQ638" s="408"/>
      <c r="ER638" s="408">
        <v>0</v>
      </c>
      <c r="ES638" s="408"/>
      <c r="ET638" s="408">
        <v>0</v>
      </c>
      <c r="EU638" s="408"/>
      <c r="EV638" s="408">
        <v>265</v>
      </c>
      <c r="EW638" s="408"/>
      <c r="EX638" s="408"/>
      <c r="EY638" s="408"/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648</v>
      </c>
      <c r="B639" s="408" t="s">
        <v>1031</v>
      </c>
      <c r="C639" s="408" t="s">
        <v>2235</v>
      </c>
      <c r="D639" s="408" t="s">
        <v>596</v>
      </c>
      <c r="E639" s="408" t="s">
        <v>965</v>
      </c>
      <c r="F639" s="408" t="s">
        <v>1317</v>
      </c>
      <c r="G639" s="408" t="s">
        <v>2319</v>
      </c>
      <c r="H639" s="408" t="s">
        <v>1317</v>
      </c>
      <c r="I639" s="408" t="s">
        <v>1317</v>
      </c>
      <c r="J639" s="408" t="s">
        <v>2320</v>
      </c>
      <c r="K639" s="828">
        <v>44531</v>
      </c>
      <c r="L639" s="408">
        <v>600</v>
      </c>
      <c r="M639" s="408">
        <v>322.5</v>
      </c>
      <c r="N639" s="408">
        <v>0</v>
      </c>
      <c r="O639" s="408">
        <v>0</v>
      </c>
      <c r="P639" s="408">
        <v>0</v>
      </c>
      <c r="Q639" s="408">
        <v>0</v>
      </c>
      <c r="R639" s="408">
        <v>74.44</v>
      </c>
      <c r="S639" s="408"/>
      <c r="T639" s="408"/>
      <c r="U639" s="408">
        <v>44664</v>
      </c>
      <c r="V639" s="408"/>
      <c r="W639" s="408">
        <v>44664</v>
      </c>
      <c r="X639" s="408">
        <v>27252</v>
      </c>
      <c r="Y639" s="408">
        <v>0</v>
      </c>
      <c r="Z639" s="408">
        <v>0</v>
      </c>
      <c r="AA639" s="408">
        <v>0</v>
      </c>
      <c r="AB639" s="408">
        <v>0</v>
      </c>
      <c r="AC639" s="408">
        <v>0</v>
      </c>
      <c r="AD639" s="408">
        <v>16330.25551827108</v>
      </c>
      <c r="AE639" s="408">
        <v>28332.922760506921</v>
      </c>
      <c r="AF639" s="408"/>
      <c r="AG639" s="408"/>
      <c r="AH639" s="408"/>
      <c r="AI639" s="408">
        <v>0</v>
      </c>
      <c r="AJ639" s="408">
        <v>0</v>
      </c>
      <c r="AK639" s="408">
        <v>0</v>
      </c>
      <c r="AL639" s="408">
        <v>0</v>
      </c>
      <c r="AM639" s="408"/>
      <c r="AN639" s="408">
        <v>0</v>
      </c>
      <c r="AO639" s="408">
        <v>0</v>
      </c>
      <c r="AP639" s="408">
        <v>0</v>
      </c>
      <c r="AQ639" s="408">
        <v>0</v>
      </c>
      <c r="AR639" s="408">
        <v>0</v>
      </c>
      <c r="AS639" s="408"/>
      <c r="AT639" s="408"/>
      <c r="AU639" s="408">
        <v>0</v>
      </c>
      <c r="AV639" s="408">
        <v>0</v>
      </c>
      <c r="AW639" s="408">
        <v>0</v>
      </c>
      <c r="AX639" s="408"/>
      <c r="AY639" s="408"/>
      <c r="AZ639" s="408">
        <v>0</v>
      </c>
      <c r="BA639" s="408"/>
      <c r="BB639" s="408">
        <v>0</v>
      </c>
      <c r="BC639" s="408">
        <v>0</v>
      </c>
      <c r="BD639" s="408">
        <v>0</v>
      </c>
      <c r="BE639" s="408">
        <v>0</v>
      </c>
      <c r="BF639" s="408"/>
      <c r="BG639" s="408">
        <v>0</v>
      </c>
      <c r="BH639" s="408">
        <v>0</v>
      </c>
      <c r="BI639" s="408">
        <v>0</v>
      </c>
      <c r="BJ639" s="408">
        <v>0</v>
      </c>
      <c r="BK639" s="408">
        <v>3961.23</v>
      </c>
      <c r="BL639" s="408">
        <v>1</v>
      </c>
      <c r="BM639" s="408"/>
      <c r="BN639" s="408">
        <v>12604.050000000001</v>
      </c>
      <c r="BO639" s="408"/>
      <c r="BP639" s="408"/>
      <c r="BQ639" s="408"/>
      <c r="BR639" s="408"/>
      <c r="BS639" s="408"/>
      <c r="BT639" s="408"/>
      <c r="BU639" s="408"/>
      <c r="BV639" s="408">
        <v>0</v>
      </c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>
        <v>14647.95</v>
      </c>
      <c r="CJ639" s="408">
        <v>-9358.9799999999923</v>
      </c>
      <c r="CK639" s="408"/>
      <c r="CL639" s="408"/>
      <c r="CM639" s="408"/>
      <c r="CN639" s="408"/>
      <c r="CO639" s="408">
        <v>-17411.999999999996</v>
      </c>
      <c r="CP639" s="408">
        <v>0</v>
      </c>
      <c r="CQ639" s="408"/>
      <c r="CR639" s="408">
        <v>-41.970194755860575</v>
      </c>
      <c r="CS639" s="408">
        <v>0</v>
      </c>
      <c r="CT639" s="408">
        <v>0</v>
      </c>
      <c r="CU639" s="408">
        <v>0</v>
      </c>
      <c r="CV639" s="408">
        <v>0</v>
      </c>
      <c r="CW639" s="408"/>
      <c r="CX639" s="408"/>
      <c r="CY639" s="408"/>
      <c r="CZ639" s="408">
        <v>-41.970194755860575</v>
      </c>
      <c r="DA639" s="408">
        <v>0</v>
      </c>
      <c r="DB639" s="408">
        <v>0</v>
      </c>
      <c r="DC639" s="408"/>
      <c r="DD639" s="408"/>
      <c r="DE639" s="408">
        <v>0</v>
      </c>
      <c r="DF639" s="408">
        <v>0</v>
      </c>
      <c r="DG639" s="408">
        <v>0</v>
      </c>
      <c r="DH639" s="408">
        <v>0</v>
      </c>
      <c r="DI639" s="408">
        <v>0</v>
      </c>
      <c r="DJ639" s="408"/>
      <c r="DK639" s="408">
        <v>0</v>
      </c>
      <c r="DL639" s="408">
        <v>0</v>
      </c>
      <c r="DM639" s="408"/>
      <c r="DN639" s="408">
        <v>0</v>
      </c>
      <c r="DO639" s="408">
        <v>0</v>
      </c>
      <c r="DP639" s="408">
        <v>0</v>
      </c>
      <c r="DQ639" s="408">
        <v>0</v>
      </c>
      <c r="DR639" s="408">
        <v>0</v>
      </c>
      <c r="DS639" s="408"/>
      <c r="DT639" s="408"/>
      <c r="DU639" s="408">
        <v>28332.922760506921</v>
      </c>
      <c r="DV639" s="408"/>
      <c r="DW639" s="408">
        <v>0</v>
      </c>
      <c r="DX639" s="408">
        <v>0</v>
      </c>
      <c r="DY639" s="408">
        <v>-17412</v>
      </c>
      <c r="DZ639" s="408"/>
      <c r="EA639" s="408">
        <v>0</v>
      </c>
      <c r="EB639" s="408"/>
      <c r="EC639" s="408">
        <v>-17372.193377360702</v>
      </c>
      <c r="ED639" s="408"/>
      <c r="EE639" s="408">
        <v>0</v>
      </c>
      <c r="EF639" s="408">
        <v>0</v>
      </c>
      <c r="EG639" s="408"/>
      <c r="EH639" s="408">
        <v>0</v>
      </c>
      <c r="EI639" s="408">
        <v>0</v>
      </c>
      <c r="EJ639" s="408">
        <v>0</v>
      </c>
      <c r="EK639" s="408">
        <v>0</v>
      </c>
      <c r="EL639" s="408">
        <v>0</v>
      </c>
      <c r="EM639" s="408"/>
      <c r="EN639" s="408"/>
      <c r="EO639" s="408">
        <v>0</v>
      </c>
      <c r="EP639" s="408">
        <v>0</v>
      </c>
      <c r="EQ639" s="408"/>
      <c r="ER639" s="408">
        <v>0</v>
      </c>
      <c r="ES639" s="408"/>
      <c r="ET639" s="408">
        <v>0</v>
      </c>
      <c r="EU639" s="408"/>
      <c r="EV639" s="408">
        <v>265</v>
      </c>
      <c r="EW639" s="408"/>
      <c r="EX639" s="408"/>
      <c r="EY639" s="408"/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649</v>
      </c>
      <c r="B640" s="408" t="s">
        <v>1031</v>
      </c>
      <c r="C640" s="408" t="s">
        <v>2235</v>
      </c>
      <c r="D640" s="408" t="s">
        <v>596</v>
      </c>
      <c r="E640" s="408" t="s">
        <v>965</v>
      </c>
      <c r="F640" s="408" t="s">
        <v>1317</v>
      </c>
      <c r="G640" s="408" t="s">
        <v>2319</v>
      </c>
      <c r="H640" s="408" t="s">
        <v>1317</v>
      </c>
      <c r="I640" s="408" t="s">
        <v>968</v>
      </c>
      <c r="J640" s="408" t="s">
        <v>2320</v>
      </c>
      <c r="K640" s="828">
        <v>44562</v>
      </c>
      <c r="L640" s="408">
        <v>0</v>
      </c>
      <c r="M640" s="408">
        <v>0</v>
      </c>
      <c r="N640" s="408">
        <v>0.77</v>
      </c>
      <c r="O640" s="408">
        <v>0.77</v>
      </c>
      <c r="P640" s="408">
        <v>0</v>
      </c>
      <c r="Q640" s="408">
        <v>0</v>
      </c>
      <c r="R640" s="408"/>
      <c r="S640" s="408">
        <v>2641.06</v>
      </c>
      <c r="T640" s="408"/>
      <c r="U640" s="408"/>
      <c r="V640" s="408">
        <v>2033.6161999999999</v>
      </c>
      <c r="W640" s="408">
        <v>2033.6161999999999</v>
      </c>
      <c r="X640" s="408">
        <v>1128.1424</v>
      </c>
      <c r="Y640" s="408">
        <v>0</v>
      </c>
      <c r="Z640" s="408">
        <v>41.435429622019747</v>
      </c>
      <c r="AA640" s="408">
        <v>0</v>
      </c>
      <c r="AB640" s="408">
        <v>0</v>
      </c>
      <c r="AC640" s="408">
        <v>0</v>
      </c>
      <c r="AD640" s="408">
        <v>498.78058271521252</v>
      </c>
      <c r="AE640" s="408">
        <v>1472.3095623391848</v>
      </c>
      <c r="AF640" s="408"/>
      <c r="AG640" s="408"/>
      <c r="AH640" s="408"/>
      <c r="AI640" s="408">
        <v>0</v>
      </c>
      <c r="AJ640" s="408">
        <v>0</v>
      </c>
      <c r="AK640" s="408">
        <v>0</v>
      </c>
      <c r="AL640" s="408">
        <v>7.3619924716794385</v>
      </c>
      <c r="AM640" s="408"/>
      <c r="AN640" s="408">
        <v>1.8525477259819914</v>
      </c>
      <c r="AO640" s="408">
        <v>0</v>
      </c>
      <c r="AP640" s="408">
        <v>0</v>
      </c>
      <c r="AQ640" s="408">
        <v>0</v>
      </c>
      <c r="AR640" s="408">
        <v>0</v>
      </c>
      <c r="AS640" s="408"/>
      <c r="AT640" s="408"/>
      <c r="AU640" s="408">
        <v>0</v>
      </c>
      <c r="AV640" s="408">
        <v>0</v>
      </c>
      <c r="AW640" s="408">
        <v>0</v>
      </c>
      <c r="AX640" s="408"/>
      <c r="AY640" s="408"/>
      <c r="AZ640" s="408">
        <v>0</v>
      </c>
      <c r="BA640" s="408"/>
      <c r="BB640" s="408">
        <v>0</v>
      </c>
      <c r="BC640" s="408">
        <v>0</v>
      </c>
      <c r="BD640" s="408">
        <v>0</v>
      </c>
      <c r="BE640" s="408">
        <v>0</v>
      </c>
      <c r="BF640" s="408"/>
      <c r="BG640" s="408">
        <v>11.875587779776644</v>
      </c>
      <c r="BH640" s="408">
        <v>0</v>
      </c>
      <c r="BI640" s="408">
        <v>0</v>
      </c>
      <c r="BJ640" s="408">
        <v>0</v>
      </c>
      <c r="BK640" s="408">
        <v>0</v>
      </c>
      <c r="BL640" s="408">
        <v>0</v>
      </c>
      <c r="BM640" s="408"/>
      <c r="BN640" s="408"/>
      <c r="BO640" s="408"/>
      <c r="BP640" s="408"/>
      <c r="BQ640" s="408"/>
      <c r="BR640" s="408"/>
      <c r="BS640" s="408"/>
      <c r="BT640" s="408"/>
      <c r="BU640" s="408"/>
      <c r="BV640" s="408">
        <v>11.875587779776644</v>
      </c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>
        <v>1128.1424</v>
      </c>
      <c r="CJ640" s="408">
        <v>-905.50379999999996</v>
      </c>
      <c r="CK640" s="408"/>
      <c r="CL640" s="408"/>
      <c r="CM640" s="408"/>
      <c r="CN640" s="408"/>
      <c r="CO640" s="408">
        <v>-905.4738000000001</v>
      </c>
      <c r="CP640" s="408">
        <v>0</v>
      </c>
      <c r="CQ640" s="408">
        <v>31</v>
      </c>
      <c r="CR640" s="408">
        <v>-2.7318385253154247</v>
      </c>
      <c r="CS640" s="408">
        <v>0</v>
      </c>
      <c r="CT640" s="408">
        <v>0</v>
      </c>
      <c r="CU640" s="408">
        <v>0</v>
      </c>
      <c r="CV640" s="408">
        <v>0</v>
      </c>
      <c r="CW640" s="408"/>
      <c r="CX640" s="408"/>
      <c r="CY640" s="408"/>
      <c r="CZ640" s="408">
        <v>-1.2819100211617638</v>
      </c>
      <c r="DA640" s="408">
        <v>0</v>
      </c>
      <c r="DB640" s="408">
        <v>0</v>
      </c>
      <c r="DC640" s="408"/>
      <c r="DD640" s="408"/>
      <c r="DE640" s="408">
        <v>0</v>
      </c>
      <c r="DF640" s="408">
        <v>0</v>
      </c>
      <c r="DG640" s="408">
        <v>-1.6648940004415635E-9</v>
      </c>
      <c r="DH640" s="408">
        <v>0</v>
      </c>
      <c r="DI640" s="408">
        <v>-1.2048216764105106</v>
      </c>
      <c r="DJ640" s="408"/>
      <c r="DK640" s="408">
        <v>0</v>
      </c>
      <c r="DL640" s="408">
        <v>0</v>
      </c>
      <c r="DM640" s="408"/>
      <c r="DN640" s="408">
        <v>0</v>
      </c>
      <c r="DO640" s="408">
        <v>-0.18494881485650705</v>
      </c>
      <c r="DP640" s="408">
        <v>-6.015801122178499E-2</v>
      </c>
      <c r="DQ640" s="408">
        <v>0</v>
      </c>
      <c r="DR640" s="408">
        <v>0</v>
      </c>
      <c r="DS640" s="408"/>
      <c r="DT640" s="408"/>
      <c r="DU640" s="408"/>
      <c r="DV640" s="408">
        <v>1472.3095623391848</v>
      </c>
      <c r="DW640" s="408">
        <v>0</v>
      </c>
      <c r="DX640" s="408">
        <v>0</v>
      </c>
      <c r="DY640" s="408">
        <v>-905.47379999999998</v>
      </c>
      <c r="DZ640" s="408"/>
      <c r="EA640" s="408">
        <v>0</v>
      </c>
      <c r="EB640" s="408"/>
      <c r="EC640" s="408">
        <v>-902.73942594957202</v>
      </c>
      <c r="ED640" s="408"/>
      <c r="EE640" s="408">
        <v>0</v>
      </c>
      <c r="EF640" s="408">
        <v>0</v>
      </c>
      <c r="EG640" s="408"/>
      <c r="EH640" s="408">
        <v>0</v>
      </c>
      <c r="EI640" s="408">
        <v>0</v>
      </c>
      <c r="EJ640" s="408">
        <v>0</v>
      </c>
      <c r="EK640" s="408">
        <v>0</v>
      </c>
      <c r="EL640" s="408">
        <v>0</v>
      </c>
      <c r="EM640" s="408"/>
      <c r="EN640" s="408"/>
      <c r="EO640" s="408">
        <v>0</v>
      </c>
      <c r="EP640" s="408">
        <v>0</v>
      </c>
      <c r="EQ640" s="408"/>
      <c r="ER640" s="408">
        <v>0</v>
      </c>
      <c r="ES640" s="408"/>
      <c r="ET640" s="408">
        <v>0</v>
      </c>
      <c r="EU640" s="408"/>
      <c r="EV640" s="408">
        <v>265</v>
      </c>
      <c r="EW640" s="408"/>
      <c r="EX640" s="408"/>
      <c r="EY640" s="408"/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650</v>
      </c>
      <c r="B641" s="408" t="s">
        <v>1031</v>
      </c>
      <c r="C641" s="408" t="s">
        <v>2235</v>
      </c>
      <c r="D641" s="408" t="s">
        <v>596</v>
      </c>
      <c r="E641" s="408" t="s">
        <v>965</v>
      </c>
      <c r="F641" s="408" t="s">
        <v>1317</v>
      </c>
      <c r="G641" s="408" t="s">
        <v>2319</v>
      </c>
      <c r="H641" s="408" t="s">
        <v>1317</v>
      </c>
      <c r="I641" s="408" t="s">
        <v>2236</v>
      </c>
      <c r="J641" s="408" t="s">
        <v>2320</v>
      </c>
      <c r="K641" s="828">
        <v>44562</v>
      </c>
      <c r="L641" s="408">
        <v>0</v>
      </c>
      <c r="M641" s="408">
        <v>0</v>
      </c>
      <c r="N641" s="408">
        <v>9.2880000000000003</v>
      </c>
      <c r="O641" s="408">
        <v>9.2880000000000003</v>
      </c>
      <c r="P641" s="408">
        <v>0</v>
      </c>
      <c r="Q641" s="408">
        <v>0</v>
      </c>
      <c r="R641" s="408"/>
      <c r="S641" s="408">
        <v>81.2</v>
      </c>
      <c r="T641" s="408"/>
      <c r="U641" s="408"/>
      <c r="V641" s="408">
        <v>754.18560000000002</v>
      </c>
      <c r="W641" s="408">
        <v>754.18560000000002</v>
      </c>
      <c r="X641" s="408">
        <v>736.72415999999998</v>
      </c>
      <c r="Y641" s="408">
        <v>0</v>
      </c>
      <c r="Z641" s="408">
        <v>499.80814328483035</v>
      </c>
      <c r="AA641" s="408">
        <v>0</v>
      </c>
      <c r="AB641" s="408">
        <v>0</v>
      </c>
      <c r="AC641" s="408">
        <v>0</v>
      </c>
      <c r="AD641" s="408">
        <v>0</v>
      </c>
      <c r="AE641" s="408">
        <v>0</v>
      </c>
      <c r="AF641" s="408"/>
      <c r="AG641" s="408"/>
      <c r="AH641" s="408"/>
      <c r="AI641" s="408">
        <v>0</v>
      </c>
      <c r="AJ641" s="408">
        <v>0</v>
      </c>
      <c r="AK641" s="408">
        <v>0</v>
      </c>
      <c r="AL641" s="408">
        <v>88.802839060985221</v>
      </c>
      <c r="AM641" s="408"/>
      <c r="AN641" s="408">
        <v>22.346056206390568</v>
      </c>
      <c r="AO641" s="408">
        <v>0</v>
      </c>
      <c r="AP641" s="408">
        <v>0</v>
      </c>
      <c r="AQ641" s="408">
        <v>0</v>
      </c>
      <c r="AR641" s="408">
        <v>0</v>
      </c>
      <c r="AS641" s="408"/>
      <c r="AT641" s="408"/>
      <c r="AU641" s="408">
        <v>0</v>
      </c>
      <c r="AV641" s="408">
        <v>0</v>
      </c>
      <c r="AW641" s="408">
        <v>0</v>
      </c>
      <c r="AX641" s="408"/>
      <c r="AY641" s="408"/>
      <c r="AZ641" s="408">
        <v>0</v>
      </c>
      <c r="BA641" s="408"/>
      <c r="BB641" s="408">
        <v>0</v>
      </c>
      <c r="BC641" s="408">
        <v>0</v>
      </c>
      <c r="BD641" s="408">
        <v>0</v>
      </c>
      <c r="BE641" s="408">
        <v>0</v>
      </c>
      <c r="BF641" s="408"/>
      <c r="BG641" s="408">
        <v>143.24734973839671</v>
      </c>
      <c r="BH641" s="408">
        <v>0</v>
      </c>
      <c r="BI641" s="408">
        <v>0</v>
      </c>
      <c r="BJ641" s="408">
        <v>0</v>
      </c>
      <c r="BK641" s="408">
        <v>0</v>
      </c>
      <c r="BL641" s="408">
        <v>0</v>
      </c>
      <c r="BM641" s="408"/>
      <c r="BN641" s="408"/>
      <c r="BO641" s="408"/>
      <c r="BP641" s="408"/>
      <c r="BQ641" s="408"/>
      <c r="BR641" s="408"/>
      <c r="BS641" s="408"/>
      <c r="BT641" s="408"/>
      <c r="BU641" s="408"/>
      <c r="BV641" s="408">
        <v>143.24734973839671</v>
      </c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>
        <v>736.88279999999986</v>
      </c>
      <c r="CJ641" s="408">
        <v>-17.332800000000134</v>
      </c>
      <c r="CK641" s="408"/>
      <c r="CL641" s="408"/>
      <c r="CM641" s="408"/>
      <c r="CN641" s="408"/>
      <c r="CO641" s="408">
        <v>-17.461440000000092</v>
      </c>
      <c r="CP641" s="408">
        <v>0</v>
      </c>
      <c r="CQ641" s="408">
        <v>31</v>
      </c>
      <c r="CR641" s="408">
        <v>-17.489527203350008</v>
      </c>
      <c r="CS641" s="408">
        <v>0</v>
      </c>
      <c r="CT641" s="408">
        <v>0</v>
      </c>
      <c r="CU641" s="408">
        <v>0</v>
      </c>
      <c r="CV641" s="408">
        <v>0</v>
      </c>
      <c r="CW641" s="408"/>
      <c r="CX641" s="408"/>
      <c r="CY641" s="408"/>
      <c r="CZ641" s="408">
        <v>0</v>
      </c>
      <c r="DA641" s="408">
        <v>0</v>
      </c>
      <c r="DB641" s="408">
        <v>0</v>
      </c>
      <c r="DC641" s="408"/>
      <c r="DD641" s="408"/>
      <c r="DE641" s="408">
        <v>0</v>
      </c>
      <c r="DF641" s="408">
        <v>0</v>
      </c>
      <c r="DG641" s="408">
        <v>-2.0082495666429168E-8</v>
      </c>
      <c r="DH641" s="408">
        <v>0</v>
      </c>
      <c r="DI641" s="408">
        <v>-14.532965883767247</v>
      </c>
      <c r="DJ641" s="408"/>
      <c r="DK641" s="408">
        <v>0</v>
      </c>
      <c r="DL641" s="408">
        <v>0</v>
      </c>
      <c r="DM641" s="408"/>
      <c r="DN641" s="408">
        <v>0</v>
      </c>
      <c r="DO641" s="408">
        <v>-2.2309150550483565</v>
      </c>
      <c r="DP641" s="408">
        <v>-0.7256462444518732</v>
      </c>
      <c r="DQ641" s="408">
        <v>0</v>
      </c>
      <c r="DR641" s="408">
        <v>0</v>
      </c>
      <c r="DS641" s="408"/>
      <c r="DT641" s="408"/>
      <c r="DU641" s="408"/>
      <c r="DV641" s="408">
        <v>0</v>
      </c>
      <c r="DW641" s="408">
        <v>0</v>
      </c>
      <c r="DX641" s="408">
        <v>0</v>
      </c>
      <c r="DY641" s="408">
        <v>-17.461440000000039</v>
      </c>
      <c r="DZ641" s="408"/>
      <c r="EA641" s="408">
        <v>0</v>
      </c>
      <c r="EB641" s="408"/>
      <c r="EC641" s="408">
        <v>0</v>
      </c>
      <c r="ED641" s="408"/>
      <c r="EE641" s="408">
        <v>0</v>
      </c>
      <c r="EF641" s="408">
        <v>0</v>
      </c>
      <c r="EG641" s="408"/>
      <c r="EH641" s="408">
        <v>0</v>
      </c>
      <c r="EI641" s="408">
        <v>0</v>
      </c>
      <c r="EJ641" s="408">
        <v>0</v>
      </c>
      <c r="EK641" s="408">
        <v>0</v>
      </c>
      <c r="EL641" s="408">
        <v>0</v>
      </c>
      <c r="EM641" s="408"/>
      <c r="EN641" s="408"/>
      <c r="EO641" s="408">
        <v>0</v>
      </c>
      <c r="EP641" s="408">
        <v>0</v>
      </c>
      <c r="EQ641" s="408"/>
      <c r="ER641" s="408">
        <v>0</v>
      </c>
      <c r="ES641" s="408"/>
      <c r="ET641" s="408">
        <v>0</v>
      </c>
      <c r="EU641" s="408"/>
      <c r="EV641" s="408">
        <v>265</v>
      </c>
      <c r="EW641" s="408"/>
      <c r="EX641" s="408"/>
      <c r="EY641" s="408"/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651</v>
      </c>
      <c r="B642" s="408" t="s">
        <v>1031</v>
      </c>
      <c r="C642" s="408" t="s">
        <v>2235</v>
      </c>
      <c r="D642" s="408" t="s">
        <v>596</v>
      </c>
      <c r="E642" s="408" t="s">
        <v>965</v>
      </c>
      <c r="F642" s="408" t="s">
        <v>1317</v>
      </c>
      <c r="G642" s="408" t="s">
        <v>2319</v>
      </c>
      <c r="H642" s="408" t="s">
        <v>1317</v>
      </c>
      <c r="I642" s="408" t="s">
        <v>1317</v>
      </c>
      <c r="J642" s="408" t="s">
        <v>2320</v>
      </c>
      <c r="K642" s="828">
        <v>44562</v>
      </c>
      <c r="L642" s="408">
        <v>600</v>
      </c>
      <c r="M642" s="408">
        <v>600</v>
      </c>
      <c r="N642" s="408">
        <v>0</v>
      </c>
      <c r="O642" s="408">
        <v>0</v>
      </c>
      <c r="P642" s="408">
        <v>0</v>
      </c>
      <c r="Q642" s="408">
        <v>0</v>
      </c>
      <c r="R642" s="408">
        <v>74.44</v>
      </c>
      <c r="S642" s="408"/>
      <c r="T642" s="408"/>
      <c r="U642" s="408">
        <v>44664</v>
      </c>
      <c r="V642" s="408"/>
      <c r="W642" s="408">
        <v>44664</v>
      </c>
      <c r="X642" s="408">
        <v>27252</v>
      </c>
      <c r="Y642" s="408">
        <v>0</v>
      </c>
      <c r="Z642" s="408">
        <v>0</v>
      </c>
      <c r="AA642" s="408">
        <v>0</v>
      </c>
      <c r="AB642" s="408">
        <v>0</v>
      </c>
      <c r="AC642" s="408">
        <v>0</v>
      </c>
      <c r="AD642" s="408">
        <v>16330.25551827108</v>
      </c>
      <c r="AE642" s="408">
        <v>28332.922760506921</v>
      </c>
      <c r="AF642" s="408"/>
      <c r="AG642" s="408"/>
      <c r="AH642" s="408"/>
      <c r="AI642" s="408">
        <v>0</v>
      </c>
      <c r="AJ642" s="408">
        <v>0</v>
      </c>
      <c r="AK642" s="408">
        <v>0</v>
      </c>
      <c r="AL642" s="408">
        <v>0</v>
      </c>
      <c r="AM642" s="408"/>
      <c r="AN642" s="408">
        <v>0</v>
      </c>
      <c r="AO642" s="408">
        <v>0</v>
      </c>
      <c r="AP642" s="408">
        <v>0</v>
      </c>
      <c r="AQ642" s="408">
        <v>0</v>
      </c>
      <c r="AR642" s="408">
        <v>0</v>
      </c>
      <c r="AS642" s="408"/>
      <c r="AT642" s="408"/>
      <c r="AU642" s="408">
        <v>0</v>
      </c>
      <c r="AV642" s="408">
        <v>0</v>
      </c>
      <c r="AW642" s="408">
        <v>0</v>
      </c>
      <c r="AX642" s="408"/>
      <c r="AY642" s="408"/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0</v>
      </c>
      <c r="BF642" s="408"/>
      <c r="BG642" s="408">
        <v>0</v>
      </c>
      <c r="BH642" s="408">
        <v>0</v>
      </c>
      <c r="BI642" s="408">
        <v>0</v>
      </c>
      <c r="BJ642" s="408">
        <v>0</v>
      </c>
      <c r="BK642" s="408">
        <v>2266.4899999999998</v>
      </c>
      <c r="BL642" s="408">
        <v>1</v>
      </c>
      <c r="BM642" s="408"/>
      <c r="BN642" s="408"/>
      <c r="BO642" s="408"/>
      <c r="BP642" s="408"/>
      <c r="BQ642" s="408"/>
      <c r="BR642" s="408"/>
      <c r="BS642" s="408"/>
      <c r="BT642" s="408"/>
      <c r="BU642" s="408"/>
      <c r="BV642" s="408">
        <v>0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27252</v>
      </c>
      <c r="CJ642" s="408">
        <v>-17412.030000000006</v>
      </c>
      <c r="CK642" s="408"/>
      <c r="CL642" s="408"/>
      <c r="CM642" s="408"/>
      <c r="CN642" s="408"/>
      <c r="CO642" s="408">
        <v>-17411.999999999996</v>
      </c>
      <c r="CP642" s="408">
        <v>0</v>
      </c>
      <c r="CQ642" s="408">
        <v>31</v>
      </c>
      <c r="CR642" s="408">
        <v>-41.970194755860575</v>
      </c>
      <c r="CS642" s="408">
        <v>0</v>
      </c>
      <c r="CT642" s="408">
        <v>0</v>
      </c>
      <c r="CU642" s="408">
        <v>0</v>
      </c>
      <c r="CV642" s="408">
        <v>0</v>
      </c>
      <c r="CW642" s="408"/>
      <c r="CX642" s="408"/>
      <c r="CY642" s="408"/>
      <c r="CZ642" s="408">
        <v>-41.970194755860575</v>
      </c>
      <c r="DA642" s="408">
        <v>0</v>
      </c>
      <c r="DB642" s="408">
        <v>0</v>
      </c>
      <c r="DC642" s="408"/>
      <c r="DD642" s="408"/>
      <c r="DE642" s="408">
        <v>0</v>
      </c>
      <c r="DF642" s="408">
        <v>0</v>
      </c>
      <c r="DG642" s="408">
        <v>0</v>
      </c>
      <c r="DH642" s="408">
        <v>0</v>
      </c>
      <c r="DI642" s="408">
        <v>0</v>
      </c>
      <c r="DJ642" s="408"/>
      <c r="DK642" s="408">
        <v>0</v>
      </c>
      <c r="DL642" s="408">
        <v>0</v>
      </c>
      <c r="DM642" s="408"/>
      <c r="DN642" s="408">
        <v>0</v>
      </c>
      <c r="DO642" s="408">
        <v>0</v>
      </c>
      <c r="DP642" s="408">
        <v>0</v>
      </c>
      <c r="DQ642" s="408">
        <v>0</v>
      </c>
      <c r="DR642" s="408">
        <v>0</v>
      </c>
      <c r="DS642" s="408"/>
      <c r="DT642" s="408"/>
      <c r="DU642" s="408">
        <v>28332.922760506921</v>
      </c>
      <c r="DV642" s="408"/>
      <c r="DW642" s="408">
        <v>0</v>
      </c>
      <c r="DX642" s="408">
        <v>0</v>
      </c>
      <c r="DY642" s="408">
        <v>-17412</v>
      </c>
      <c r="DZ642" s="408"/>
      <c r="EA642" s="408">
        <v>0</v>
      </c>
      <c r="EB642" s="408"/>
      <c r="EC642" s="408">
        <v>-17372.193377360702</v>
      </c>
      <c r="ED642" s="408"/>
      <c r="EE642" s="408">
        <v>0</v>
      </c>
      <c r="EF642" s="408">
        <v>0</v>
      </c>
      <c r="EG642" s="408"/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/>
      <c r="EN642" s="408"/>
      <c r="EO642" s="408">
        <v>0</v>
      </c>
      <c r="EP642" s="408">
        <v>0</v>
      </c>
      <c r="EQ642" s="408"/>
      <c r="ER642" s="408">
        <v>0</v>
      </c>
      <c r="ES642" s="408"/>
      <c r="ET642" s="408">
        <v>0</v>
      </c>
      <c r="EU642" s="408"/>
      <c r="EV642" s="408">
        <v>265</v>
      </c>
      <c r="EW642" s="408"/>
      <c r="EX642" s="408"/>
      <c r="EY642" s="408"/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652</v>
      </c>
      <c r="B643" s="408" t="s">
        <v>1031</v>
      </c>
      <c r="C643" s="408" t="s">
        <v>2235</v>
      </c>
      <c r="D643" s="408" t="s">
        <v>596</v>
      </c>
      <c r="E643" s="408" t="s">
        <v>965</v>
      </c>
      <c r="F643" s="408" t="s">
        <v>1317</v>
      </c>
      <c r="G643" s="408" t="s">
        <v>2319</v>
      </c>
      <c r="H643" s="408" t="s">
        <v>1317</v>
      </c>
      <c r="I643" s="408" t="s">
        <v>968</v>
      </c>
      <c r="J643" s="408" t="s">
        <v>2320</v>
      </c>
      <c r="K643" s="828">
        <v>44593</v>
      </c>
      <c r="L643" s="408">
        <v>0</v>
      </c>
      <c r="M643" s="408">
        <v>0</v>
      </c>
      <c r="N643" s="408">
        <v>0.77700000000000002</v>
      </c>
      <c r="O643" s="408">
        <v>0.77700000000000002</v>
      </c>
      <c r="P643" s="408">
        <v>0</v>
      </c>
      <c r="Q643" s="408">
        <v>0</v>
      </c>
      <c r="R643" s="408"/>
      <c r="S643" s="408">
        <v>2641.06</v>
      </c>
      <c r="T643" s="408"/>
      <c r="U643" s="408"/>
      <c r="V643" s="408">
        <v>2052.1036199999999</v>
      </c>
      <c r="W643" s="408">
        <v>2052.1036199999999</v>
      </c>
      <c r="X643" s="408">
        <v>1138.39824</v>
      </c>
      <c r="Y643" s="408">
        <v>0</v>
      </c>
      <c r="Z643" s="408">
        <v>41.812115345856284</v>
      </c>
      <c r="AA643" s="408">
        <v>0</v>
      </c>
      <c r="AB643" s="408">
        <v>0</v>
      </c>
      <c r="AC643" s="408">
        <v>0</v>
      </c>
      <c r="AD643" s="408">
        <v>503.31495164898718</v>
      </c>
      <c r="AE643" s="408">
        <v>1485.6941947240864</v>
      </c>
      <c r="AF643" s="408"/>
      <c r="AG643" s="408"/>
      <c r="AH643" s="408"/>
      <c r="AI643" s="408">
        <v>0</v>
      </c>
      <c r="AJ643" s="408">
        <v>0</v>
      </c>
      <c r="AK643" s="408">
        <v>0</v>
      </c>
      <c r="AL643" s="408">
        <v>7.4289196759674336</v>
      </c>
      <c r="AM643" s="408"/>
      <c r="AN643" s="408">
        <v>1.8693890689454642</v>
      </c>
      <c r="AO643" s="408">
        <v>0</v>
      </c>
      <c r="AP643" s="408">
        <v>0</v>
      </c>
      <c r="AQ643" s="408">
        <v>0</v>
      </c>
      <c r="AR643" s="408">
        <v>0</v>
      </c>
      <c r="AS643" s="408"/>
      <c r="AT643" s="408"/>
      <c r="AU643" s="408">
        <v>0</v>
      </c>
      <c r="AV643" s="408">
        <v>0</v>
      </c>
      <c r="AW643" s="408">
        <v>0</v>
      </c>
      <c r="AX643" s="408"/>
      <c r="AY643" s="408"/>
      <c r="AZ643" s="408">
        <v>0</v>
      </c>
      <c r="BA643" s="408"/>
      <c r="BB643" s="408">
        <v>0</v>
      </c>
      <c r="BC643" s="408">
        <v>0</v>
      </c>
      <c r="BD643" s="408">
        <v>0</v>
      </c>
      <c r="BE643" s="408">
        <v>0</v>
      </c>
      <c r="BF643" s="408"/>
      <c r="BG643" s="408">
        <v>11.983547668683705</v>
      </c>
      <c r="BH643" s="408">
        <v>0</v>
      </c>
      <c r="BI643" s="408">
        <v>0</v>
      </c>
      <c r="BJ643" s="408">
        <v>0</v>
      </c>
      <c r="BK643" s="408">
        <v>0</v>
      </c>
      <c r="BL643" s="408">
        <v>0</v>
      </c>
      <c r="BM643" s="408"/>
      <c r="BN643" s="408"/>
      <c r="BO643" s="408"/>
      <c r="BP643" s="408"/>
      <c r="BQ643" s="408"/>
      <c r="BR643" s="408"/>
      <c r="BS643" s="408"/>
      <c r="BT643" s="408"/>
      <c r="BU643" s="408"/>
      <c r="BV643" s="408">
        <v>11.983547668683705</v>
      </c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>
        <v>1142.7936</v>
      </c>
      <c r="CJ643" s="408">
        <v>-909.34002000000055</v>
      </c>
      <c r="CK643" s="408"/>
      <c r="CL643" s="408"/>
      <c r="CM643" s="408"/>
      <c r="CN643" s="408"/>
      <c r="CO643" s="408">
        <v>-913.7053800000001</v>
      </c>
      <c r="CP643" s="408">
        <v>0</v>
      </c>
      <c r="CQ643" s="408">
        <v>29</v>
      </c>
      <c r="CR643" s="408">
        <v>-2.7566734210000732</v>
      </c>
      <c r="CS643" s="408">
        <v>0</v>
      </c>
      <c r="CT643" s="408">
        <v>0</v>
      </c>
      <c r="CU643" s="408">
        <v>0</v>
      </c>
      <c r="CV643" s="408">
        <v>0</v>
      </c>
      <c r="CW643" s="408"/>
      <c r="CX643" s="408"/>
      <c r="CY643" s="408"/>
      <c r="CZ643" s="408">
        <v>-1.2935637486268661</v>
      </c>
      <c r="DA643" s="408">
        <v>0</v>
      </c>
      <c r="DB643" s="408">
        <v>0</v>
      </c>
      <c r="DC643" s="408"/>
      <c r="DD643" s="408"/>
      <c r="DE643" s="408">
        <v>0</v>
      </c>
      <c r="DF643" s="408">
        <v>0</v>
      </c>
      <c r="DG643" s="408">
        <v>-1.6800303370700931E-9</v>
      </c>
      <c r="DH643" s="408">
        <v>0</v>
      </c>
      <c r="DI643" s="408">
        <v>-1.2157746007415113</v>
      </c>
      <c r="DJ643" s="408"/>
      <c r="DK643" s="408">
        <v>0</v>
      </c>
      <c r="DL643" s="408">
        <v>0</v>
      </c>
      <c r="DM643" s="408"/>
      <c r="DN643" s="408">
        <v>0</v>
      </c>
      <c r="DO643" s="408">
        <v>-0.18663016771883889</v>
      </c>
      <c r="DP643" s="408">
        <v>-6.0704902232892488E-2</v>
      </c>
      <c r="DQ643" s="408">
        <v>0</v>
      </c>
      <c r="DR643" s="408">
        <v>0</v>
      </c>
      <c r="DS643" s="408"/>
      <c r="DT643" s="408"/>
      <c r="DU643" s="408"/>
      <c r="DV643" s="408">
        <v>1485.6941947240864</v>
      </c>
      <c r="DW643" s="408">
        <v>0</v>
      </c>
      <c r="DX643" s="408">
        <v>0</v>
      </c>
      <c r="DY643" s="408">
        <v>-913.70537999999988</v>
      </c>
      <c r="DZ643" s="408"/>
      <c r="EA643" s="408">
        <v>0</v>
      </c>
      <c r="EB643" s="408"/>
      <c r="EC643" s="408">
        <v>-910.94614800365889</v>
      </c>
      <c r="ED643" s="408"/>
      <c r="EE643" s="408">
        <v>0</v>
      </c>
      <c r="EF643" s="408">
        <v>0</v>
      </c>
      <c r="EG643" s="408"/>
      <c r="EH643" s="408">
        <v>0</v>
      </c>
      <c r="EI643" s="408">
        <v>0</v>
      </c>
      <c r="EJ643" s="408">
        <v>0</v>
      </c>
      <c r="EK643" s="408">
        <v>0</v>
      </c>
      <c r="EL643" s="408">
        <v>0</v>
      </c>
      <c r="EM643" s="408"/>
      <c r="EN643" s="408"/>
      <c r="EO643" s="408">
        <v>0</v>
      </c>
      <c r="EP643" s="408">
        <v>0</v>
      </c>
      <c r="EQ643" s="408"/>
      <c r="ER643" s="408">
        <v>0</v>
      </c>
      <c r="ES643" s="408"/>
      <c r="ET643" s="408">
        <v>0</v>
      </c>
      <c r="EU643" s="408"/>
      <c r="EV643" s="408">
        <v>265</v>
      </c>
      <c r="EW643" s="408"/>
      <c r="EX643" s="408"/>
      <c r="EY643" s="408"/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653</v>
      </c>
      <c r="B644" s="408" t="s">
        <v>1031</v>
      </c>
      <c r="C644" s="408" t="s">
        <v>2235</v>
      </c>
      <c r="D644" s="408" t="s">
        <v>596</v>
      </c>
      <c r="E644" s="408" t="s">
        <v>965</v>
      </c>
      <c r="F644" s="408" t="s">
        <v>1317</v>
      </c>
      <c r="G644" s="408" t="s">
        <v>2319</v>
      </c>
      <c r="H644" s="408" t="s">
        <v>1317</v>
      </c>
      <c r="I644" s="408" t="s">
        <v>2236</v>
      </c>
      <c r="J644" s="408" t="s">
        <v>2320</v>
      </c>
      <c r="K644" s="828">
        <v>44593</v>
      </c>
      <c r="L644" s="408">
        <v>0</v>
      </c>
      <c r="M644" s="408">
        <v>0</v>
      </c>
      <c r="N644" s="408">
        <v>6.9539999999999997</v>
      </c>
      <c r="O644" s="408">
        <v>6.9539999999999997</v>
      </c>
      <c r="P644" s="408">
        <v>0</v>
      </c>
      <c r="Q644" s="408">
        <v>0</v>
      </c>
      <c r="R644" s="408"/>
      <c r="S644" s="408">
        <v>81.2</v>
      </c>
      <c r="T644" s="408"/>
      <c r="U644" s="408"/>
      <c r="V644" s="408">
        <v>564.66480000000001</v>
      </c>
      <c r="W644" s="408">
        <v>564.66480000000001</v>
      </c>
      <c r="X644" s="408">
        <v>551.59127999999998</v>
      </c>
      <c r="Y644" s="408">
        <v>0</v>
      </c>
      <c r="Z644" s="408">
        <v>374.21036050847437</v>
      </c>
      <c r="AA644" s="408">
        <v>0</v>
      </c>
      <c r="AB644" s="408">
        <v>0</v>
      </c>
      <c r="AC644" s="408">
        <v>0</v>
      </c>
      <c r="AD644" s="408">
        <v>0</v>
      </c>
      <c r="AE644" s="408">
        <v>0</v>
      </c>
      <c r="AF644" s="408"/>
      <c r="AG644" s="408"/>
      <c r="AH644" s="408"/>
      <c r="AI644" s="408">
        <v>0</v>
      </c>
      <c r="AJ644" s="408">
        <v>0</v>
      </c>
      <c r="AK644" s="408">
        <v>0</v>
      </c>
      <c r="AL644" s="408">
        <v>66.487396945530918</v>
      </c>
      <c r="AM644" s="408"/>
      <c r="AN644" s="408">
        <v>16.730671281141255</v>
      </c>
      <c r="AO644" s="408">
        <v>0</v>
      </c>
      <c r="AP644" s="408">
        <v>0</v>
      </c>
      <c r="AQ644" s="408">
        <v>0</v>
      </c>
      <c r="AR644" s="408">
        <v>0</v>
      </c>
      <c r="AS644" s="408"/>
      <c r="AT644" s="408"/>
      <c r="AU644" s="408">
        <v>0</v>
      </c>
      <c r="AV644" s="408">
        <v>0</v>
      </c>
      <c r="AW644" s="408">
        <v>0</v>
      </c>
      <c r="AX644" s="408"/>
      <c r="AY644" s="408"/>
      <c r="AZ644" s="408">
        <v>0</v>
      </c>
      <c r="BA644" s="408"/>
      <c r="BB644" s="408">
        <v>0</v>
      </c>
      <c r="BC644" s="408">
        <v>0</v>
      </c>
      <c r="BD644" s="408">
        <v>0</v>
      </c>
      <c r="BE644" s="408">
        <v>0</v>
      </c>
      <c r="BF644" s="408"/>
      <c r="BG644" s="408">
        <v>107.25043820852828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/>
      <c r="BO644" s="408"/>
      <c r="BP644" s="408"/>
      <c r="BQ644" s="408"/>
      <c r="BR644" s="408"/>
      <c r="BS644" s="408"/>
      <c r="BT644" s="408"/>
      <c r="BU644" s="408"/>
      <c r="BV644" s="408">
        <v>107.25043820852828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551.274</v>
      </c>
      <c r="CJ644" s="408">
        <v>-13.420799999999986</v>
      </c>
      <c r="CK644" s="408"/>
      <c r="CL644" s="408"/>
      <c r="CM644" s="408"/>
      <c r="CN644" s="408"/>
      <c r="CO644" s="408">
        <v>-13.073520000000066</v>
      </c>
      <c r="CP644" s="408">
        <v>0</v>
      </c>
      <c r="CQ644" s="408">
        <v>29</v>
      </c>
      <c r="CR644" s="408">
        <v>-13.094549114136043</v>
      </c>
      <c r="CS644" s="408">
        <v>0</v>
      </c>
      <c r="CT644" s="408">
        <v>0</v>
      </c>
      <c r="CU644" s="408">
        <v>0</v>
      </c>
      <c r="CV644" s="408">
        <v>0</v>
      </c>
      <c r="CW644" s="408"/>
      <c r="CX644" s="408"/>
      <c r="CY644" s="408"/>
      <c r="CZ644" s="408">
        <v>0</v>
      </c>
      <c r="DA644" s="408">
        <v>0</v>
      </c>
      <c r="DB644" s="408">
        <v>0</v>
      </c>
      <c r="DC644" s="408"/>
      <c r="DD644" s="408"/>
      <c r="DE644" s="408">
        <v>0</v>
      </c>
      <c r="DF644" s="408">
        <v>0</v>
      </c>
      <c r="DG644" s="408">
        <v>-1.5035922729111917E-8</v>
      </c>
      <c r="DH644" s="408">
        <v>0</v>
      </c>
      <c r="DI644" s="408">
        <v>-10.88094797111512</v>
      </c>
      <c r="DJ644" s="408"/>
      <c r="DK644" s="408">
        <v>0</v>
      </c>
      <c r="DL644" s="408">
        <v>0</v>
      </c>
      <c r="DM644" s="408"/>
      <c r="DN644" s="408">
        <v>0</v>
      </c>
      <c r="DO644" s="408">
        <v>-1.6703039720936914</v>
      </c>
      <c r="DP644" s="408">
        <v>-0.54329715589128824</v>
      </c>
      <c r="DQ644" s="408">
        <v>0</v>
      </c>
      <c r="DR644" s="408">
        <v>0</v>
      </c>
      <c r="DS644" s="408"/>
      <c r="DT644" s="408"/>
      <c r="DU644" s="408"/>
      <c r="DV644" s="408">
        <v>0</v>
      </c>
      <c r="DW644" s="408">
        <v>0</v>
      </c>
      <c r="DX644" s="408">
        <v>0</v>
      </c>
      <c r="DY644" s="408">
        <v>-13.07352000000003</v>
      </c>
      <c r="DZ644" s="408"/>
      <c r="EA644" s="408">
        <v>0</v>
      </c>
      <c r="EB644" s="408"/>
      <c r="EC644" s="408">
        <v>0</v>
      </c>
      <c r="ED644" s="408"/>
      <c r="EE644" s="408">
        <v>0</v>
      </c>
      <c r="EF644" s="408">
        <v>0</v>
      </c>
      <c r="EG644" s="408"/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/>
      <c r="EN644" s="408"/>
      <c r="EO644" s="408">
        <v>0</v>
      </c>
      <c r="EP644" s="408">
        <v>0</v>
      </c>
      <c r="EQ644" s="408"/>
      <c r="ER644" s="408">
        <v>0</v>
      </c>
      <c r="ES644" s="408"/>
      <c r="ET644" s="408">
        <v>0</v>
      </c>
      <c r="EU644" s="408"/>
      <c r="EV644" s="408">
        <v>265</v>
      </c>
      <c r="EW644" s="408"/>
      <c r="EX644" s="408"/>
      <c r="EY644" s="408"/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654</v>
      </c>
      <c r="B645" s="408" t="s">
        <v>1031</v>
      </c>
      <c r="C645" s="408" t="s">
        <v>2235</v>
      </c>
      <c r="D645" s="408" t="s">
        <v>596</v>
      </c>
      <c r="E645" s="408" t="s">
        <v>965</v>
      </c>
      <c r="F645" s="408" t="s">
        <v>1317</v>
      </c>
      <c r="G645" s="408" t="s">
        <v>2319</v>
      </c>
      <c r="H645" s="408" t="s">
        <v>1317</v>
      </c>
      <c r="I645" s="408" t="s">
        <v>1317</v>
      </c>
      <c r="J645" s="408" t="s">
        <v>2320</v>
      </c>
      <c r="K645" s="828">
        <v>44593</v>
      </c>
      <c r="L645" s="408">
        <v>600</v>
      </c>
      <c r="M645" s="408">
        <v>219.78</v>
      </c>
      <c r="N645" s="408">
        <v>0</v>
      </c>
      <c r="O645" s="408">
        <v>0</v>
      </c>
      <c r="P645" s="408">
        <v>0</v>
      </c>
      <c r="Q645" s="408">
        <v>0</v>
      </c>
      <c r="R645" s="408">
        <v>74.44</v>
      </c>
      <c r="S645" s="408"/>
      <c r="T645" s="408"/>
      <c r="U645" s="408">
        <v>44664</v>
      </c>
      <c r="V645" s="408"/>
      <c r="W645" s="408">
        <v>44664</v>
      </c>
      <c r="X645" s="408">
        <v>27252</v>
      </c>
      <c r="Y645" s="408">
        <v>0</v>
      </c>
      <c r="Z645" s="408">
        <v>0</v>
      </c>
      <c r="AA645" s="408">
        <v>0</v>
      </c>
      <c r="AB645" s="408">
        <v>0</v>
      </c>
      <c r="AC645" s="408">
        <v>0</v>
      </c>
      <c r="AD645" s="408">
        <v>16330.25551827108</v>
      </c>
      <c r="AE645" s="408">
        <v>28332.922760506921</v>
      </c>
      <c r="AF645" s="408"/>
      <c r="AG645" s="408"/>
      <c r="AH645" s="408"/>
      <c r="AI645" s="408">
        <v>0</v>
      </c>
      <c r="AJ645" s="408">
        <v>0</v>
      </c>
      <c r="AK645" s="408">
        <v>0</v>
      </c>
      <c r="AL645" s="408">
        <v>0</v>
      </c>
      <c r="AM645" s="408"/>
      <c r="AN645" s="408">
        <v>0</v>
      </c>
      <c r="AO645" s="408">
        <v>0</v>
      </c>
      <c r="AP645" s="408">
        <v>0</v>
      </c>
      <c r="AQ645" s="408">
        <v>0</v>
      </c>
      <c r="AR645" s="408">
        <v>0</v>
      </c>
      <c r="AS645" s="408"/>
      <c r="AT645" s="408"/>
      <c r="AU645" s="408">
        <v>0</v>
      </c>
      <c r="AV645" s="408">
        <v>0</v>
      </c>
      <c r="AW645" s="408">
        <v>0</v>
      </c>
      <c r="AX645" s="408"/>
      <c r="AY645" s="408"/>
      <c r="AZ645" s="408">
        <v>0</v>
      </c>
      <c r="BA645" s="408"/>
      <c r="BB645" s="408">
        <v>0</v>
      </c>
      <c r="BC645" s="408">
        <v>0</v>
      </c>
      <c r="BD645" s="408">
        <v>0</v>
      </c>
      <c r="BE645" s="408">
        <v>0</v>
      </c>
      <c r="BF645" s="408"/>
      <c r="BG645" s="408">
        <v>0</v>
      </c>
      <c r="BH645" s="408">
        <v>0</v>
      </c>
      <c r="BI645" s="408">
        <v>0</v>
      </c>
      <c r="BJ645" s="408">
        <v>0</v>
      </c>
      <c r="BK645" s="408">
        <v>818.9</v>
      </c>
      <c r="BL645" s="408">
        <v>1</v>
      </c>
      <c r="BM645" s="408"/>
      <c r="BN645" s="408">
        <v>17269.592400000001</v>
      </c>
      <c r="BO645" s="408"/>
      <c r="BP645" s="408"/>
      <c r="BQ645" s="408"/>
      <c r="BR645" s="408"/>
      <c r="BS645" s="408"/>
      <c r="BT645" s="408"/>
      <c r="BU645" s="408"/>
      <c r="BV645" s="408">
        <v>0</v>
      </c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>
        <v>9982.4076000000005</v>
      </c>
      <c r="CJ645" s="408">
        <v>-6378.0455999999995</v>
      </c>
      <c r="CK645" s="408"/>
      <c r="CL645" s="408"/>
      <c r="CM645" s="408"/>
      <c r="CN645" s="408"/>
      <c r="CO645" s="408">
        <v>-17411.999999999996</v>
      </c>
      <c r="CP645" s="408">
        <v>0</v>
      </c>
      <c r="CQ645" s="408">
        <v>29</v>
      </c>
      <c r="CR645" s="408">
        <v>-41.970194755860575</v>
      </c>
      <c r="CS645" s="408">
        <v>0</v>
      </c>
      <c r="CT645" s="408">
        <v>0</v>
      </c>
      <c r="CU645" s="408">
        <v>0</v>
      </c>
      <c r="CV645" s="408">
        <v>0</v>
      </c>
      <c r="CW645" s="408"/>
      <c r="CX645" s="408"/>
      <c r="CY645" s="408"/>
      <c r="CZ645" s="408">
        <v>-41.970194755860575</v>
      </c>
      <c r="DA645" s="408">
        <v>0</v>
      </c>
      <c r="DB645" s="408">
        <v>0</v>
      </c>
      <c r="DC645" s="408"/>
      <c r="DD645" s="408"/>
      <c r="DE645" s="408">
        <v>0</v>
      </c>
      <c r="DF645" s="408">
        <v>0</v>
      </c>
      <c r="DG645" s="408">
        <v>0</v>
      </c>
      <c r="DH645" s="408">
        <v>0</v>
      </c>
      <c r="DI645" s="408">
        <v>0</v>
      </c>
      <c r="DJ645" s="408"/>
      <c r="DK645" s="408">
        <v>0</v>
      </c>
      <c r="DL645" s="408">
        <v>0</v>
      </c>
      <c r="DM645" s="408"/>
      <c r="DN645" s="408">
        <v>0</v>
      </c>
      <c r="DO645" s="408">
        <v>0</v>
      </c>
      <c r="DP645" s="408">
        <v>0</v>
      </c>
      <c r="DQ645" s="408">
        <v>0</v>
      </c>
      <c r="DR645" s="408">
        <v>0</v>
      </c>
      <c r="DS645" s="408"/>
      <c r="DT645" s="408"/>
      <c r="DU645" s="408">
        <v>28332.922760506921</v>
      </c>
      <c r="DV645" s="408"/>
      <c r="DW645" s="408">
        <v>0</v>
      </c>
      <c r="DX645" s="408">
        <v>0</v>
      </c>
      <c r="DY645" s="408">
        <v>-17412</v>
      </c>
      <c r="DZ645" s="408"/>
      <c r="EA645" s="408">
        <v>0</v>
      </c>
      <c r="EB645" s="408"/>
      <c r="EC645" s="408">
        <v>-17372.193377360702</v>
      </c>
      <c r="ED645" s="408"/>
      <c r="EE645" s="408">
        <v>0</v>
      </c>
      <c r="EF645" s="408">
        <v>0</v>
      </c>
      <c r="EG645" s="408"/>
      <c r="EH645" s="408">
        <v>0</v>
      </c>
      <c r="EI645" s="408">
        <v>0</v>
      </c>
      <c r="EJ645" s="408">
        <v>0</v>
      </c>
      <c r="EK645" s="408">
        <v>0</v>
      </c>
      <c r="EL645" s="408">
        <v>0</v>
      </c>
      <c r="EM645" s="408"/>
      <c r="EN645" s="408"/>
      <c r="EO645" s="408">
        <v>0</v>
      </c>
      <c r="EP645" s="408">
        <v>0</v>
      </c>
      <c r="EQ645" s="408"/>
      <c r="ER645" s="408">
        <v>0</v>
      </c>
      <c r="ES645" s="408"/>
      <c r="ET645" s="408">
        <v>0</v>
      </c>
      <c r="EU645" s="408"/>
      <c r="EV645" s="408">
        <v>265</v>
      </c>
      <c r="EW645" s="408"/>
      <c r="EX645" s="408"/>
      <c r="EY645" s="408"/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655</v>
      </c>
      <c r="B646" s="408" t="s">
        <v>1031</v>
      </c>
      <c r="C646" s="408" t="s">
        <v>2235</v>
      </c>
      <c r="D646" s="408" t="s">
        <v>596</v>
      </c>
      <c r="E646" s="408" t="s">
        <v>965</v>
      </c>
      <c r="F646" s="408" t="s">
        <v>1317</v>
      </c>
      <c r="G646" s="408" t="s">
        <v>2319</v>
      </c>
      <c r="H646" s="408" t="s">
        <v>1317</v>
      </c>
      <c r="I646" s="408" t="s">
        <v>968</v>
      </c>
      <c r="J646" s="408" t="s">
        <v>2320</v>
      </c>
      <c r="K646" s="828">
        <v>44621</v>
      </c>
      <c r="L646" s="408">
        <v>0</v>
      </c>
      <c r="M646" s="408">
        <v>0</v>
      </c>
      <c r="N646" s="408">
        <v>1.5289999999999999</v>
      </c>
      <c r="O646" s="408">
        <v>1.5289999999999999</v>
      </c>
      <c r="P646" s="408">
        <v>0</v>
      </c>
      <c r="Q646" s="408">
        <v>0</v>
      </c>
      <c r="R646" s="408"/>
      <c r="S646" s="408">
        <v>2641.06</v>
      </c>
      <c r="T646" s="408"/>
      <c r="U646" s="408"/>
      <c r="V646" s="408">
        <v>4038.1807399999998</v>
      </c>
      <c r="W646" s="408">
        <v>4038.1807399999998</v>
      </c>
      <c r="X646" s="408">
        <v>2240.1684799999998</v>
      </c>
      <c r="Y646" s="408">
        <v>0</v>
      </c>
      <c r="Z646" s="408">
        <v>82.278924535153479</v>
      </c>
      <c r="AA646" s="408">
        <v>0</v>
      </c>
      <c r="AB646" s="408">
        <v>0</v>
      </c>
      <c r="AC646" s="408">
        <v>0</v>
      </c>
      <c r="AD646" s="408">
        <v>990.43572853449325</v>
      </c>
      <c r="AE646" s="408">
        <v>2923.5861309306665</v>
      </c>
      <c r="AF646" s="408"/>
      <c r="AG646" s="408"/>
      <c r="AH646" s="408"/>
      <c r="AI646" s="408">
        <v>0</v>
      </c>
      <c r="AJ646" s="408">
        <v>0</v>
      </c>
      <c r="AK646" s="408">
        <v>0</v>
      </c>
      <c r="AL646" s="408">
        <v>14.618813622334883</v>
      </c>
      <c r="AM646" s="408"/>
      <c r="AN646" s="408">
        <v>3.678630484449954</v>
      </c>
      <c r="AO646" s="408">
        <v>0</v>
      </c>
      <c r="AP646" s="408">
        <v>0</v>
      </c>
      <c r="AQ646" s="408">
        <v>0</v>
      </c>
      <c r="AR646" s="408">
        <v>0</v>
      </c>
      <c r="AS646" s="408"/>
      <c r="AT646" s="408"/>
      <c r="AU646" s="408">
        <v>0</v>
      </c>
      <c r="AV646" s="408">
        <v>0</v>
      </c>
      <c r="AW646" s="408">
        <v>0</v>
      </c>
      <c r="AX646" s="408"/>
      <c r="AY646" s="408"/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/>
      <c r="BG646" s="408">
        <v>23.581524305556478</v>
      </c>
      <c r="BH646" s="408">
        <v>0</v>
      </c>
      <c r="BI646" s="408">
        <v>0</v>
      </c>
      <c r="BJ646" s="408">
        <v>0</v>
      </c>
      <c r="BK646" s="408">
        <v>0</v>
      </c>
      <c r="BL646" s="408">
        <v>0</v>
      </c>
      <c r="BM646" s="408"/>
      <c r="BN646" s="408"/>
      <c r="BO646" s="408"/>
      <c r="BP646" s="408"/>
      <c r="BQ646" s="408"/>
      <c r="BR646" s="408"/>
      <c r="BS646" s="408"/>
      <c r="BT646" s="408"/>
      <c r="BU646" s="408"/>
      <c r="BV646" s="408">
        <v>23.581524305556478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2241.6335999999997</v>
      </c>
      <c r="CJ646" s="408">
        <v>-1796.5771400000008</v>
      </c>
      <c r="CK646" s="408"/>
      <c r="CL646" s="408"/>
      <c r="CM646" s="408"/>
      <c r="CN646" s="408"/>
      <c r="CO646" s="408">
        <v>-1798.01226</v>
      </c>
      <c r="CP646" s="408">
        <v>0</v>
      </c>
      <c r="CQ646" s="408">
        <v>31</v>
      </c>
      <c r="CR646" s="408">
        <v>-5.4246507859832036</v>
      </c>
      <c r="CS646" s="408">
        <v>0</v>
      </c>
      <c r="CT646" s="408">
        <v>0</v>
      </c>
      <c r="CU646" s="408">
        <v>0</v>
      </c>
      <c r="CV646" s="408">
        <v>0</v>
      </c>
      <c r="CW646" s="408"/>
      <c r="CX646" s="408"/>
      <c r="CY646" s="408"/>
      <c r="CZ646" s="408">
        <v>-2.5455070420210859</v>
      </c>
      <c r="DA646" s="408">
        <v>0</v>
      </c>
      <c r="DB646" s="408">
        <v>0</v>
      </c>
      <c r="DC646" s="408"/>
      <c r="DD646" s="408"/>
      <c r="DE646" s="408">
        <v>0</v>
      </c>
      <c r="DF646" s="408">
        <v>0</v>
      </c>
      <c r="DG646" s="408">
        <v>-3.3060025828035577E-9</v>
      </c>
      <c r="DH646" s="408">
        <v>0</v>
      </c>
      <c r="DI646" s="408">
        <v>-2.3924316145865703</v>
      </c>
      <c r="DJ646" s="408"/>
      <c r="DK646" s="408">
        <v>0</v>
      </c>
      <c r="DL646" s="408">
        <v>0</v>
      </c>
      <c r="DM646" s="408"/>
      <c r="DN646" s="408">
        <v>0</v>
      </c>
      <c r="DO646" s="408">
        <v>-0.36725550378649174</v>
      </c>
      <c r="DP646" s="408">
        <v>-0.11945662228325871</v>
      </c>
      <c r="DQ646" s="408">
        <v>0</v>
      </c>
      <c r="DR646" s="408">
        <v>0</v>
      </c>
      <c r="DS646" s="408"/>
      <c r="DT646" s="408"/>
      <c r="DU646" s="408"/>
      <c r="DV646" s="408">
        <v>2923.5861309306665</v>
      </c>
      <c r="DW646" s="408">
        <v>0</v>
      </c>
      <c r="DX646" s="408">
        <v>0</v>
      </c>
      <c r="DY646" s="408">
        <v>-1798.01226</v>
      </c>
      <c r="DZ646" s="408"/>
      <c r="EA646" s="408">
        <v>0</v>
      </c>
      <c r="EB646" s="408"/>
      <c r="EC646" s="408">
        <v>-1792.5825743855783</v>
      </c>
      <c r="ED646" s="408"/>
      <c r="EE646" s="408">
        <v>0</v>
      </c>
      <c r="EF646" s="408">
        <v>0</v>
      </c>
      <c r="EG646" s="408"/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/>
      <c r="EN646" s="408"/>
      <c r="EO646" s="408">
        <v>0</v>
      </c>
      <c r="EP646" s="408">
        <v>0</v>
      </c>
      <c r="EQ646" s="408"/>
      <c r="ER646" s="408">
        <v>0</v>
      </c>
      <c r="ES646" s="408"/>
      <c r="ET646" s="408">
        <v>0</v>
      </c>
      <c r="EU646" s="408"/>
      <c r="EV646" s="408">
        <v>265</v>
      </c>
      <c r="EW646" s="408"/>
      <c r="EX646" s="408"/>
      <c r="EY646" s="408"/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656</v>
      </c>
      <c r="B647" s="408" t="s">
        <v>1031</v>
      </c>
      <c r="C647" s="408" t="s">
        <v>2235</v>
      </c>
      <c r="D647" s="408" t="s">
        <v>596</v>
      </c>
      <c r="E647" s="408" t="s">
        <v>965</v>
      </c>
      <c r="F647" s="408" t="s">
        <v>1317</v>
      </c>
      <c r="G647" s="408" t="s">
        <v>2319</v>
      </c>
      <c r="H647" s="408" t="s">
        <v>1317</v>
      </c>
      <c r="I647" s="408" t="s">
        <v>2236</v>
      </c>
      <c r="J647" s="408" t="s">
        <v>2320</v>
      </c>
      <c r="K647" s="828">
        <v>44621</v>
      </c>
      <c r="L647" s="408">
        <v>0</v>
      </c>
      <c r="M647" s="408">
        <v>0</v>
      </c>
      <c r="N647" s="408">
        <v>10.055</v>
      </c>
      <c r="O647" s="408">
        <v>10.055</v>
      </c>
      <c r="P647" s="408">
        <v>0</v>
      </c>
      <c r="Q647" s="408">
        <v>0</v>
      </c>
      <c r="R647" s="408"/>
      <c r="S647" s="408">
        <v>81.2</v>
      </c>
      <c r="T647" s="408"/>
      <c r="U647" s="408"/>
      <c r="V647" s="408">
        <v>816.46600000000001</v>
      </c>
      <c r="W647" s="408">
        <v>816.46600000000001</v>
      </c>
      <c r="X647" s="408">
        <v>797.56259999999986</v>
      </c>
      <c r="Y647" s="408">
        <v>0</v>
      </c>
      <c r="Z647" s="408">
        <v>541.08213616806302</v>
      </c>
      <c r="AA647" s="408">
        <v>0</v>
      </c>
      <c r="AB647" s="408">
        <v>0</v>
      </c>
      <c r="AC647" s="408">
        <v>0</v>
      </c>
      <c r="AD647" s="408">
        <v>0</v>
      </c>
      <c r="AE647" s="408">
        <v>0</v>
      </c>
      <c r="AF647" s="408"/>
      <c r="AG647" s="408"/>
      <c r="AH647" s="408"/>
      <c r="AI647" s="408">
        <v>0</v>
      </c>
      <c r="AJ647" s="408">
        <v>0</v>
      </c>
      <c r="AK647" s="408">
        <v>0</v>
      </c>
      <c r="AL647" s="408">
        <v>96.136148445112667</v>
      </c>
      <c r="AM647" s="408"/>
      <c r="AN647" s="408">
        <v>24.191386213959639</v>
      </c>
      <c r="AO647" s="408">
        <v>0</v>
      </c>
      <c r="AP647" s="408">
        <v>0</v>
      </c>
      <c r="AQ647" s="408">
        <v>0</v>
      </c>
      <c r="AR647" s="408">
        <v>0</v>
      </c>
      <c r="AS647" s="408"/>
      <c r="AT647" s="408"/>
      <c r="AU647" s="408">
        <v>0</v>
      </c>
      <c r="AV647" s="408">
        <v>0</v>
      </c>
      <c r="AW647" s="408">
        <v>0</v>
      </c>
      <c r="AX647" s="408"/>
      <c r="AY647" s="408"/>
      <c r="AZ647" s="408">
        <v>0</v>
      </c>
      <c r="BA647" s="408"/>
      <c r="BB647" s="408">
        <v>0</v>
      </c>
      <c r="BC647" s="408">
        <v>0</v>
      </c>
      <c r="BD647" s="408">
        <v>0</v>
      </c>
      <c r="BE647" s="408">
        <v>0</v>
      </c>
      <c r="BF647" s="408"/>
      <c r="BG647" s="408">
        <v>155.07666899435606</v>
      </c>
      <c r="BH647" s="408">
        <v>0</v>
      </c>
      <c r="BI647" s="408">
        <v>0</v>
      </c>
      <c r="BJ647" s="408">
        <v>0</v>
      </c>
      <c r="BK647" s="408">
        <v>0</v>
      </c>
      <c r="BL647" s="408">
        <v>0</v>
      </c>
      <c r="BM647" s="408"/>
      <c r="BN647" s="408"/>
      <c r="BO647" s="408"/>
      <c r="BP647" s="408"/>
      <c r="BQ647" s="408"/>
      <c r="BR647" s="408"/>
      <c r="BS647" s="408"/>
      <c r="BT647" s="408"/>
      <c r="BU647" s="408"/>
      <c r="BV647" s="408">
        <v>155.07666899435606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797.95920000000001</v>
      </c>
      <c r="CJ647" s="408">
        <v>-18.536799999999971</v>
      </c>
      <c r="CK647" s="408"/>
      <c r="CL647" s="408"/>
      <c r="CM647" s="408"/>
      <c r="CN647" s="408"/>
      <c r="CO647" s="408">
        <v>-18.903400000000097</v>
      </c>
      <c r="CP647" s="408">
        <v>0</v>
      </c>
      <c r="CQ647" s="408">
        <v>31</v>
      </c>
      <c r="CR647" s="408">
        <v>-18.93380663540961</v>
      </c>
      <c r="CS647" s="408">
        <v>0</v>
      </c>
      <c r="CT647" s="408">
        <v>0</v>
      </c>
      <c r="CU647" s="408">
        <v>0</v>
      </c>
      <c r="CV647" s="408">
        <v>0</v>
      </c>
      <c r="CW647" s="408"/>
      <c r="CX647" s="408"/>
      <c r="CY647" s="408"/>
      <c r="CZ647" s="408">
        <v>0</v>
      </c>
      <c r="DA647" s="408">
        <v>0</v>
      </c>
      <c r="DB647" s="408">
        <v>0</v>
      </c>
      <c r="DC647" s="408"/>
      <c r="DD647" s="408"/>
      <c r="DE647" s="408">
        <v>0</v>
      </c>
      <c r="DF647" s="408">
        <v>0</v>
      </c>
      <c r="DG647" s="408">
        <v>-2.1740930833402672E-8</v>
      </c>
      <c r="DH647" s="408">
        <v>0</v>
      </c>
      <c r="DI647" s="408">
        <v>-15.733093449750299</v>
      </c>
      <c r="DJ647" s="408"/>
      <c r="DK647" s="408">
        <v>0</v>
      </c>
      <c r="DL647" s="408">
        <v>0</v>
      </c>
      <c r="DM647" s="408"/>
      <c r="DN647" s="408">
        <v>0</v>
      </c>
      <c r="DO647" s="408">
        <v>-2.4151432901067267</v>
      </c>
      <c r="DP647" s="408">
        <v>-0.78556987381175247</v>
      </c>
      <c r="DQ647" s="408">
        <v>0</v>
      </c>
      <c r="DR647" s="408">
        <v>0</v>
      </c>
      <c r="DS647" s="408"/>
      <c r="DT647" s="408"/>
      <c r="DU647" s="408"/>
      <c r="DV647" s="408">
        <v>0</v>
      </c>
      <c r="DW647" s="408">
        <v>0</v>
      </c>
      <c r="DX647" s="408">
        <v>0</v>
      </c>
      <c r="DY647" s="408">
        <v>-18.903400000000147</v>
      </c>
      <c r="DZ647" s="408"/>
      <c r="EA647" s="408">
        <v>0</v>
      </c>
      <c r="EB647" s="408"/>
      <c r="EC647" s="408">
        <v>0</v>
      </c>
      <c r="ED647" s="408"/>
      <c r="EE647" s="408">
        <v>0</v>
      </c>
      <c r="EF647" s="408">
        <v>0</v>
      </c>
      <c r="EG647" s="408"/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/>
      <c r="EN647" s="408"/>
      <c r="EO647" s="408">
        <v>0</v>
      </c>
      <c r="EP647" s="408">
        <v>0</v>
      </c>
      <c r="EQ647" s="408"/>
      <c r="ER647" s="408">
        <v>0</v>
      </c>
      <c r="ES647" s="408"/>
      <c r="ET647" s="408">
        <v>0</v>
      </c>
      <c r="EU647" s="408"/>
      <c r="EV647" s="408">
        <v>265</v>
      </c>
      <c r="EW647" s="408"/>
      <c r="EX647" s="408"/>
      <c r="EY647" s="408"/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657</v>
      </c>
      <c r="B648" s="408" t="s">
        <v>1031</v>
      </c>
      <c r="C648" s="408" t="s">
        <v>2235</v>
      </c>
      <c r="D648" s="408" t="s">
        <v>596</v>
      </c>
      <c r="E648" s="408" t="s">
        <v>965</v>
      </c>
      <c r="F648" s="408" t="s">
        <v>1317</v>
      </c>
      <c r="G648" s="408" t="s">
        <v>2319</v>
      </c>
      <c r="H648" s="408" t="s">
        <v>1317</v>
      </c>
      <c r="I648" s="408" t="s">
        <v>1317</v>
      </c>
      <c r="J648" s="408" t="s">
        <v>2320</v>
      </c>
      <c r="K648" s="828">
        <v>44621</v>
      </c>
      <c r="L648" s="408">
        <v>600</v>
      </c>
      <c r="M648" s="408">
        <v>128.69999999999999</v>
      </c>
      <c r="N648" s="408">
        <v>0</v>
      </c>
      <c r="O648" s="408">
        <v>0</v>
      </c>
      <c r="P648" s="408">
        <v>0</v>
      </c>
      <c r="Q648" s="408">
        <v>0</v>
      </c>
      <c r="R648" s="408">
        <v>74.44</v>
      </c>
      <c r="S648" s="408"/>
      <c r="T648" s="408"/>
      <c r="U648" s="408">
        <v>44664</v>
      </c>
      <c r="V648" s="408"/>
      <c r="W648" s="408">
        <v>44664</v>
      </c>
      <c r="X648" s="408">
        <v>27252</v>
      </c>
      <c r="Y648" s="408">
        <v>0</v>
      </c>
      <c r="Z648" s="408">
        <v>0</v>
      </c>
      <c r="AA648" s="408">
        <v>0</v>
      </c>
      <c r="AB648" s="408">
        <v>0</v>
      </c>
      <c r="AC648" s="408">
        <v>0</v>
      </c>
      <c r="AD648" s="408">
        <v>16330.25551827108</v>
      </c>
      <c r="AE648" s="408">
        <v>28332.922760506921</v>
      </c>
      <c r="AF648" s="408"/>
      <c r="AG648" s="408"/>
      <c r="AH648" s="408"/>
      <c r="AI648" s="408">
        <v>0</v>
      </c>
      <c r="AJ648" s="408">
        <v>0</v>
      </c>
      <c r="AK648" s="408">
        <v>0</v>
      </c>
      <c r="AL648" s="408">
        <v>0</v>
      </c>
      <c r="AM648" s="408"/>
      <c r="AN648" s="408">
        <v>0</v>
      </c>
      <c r="AO648" s="408">
        <v>0</v>
      </c>
      <c r="AP648" s="408">
        <v>0</v>
      </c>
      <c r="AQ648" s="408">
        <v>0</v>
      </c>
      <c r="AR648" s="408">
        <v>0</v>
      </c>
      <c r="AS648" s="408"/>
      <c r="AT648" s="408"/>
      <c r="AU648" s="408">
        <v>0</v>
      </c>
      <c r="AV648" s="408">
        <v>0</v>
      </c>
      <c r="AW648" s="408">
        <v>0</v>
      </c>
      <c r="AX648" s="408"/>
      <c r="AY648" s="408"/>
      <c r="AZ648" s="408">
        <v>0</v>
      </c>
      <c r="BA648" s="408"/>
      <c r="BB648" s="408">
        <v>0</v>
      </c>
      <c r="BC648" s="408">
        <v>0</v>
      </c>
      <c r="BD648" s="408">
        <v>0</v>
      </c>
      <c r="BE648" s="408">
        <v>0</v>
      </c>
      <c r="BF648" s="408"/>
      <c r="BG648" s="408">
        <v>0</v>
      </c>
      <c r="BH648" s="408">
        <v>0</v>
      </c>
      <c r="BI648" s="408">
        <v>0</v>
      </c>
      <c r="BJ648" s="408">
        <v>0</v>
      </c>
      <c r="BK648" s="408">
        <v>1354.9</v>
      </c>
      <c r="BL648" s="408">
        <v>1</v>
      </c>
      <c r="BM648" s="408"/>
      <c r="BN648" s="408">
        <v>21406.446</v>
      </c>
      <c r="BO648" s="408"/>
      <c r="BP648" s="408"/>
      <c r="BQ648" s="408"/>
      <c r="BR648" s="408"/>
      <c r="BS648" s="408"/>
      <c r="BT648" s="408"/>
      <c r="BU648" s="408"/>
      <c r="BV648" s="408">
        <v>0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5845.5540000000001</v>
      </c>
      <c r="CJ648" s="408">
        <v>-3734.9039999999986</v>
      </c>
      <c r="CK648" s="408"/>
      <c r="CL648" s="408"/>
      <c r="CM648" s="408"/>
      <c r="CN648" s="408"/>
      <c r="CO648" s="408">
        <v>-17411.999999999996</v>
      </c>
      <c r="CP648" s="408">
        <v>0</v>
      </c>
      <c r="CQ648" s="408">
        <v>31</v>
      </c>
      <c r="CR648" s="408">
        <v>-41.970194755860575</v>
      </c>
      <c r="CS648" s="408">
        <v>0</v>
      </c>
      <c r="CT648" s="408">
        <v>0</v>
      </c>
      <c r="CU648" s="408">
        <v>0</v>
      </c>
      <c r="CV648" s="408">
        <v>0</v>
      </c>
      <c r="CW648" s="408"/>
      <c r="CX648" s="408"/>
      <c r="CY648" s="408"/>
      <c r="CZ648" s="408">
        <v>-41.970194755860575</v>
      </c>
      <c r="DA648" s="408">
        <v>0</v>
      </c>
      <c r="DB648" s="408">
        <v>0</v>
      </c>
      <c r="DC648" s="408"/>
      <c r="DD648" s="408"/>
      <c r="DE648" s="408">
        <v>0</v>
      </c>
      <c r="DF648" s="408">
        <v>0</v>
      </c>
      <c r="DG648" s="408">
        <v>0</v>
      </c>
      <c r="DH648" s="408">
        <v>0</v>
      </c>
      <c r="DI648" s="408">
        <v>0</v>
      </c>
      <c r="DJ648" s="408"/>
      <c r="DK648" s="408">
        <v>0</v>
      </c>
      <c r="DL648" s="408">
        <v>0</v>
      </c>
      <c r="DM648" s="408"/>
      <c r="DN648" s="408">
        <v>0</v>
      </c>
      <c r="DO648" s="408">
        <v>0</v>
      </c>
      <c r="DP648" s="408">
        <v>0</v>
      </c>
      <c r="DQ648" s="408">
        <v>0</v>
      </c>
      <c r="DR648" s="408">
        <v>0</v>
      </c>
      <c r="DS648" s="408"/>
      <c r="DT648" s="408"/>
      <c r="DU648" s="408">
        <v>28332.922760506921</v>
      </c>
      <c r="DV648" s="408"/>
      <c r="DW648" s="408">
        <v>0</v>
      </c>
      <c r="DX648" s="408">
        <v>0</v>
      </c>
      <c r="DY648" s="408">
        <v>-17412</v>
      </c>
      <c r="DZ648" s="408"/>
      <c r="EA648" s="408">
        <v>0</v>
      </c>
      <c r="EB648" s="408"/>
      <c r="EC648" s="408">
        <v>-17372.193377360702</v>
      </c>
      <c r="ED648" s="408"/>
      <c r="EE648" s="408">
        <v>0</v>
      </c>
      <c r="EF648" s="408">
        <v>0</v>
      </c>
      <c r="EG648" s="408"/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/>
      <c r="EN648" s="408"/>
      <c r="EO648" s="408">
        <v>0</v>
      </c>
      <c r="EP648" s="408">
        <v>0</v>
      </c>
      <c r="EQ648" s="408"/>
      <c r="ER648" s="408">
        <v>0</v>
      </c>
      <c r="ES648" s="408"/>
      <c r="ET648" s="408">
        <v>0</v>
      </c>
      <c r="EU648" s="408"/>
      <c r="EV648" s="408">
        <v>265</v>
      </c>
      <c r="EW648" s="408"/>
      <c r="EX648" s="408"/>
      <c r="EY648" s="408"/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658</v>
      </c>
      <c r="B649" s="408" t="s">
        <v>1031</v>
      </c>
      <c r="C649" s="408" t="s">
        <v>2235</v>
      </c>
      <c r="D649" s="408" t="s">
        <v>596</v>
      </c>
      <c r="E649" s="408" t="s">
        <v>965</v>
      </c>
      <c r="F649" s="408" t="s">
        <v>1317</v>
      </c>
      <c r="G649" s="408" t="s">
        <v>2319</v>
      </c>
      <c r="H649" s="408" t="s">
        <v>1317</v>
      </c>
      <c r="I649" s="408" t="s">
        <v>968</v>
      </c>
      <c r="J649" s="408" t="s">
        <v>2320</v>
      </c>
      <c r="K649" s="828">
        <v>44652</v>
      </c>
      <c r="L649" s="408">
        <v>0</v>
      </c>
      <c r="M649" s="408">
        <v>0</v>
      </c>
      <c r="N649" s="408">
        <v>4.9880000000000004</v>
      </c>
      <c r="O649" s="408">
        <v>4.9880000000000004</v>
      </c>
      <c r="P649" s="408">
        <v>0</v>
      </c>
      <c r="Q649" s="408">
        <v>0</v>
      </c>
      <c r="R649" s="408"/>
      <c r="S649" s="408">
        <v>2641.06</v>
      </c>
      <c r="T649" s="408"/>
      <c r="U649" s="408"/>
      <c r="V649" s="408">
        <v>13173.60728</v>
      </c>
      <c r="W649" s="408">
        <v>13173.60728</v>
      </c>
      <c r="X649" s="408">
        <v>7308.0185600000004</v>
      </c>
      <c r="Y649" s="408">
        <v>0</v>
      </c>
      <c r="Z649" s="408">
        <v>268.41548435666817</v>
      </c>
      <c r="AA649" s="408">
        <v>0</v>
      </c>
      <c r="AB649" s="408">
        <v>0</v>
      </c>
      <c r="AC649" s="408">
        <v>0</v>
      </c>
      <c r="AD649" s="408">
        <v>3231.0617488097146</v>
      </c>
      <c r="AE649" s="408">
        <v>9537.5066194127976</v>
      </c>
      <c r="AF649" s="408"/>
      <c r="AG649" s="408"/>
      <c r="AH649" s="408"/>
      <c r="AI649" s="408">
        <v>0</v>
      </c>
      <c r="AJ649" s="408">
        <v>0</v>
      </c>
      <c r="AK649" s="408">
        <v>0</v>
      </c>
      <c r="AL649" s="408">
        <v>47.690413569788369</v>
      </c>
      <c r="AM649" s="408"/>
      <c r="AN649" s="408">
        <v>12.000659814543083</v>
      </c>
      <c r="AO649" s="408">
        <v>0</v>
      </c>
      <c r="AP649" s="408">
        <v>0</v>
      </c>
      <c r="AQ649" s="408">
        <v>0</v>
      </c>
      <c r="AR649" s="408">
        <v>0</v>
      </c>
      <c r="AS649" s="408"/>
      <c r="AT649" s="408"/>
      <c r="AU649" s="408">
        <v>0</v>
      </c>
      <c r="AV649" s="408">
        <v>0</v>
      </c>
      <c r="AW649" s="408">
        <v>0</v>
      </c>
      <c r="AX649" s="408"/>
      <c r="AY649" s="408"/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0</v>
      </c>
      <c r="BF649" s="408"/>
      <c r="BG649" s="408">
        <v>76.929132266916767</v>
      </c>
      <c r="BH649" s="408">
        <v>0</v>
      </c>
      <c r="BI649" s="408">
        <v>0</v>
      </c>
      <c r="BJ649" s="408">
        <v>0</v>
      </c>
      <c r="BK649" s="408">
        <v>0</v>
      </c>
      <c r="BL649" s="408">
        <v>0</v>
      </c>
      <c r="BM649" s="408"/>
      <c r="BN649" s="408"/>
      <c r="BO649" s="408"/>
      <c r="BP649" s="408"/>
      <c r="BQ649" s="408"/>
      <c r="BR649" s="408"/>
      <c r="BS649" s="408"/>
      <c r="BT649" s="408"/>
      <c r="BU649" s="408"/>
      <c r="BV649" s="408">
        <v>76.929132266916767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7310.9488000000001</v>
      </c>
      <c r="CJ649" s="408">
        <v>-5862.6884800000007</v>
      </c>
      <c r="CK649" s="408"/>
      <c r="CL649" s="408"/>
      <c r="CM649" s="408"/>
      <c r="CN649" s="408"/>
      <c r="CO649" s="408">
        <v>-5865.5887200000006</v>
      </c>
      <c r="CP649" s="408">
        <v>0</v>
      </c>
      <c r="CQ649" s="408">
        <v>30</v>
      </c>
      <c r="CR649" s="408">
        <v>-17.696637096459199</v>
      </c>
      <c r="CS649" s="408">
        <v>0</v>
      </c>
      <c r="CT649" s="408">
        <v>0</v>
      </c>
      <c r="CU649" s="408">
        <v>0</v>
      </c>
      <c r="CV649" s="408">
        <v>0</v>
      </c>
      <c r="CW649" s="408"/>
      <c r="CX649" s="408"/>
      <c r="CY649" s="408"/>
      <c r="CZ649" s="408">
        <v>-8.3041132279931844</v>
      </c>
      <c r="DA649" s="408">
        <v>0</v>
      </c>
      <c r="DB649" s="408">
        <v>0</v>
      </c>
      <c r="DC649" s="408"/>
      <c r="DD649" s="408"/>
      <c r="DE649" s="408">
        <v>0</v>
      </c>
      <c r="DF649" s="408">
        <v>0</v>
      </c>
      <c r="DG649" s="408">
        <v>-1.0785058179862972E-8</v>
      </c>
      <c r="DH649" s="408">
        <v>0</v>
      </c>
      <c r="DI649" s="408">
        <v>-7.8047409375787424</v>
      </c>
      <c r="DJ649" s="408"/>
      <c r="DK649" s="408">
        <v>0</v>
      </c>
      <c r="DL649" s="408">
        <v>0</v>
      </c>
      <c r="DM649" s="408"/>
      <c r="DN649" s="408">
        <v>0</v>
      </c>
      <c r="DO649" s="408">
        <v>-1.198084011044493</v>
      </c>
      <c r="DP649" s="408">
        <v>-0.38969890905748628</v>
      </c>
      <c r="DQ649" s="408">
        <v>0</v>
      </c>
      <c r="DR649" s="408">
        <v>0</v>
      </c>
      <c r="DS649" s="408"/>
      <c r="DT649" s="408"/>
      <c r="DU649" s="408"/>
      <c r="DV649" s="408">
        <v>9537.5066194127976</v>
      </c>
      <c r="DW649" s="408">
        <v>0</v>
      </c>
      <c r="DX649" s="408">
        <v>0</v>
      </c>
      <c r="DY649" s="408">
        <v>-5865.5887199999997</v>
      </c>
      <c r="DZ649" s="408"/>
      <c r="EA649" s="408">
        <v>0</v>
      </c>
      <c r="EB649" s="408"/>
      <c r="EC649" s="408">
        <v>-5847.8756579694345</v>
      </c>
      <c r="ED649" s="408"/>
      <c r="EE649" s="408">
        <v>0</v>
      </c>
      <c r="EF649" s="408">
        <v>0</v>
      </c>
      <c r="EG649" s="408"/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/>
      <c r="EN649" s="408"/>
      <c r="EO649" s="408">
        <v>0</v>
      </c>
      <c r="EP649" s="408">
        <v>0</v>
      </c>
      <c r="EQ649" s="408"/>
      <c r="ER649" s="408">
        <v>0</v>
      </c>
      <c r="ES649" s="408"/>
      <c r="ET649" s="408">
        <v>0</v>
      </c>
      <c r="EU649" s="408"/>
      <c r="EV649" s="408">
        <v>265</v>
      </c>
      <c r="EW649" s="408"/>
      <c r="EX649" s="408"/>
      <c r="EY649" s="408"/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1702">
        <v>659</v>
      </c>
      <c r="B650" s="1702" t="s">
        <v>1031</v>
      </c>
      <c r="C650" s="1702" t="s">
        <v>2235</v>
      </c>
      <c r="D650" s="1702" t="s">
        <v>596</v>
      </c>
      <c r="E650" s="1702" t="s">
        <v>965</v>
      </c>
      <c r="F650" s="1702" t="s">
        <v>1317</v>
      </c>
      <c r="G650" s="1702" t="s">
        <v>2319</v>
      </c>
      <c r="H650" s="1702" t="s">
        <v>1317</v>
      </c>
      <c r="I650" s="1702" t="s">
        <v>2236</v>
      </c>
      <c r="J650" s="1702" t="s">
        <v>2320</v>
      </c>
      <c r="K650" s="1703">
        <v>44652</v>
      </c>
      <c r="L650" s="1702">
        <v>0</v>
      </c>
      <c r="M650" s="1702">
        <v>0</v>
      </c>
      <c r="N650" s="1702">
        <v>38.299999999999997</v>
      </c>
      <c r="O650" s="1702">
        <v>38.299999999999997</v>
      </c>
      <c r="P650" s="1702">
        <v>0</v>
      </c>
      <c r="Q650" s="1702">
        <v>0</v>
      </c>
      <c r="R650" s="1702"/>
      <c r="S650" s="1702">
        <v>81.2</v>
      </c>
      <c r="T650" s="1702"/>
      <c r="U650" s="1702"/>
      <c r="V650" s="1702">
        <v>3109.96</v>
      </c>
      <c r="W650" s="1702">
        <v>3109.96</v>
      </c>
      <c r="X650" s="1702">
        <v>3037.9559999999997</v>
      </c>
      <c r="Y650" s="1702">
        <v>0</v>
      </c>
      <c r="Z650" s="1702">
        <v>2061.0090318485145</v>
      </c>
      <c r="AA650" s="1702">
        <v>0</v>
      </c>
      <c r="AB650" s="1702">
        <v>0</v>
      </c>
      <c r="AC650" s="1702">
        <v>0</v>
      </c>
      <c r="AD650" s="1702">
        <v>0</v>
      </c>
      <c r="AE650" s="1702">
        <v>0</v>
      </c>
      <c r="AF650" s="1702"/>
      <c r="AG650" s="1702"/>
      <c r="AH650" s="1702"/>
      <c r="AI650" s="1702">
        <v>0</v>
      </c>
      <c r="AJ650" s="1702">
        <v>0</v>
      </c>
      <c r="AK650" s="1702">
        <v>0</v>
      </c>
      <c r="AL650" s="1702">
        <v>366.18741774717205</v>
      </c>
      <c r="AM650" s="1702"/>
      <c r="AN650" s="1702">
        <v>92.146205071571771</v>
      </c>
      <c r="AO650" s="1702">
        <v>0</v>
      </c>
      <c r="AP650" s="1702">
        <v>0</v>
      </c>
      <c r="AQ650" s="1702">
        <v>0</v>
      </c>
      <c r="AR650" s="1702">
        <v>0</v>
      </c>
      <c r="AS650" s="1702"/>
      <c r="AT650" s="1702"/>
      <c r="AU650" s="1702">
        <v>0</v>
      </c>
      <c r="AV650" s="1702">
        <v>0</v>
      </c>
      <c r="AW650" s="1702">
        <v>0</v>
      </c>
      <c r="AX650" s="1702"/>
      <c r="AY650" s="1702"/>
      <c r="AZ650" s="1702">
        <v>0</v>
      </c>
      <c r="BA650" s="1702"/>
      <c r="BB650" s="1702">
        <v>0</v>
      </c>
      <c r="BC650" s="1702">
        <v>0</v>
      </c>
      <c r="BD650" s="1702">
        <v>0</v>
      </c>
      <c r="BE650" s="1702">
        <v>0</v>
      </c>
      <c r="BF650" s="1702"/>
      <c r="BG650" s="1702">
        <v>590.69482073434472</v>
      </c>
      <c r="BH650" s="1702">
        <v>0</v>
      </c>
      <c r="BI650" s="1702">
        <v>0</v>
      </c>
      <c r="BJ650" s="1702">
        <v>0</v>
      </c>
      <c r="BK650" s="1702">
        <v>0</v>
      </c>
      <c r="BL650" s="1702">
        <v>0</v>
      </c>
      <c r="BM650" s="1702"/>
      <c r="BN650" s="1702"/>
      <c r="BO650" s="1702"/>
      <c r="BP650" s="1702"/>
      <c r="BQ650" s="1702"/>
      <c r="BR650" s="1702"/>
      <c r="BS650" s="1702"/>
      <c r="BT650" s="1702"/>
      <c r="BU650" s="1702"/>
      <c r="BV650" s="1702">
        <v>590.69482073434472</v>
      </c>
      <c r="BW650" s="1702"/>
      <c r="BX650" s="1702"/>
      <c r="BY650" s="1702"/>
      <c r="BZ650" s="1702"/>
      <c r="CA650" s="1702"/>
      <c r="CB650" s="1702"/>
      <c r="CC650" s="1702"/>
      <c r="CD650" s="1702"/>
      <c r="CE650" s="1702"/>
      <c r="CF650" s="1702"/>
      <c r="CG650" s="1702"/>
      <c r="CH650" s="1702"/>
      <c r="CI650" s="1702">
        <v>3037.9559999999997</v>
      </c>
      <c r="CJ650" s="1702">
        <v>-72.034000000001015</v>
      </c>
      <c r="CK650" s="1702"/>
      <c r="CL650" s="1702"/>
      <c r="CM650" s="1702"/>
      <c r="CN650" s="1702"/>
      <c r="CO650" s="1702">
        <v>-72.00400000000036</v>
      </c>
      <c r="CP650" s="1702">
        <v>0</v>
      </c>
      <c r="CQ650" s="1702">
        <v>30</v>
      </c>
      <c r="CR650" s="1702">
        <v>-72.119820401411744</v>
      </c>
      <c r="CS650" s="1702">
        <v>0</v>
      </c>
      <c r="CT650" s="1702">
        <v>0</v>
      </c>
      <c r="CU650" s="1702">
        <v>0</v>
      </c>
      <c r="CV650" s="1702">
        <v>0</v>
      </c>
      <c r="CW650" s="1702"/>
      <c r="CX650" s="1702"/>
      <c r="CY650" s="1702"/>
      <c r="CZ650" s="1702">
        <v>0</v>
      </c>
      <c r="DA650" s="1702">
        <v>0</v>
      </c>
      <c r="DB650" s="1702">
        <v>0</v>
      </c>
      <c r="DC650" s="1702"/>
      <c r="DD650" s="1702"/>
      <c r="DE650" s="1702">
        <v>0</v>
      </c>
      <c r="DF650" s="1702">
        <v>0</v>
      </c>
      <c r="DG650" s="1702">
        <v>-8.2812221080530435E-8</v>
      </c>
      <c r="DH650" s="1702">
        <v>0</v>
      </c>
      <c r="DI650" s="1702">
        <v>-59.928143125354154</v>
      </c>
      <c r="DJ650" s="1702"/>
      <c r="DK650" s="1702">
        <v>0</v>
      </c>
      <c r="DL650" s="1702">
        <v>0</v>
      </c>
      <c r="DM650" s="1702"/>
      <c r="DN650" s="1702">
        <v>0</v>
      </c>
      <c r="DO650" s="1702">
        <v>-9.1994020896158872</v>
      </c>
      <c r="DP650" s="1702">
        <v>-2.9922751036290549</v>
      </c>
      <c r="DQ650" s="1702">
        <v>0</v>
      </c>
      <c r="DR650" s="1702">
        <v>0</v>
      </c>
      <c r="DS650" s="1702"/>
      <c r="DT650" s="1702"/>
      <c r="DU650" s="1702"/>
      <c r="DV650" s="1702">
        <v>0</v>
      </c>
      <c r="DW650" s="1702">
        <v>0</v>
      </c>
      <c r="DX650" s="1702">
        <v>0</v>
      </c>
      <c r="DY650" s="1702">
        <v>-72.00400000000036</v>
      </c>
      <c r="DZ650" s="1702"/>
      <c r="EA650" s="1702">
        <v>0</v>
      </c>
      <c r="EB650" s="1702"/>
      <c r="EC650" s="1702">
        <v>0</v>
      </c>
      <c r="ED650" s="1702"/>
      <c r="EE650" s="1702">
        <v>0</v>
      </c>
      <c r="EF650" s="1702">
        <v>0</v>
      </c>
      <c r="EG650" s="1702"/>
      <c r="EH650" s="1702">
        <v>0</v>
      </c>
      <c r="EI650" s="1702">
        <v>0</v>
      </c>
      <c r="EJ650" s="1702">
        <v>0</v>
      </c>
      <c r="EK650" s="1702">
        <v>0</v>
      </c>
      <c r="EL650" s="1702">
        <v>0</v>
      </c>
      <c r="EM650" s="1702"/>
      <c r="EN650" s="1702"/>
      <c r="EO650" s="1702">
        <v>0</v>
      </c>
      <c r="EP650" s="1702">
        <v>0</v>
      </c>
      <c r="EQ650" s="1702"/>
      <c r="ER650" s="1702">
        <v>0</v>
      </c>
      <c r="ES650" s="1702"/>
      <c r="ET650" s="1702">
        <v>0</v>
      </c>
      <c r="EU650" s="1702"/>
      <c r="EV650" s="1702">
        <v>265</v>
      </c>
      <c r="EW650" s="1702"/>
      <c r="EX650" s="1702"/>
      <c r="EY650" s="1702"/>
      <c r="EZ650" s="1702"/>
      <c r="FA650" s="1702">
        <v>0</v>
      </c>
      <c r="FB650" s="1702"/>
      <c r="FC650" s="1702"/>
      <c r="FD650" s="1702"/>
      <c r="FE650" s="1702"/>
      <c r="FF650" s="1702">
        <v>0</v>
      </c>
      <c r="FG650" s="1702">
        <v>0</v>
      </c>
      <c r="FH650" s="1702">
        <v>0</v>
      </c>
      <c r="FI650" s="1702">
        <v>0</v>
      </c>
    </row>
    <row r="651" spans="1:165">
      <c r="A651" s="1702">
        <v>660</v>
      </c>
      <c r="B651" s="1702" t="s">
        <v>1031</v>
      </c>
      <c r="C651" s="1702" t="s">
        <v>2235</v>
      </c>
      <c r="D651" s="1702" t="s">
        <v>596</v>
      </c>
      <c r="E651" s="1702" t="s">
        <v>965</v>
      </c>
      <c r="F651" s="1702" t="s">
        <v>1317</v>
      </c>
      <c r="G651" s="1702" t="s">
        <v>2319</v>
      </c>
      <c r="H651" s="1702" t="s">
        <v>1317</v>
      </c>
      <c r="I651" s="1702" t="s">
        <v>1317</v>
      </c>
      <c r="J651" s="1702" t="s">
        <v>2320</v>
      </c>
      <c r="K651" s="1703">
        <v>44652</v>
      </c>
      <c r="L651" s="1702">
        <v>600</v>
      </c>
      <c r="M651" s="1702">
        <v>146.16</v>
      </c>
      <c r="N651" s="1702">
        <v>0</v>
      </c>
      <c r="O651" s="1702">
        <v>0</v>
      </c>
      <c r="P651" s="1702">
        <v>0</v>
      </c>
      <c r="Q651" s="1702">
        <v>0</v>
      </c>
      <c r="R651" s="1702">
        <v>74.44</v>
      </c>
      <c r="S651" s="1702"/>
      <c r="T651" s="1702"/>
      <c r="U651" s="1702">
        <v>44664</v>
      </c>
      <c r="V651" s="1702"/>
      <c r="W651" s="1702">
        <v>44664</v>
      </c>
      <c r="X651" s="1702">
        <v>27252</v>
      </c>
      <c r="Y651" s="1702">
        <v>0</v>
      </c>
      <c r="Z651" s="1702">
        <v>0</v>
      </c>
      <c r="AA651" s="1702">
        <v>0</v>
      </c>
      <c r="AB651" s="1702">
        <v>0</v>
      </c>
      <c r="AC651" s="1702">
        <v>0</v>
      </c>
      <c r="AD651" s="1702">
        <v>16330.25551827108</v>
      </c>
      <c r="AE651" s="1702">
        <v>28332.922760506921</v>
      </c>
      <c r="AF651" s="1702"/>
      <c r="AG651" s="1702"/>
      <c r="AH651" s="1702"/>
      <c r="AI651" s="1702">
        <v>0</v>
      </c>
      <c r="AJ651" s="1702">
        <v>0</v>
      </c>
      <c r="AK651" s="1702">
        <v>0</v>
      </c>
      <c r="AL651" s="1702">
        <v>0</v>
      </c>
      <c r="AM651" s="1702"/>
      <c r="AN651" s="1702">
        <v>0</v>
      </c>
      <c r="AO651" s="1702">
        <v>0</v>
      </c>
      <c r="AP651" s="1702">
        <v>0</v>
      </c>
      <c r="AQ651" s="1702">
        <v>0</v>
      </c>
      <c r="AR651" s="1702">
        <v>0</v>
      </c>
      <c r="AS651" s="1702"/>
      <c r="AT651" s="1702"/>
      <c r="AU651" s="1702">
        <v>0</v>
      </c>
      <c r="AV651" s="1702">
        <v>0</v>
      </c>
      <c r="AW651" s="1702">
        <v>0</v>
      </c>
      <c r="AX651" s="1702"/>
      <c r="AY651" s="1702"/>
      <c r="AZ651" s="1702">
        <v>0</v>
      </c>
      <c r="BA651" s="1702"/>
      <c r="BB651" s="1702">
        <v>0</v>
      </c>
      <c r="BC651" s="1702">
        <v>0</v>
      </c>
      <c r="BD651" s="1702">
        <v>0</v>
      </c>
      <c r="BE651" s="1702">
        <v>0</v>
      </c>
      <c r="BF651" s="1702"/>
      <c r="BG651" s="1702">
        <v>0</v>
      </c>
      <c r="BH651" s="1702">
        <v>0</v>
      </c>
      <c r="BI651" s="1702">
        <v>0</v>
      </c>
      <c r="BJ651" s="1702">
        <v>0</v>
      </c>
      <c r="BK651" s="1702">
        <v>4949.9799999999996</v>
      </c>
      <c r="BL651" s="1702">
        <v>1</v>
      </c>
      <c r="BM651" s="1702"/>
      <c r="BN651" s="1702">
        <v>20613.412800000002</v>
      </c>
      <c r="BO651" s="1702"/>
      <c r="BP651" s="1702"/>
      <c r="BQ651" s="1702"/>
      <c r="BR651" s="1702"/>
      <c r="BS651" s="1702"/>
      <c r="BT651" s="1702"/>
      <c r="BU651" s="1702"/>
      <c r="BV651" s="1702">
        <v>0</v>
      </c>
      <c r="BW651" s="1702"/>
      <c r="BX651" s="1702"/>
      <c r="BY651" s="1702"/>
      <c r="BZ651" s="1702"/>
      <c r="CA651" s="1702"/>
      <c r="CB651" s="1702"/>
      <c r="CC651" s="1702"/>
      <c r="CD651" s="1702"/>
      <c r="CE651" s="1702"/>
      <c r="CF651" s="1702"/>
      <c r="CG651" s="1702"/>
      <c r="CH651" s="1702"/>
      <c r="CI651" s="1702">
        <v>6638.5871999999999</v>
      </c>
      <c r="CJ651" s="1702">
        <v>-4241.5931999999993</v>
      </c>
      <c r="CK651" s="1702"/>
      <c r="CL651" s="1702"/>
      <c r="CM651" s="1702"/>
      <c r="CN651" s="1702"/>
      <c r="CO651" s="1702">
        <v>-17411.999999999996</v>
      </c>
      <c r="CP651" s="1702">
        <v>0</v>
      </c>
      <c r="CQ651" s="1702">
        <v>30</v>
      </c>
      <c r="CR651" s="1702">
        <v>-41.970194755860575</v>
      </c>
      <c r="CS651" s="1702">
        <v>0</v>
      </c>
      <c r="CT651" s="1702">
        <v>0</v>
      </c>
      <c r="CU651" s="1702">
        <v>0</v>
      </c>
      <c r="CV651" s="1702">
        <v>0</v>
      </c>
      <c r="CW651" s="1702"/>
      <c r="CX651" s="1702"/>
      <c r="CY651" s="1702"/>
      <c r="CZ651" s="1702">
        <v>-41.970194755860575</v>
      </c>
      <c r="DA651" s="1702">
        <v>0</v>
      </c>
      <c r="DB651" s="1702">
        <v>0</v>
      </c>
      <c r="DC651" s="1702"/>
      <c r="DD651" s="1702"/>
      <c r="DE651" s="1702">
        <v>0</v>
      </c>
      <c r="DF651" s="1702">
        <v>0</v>
      </c>
      <c r="DG651" s="1702">
        <v>0</v>
      </c>
      <c r="DH651" s="1702">
        <v>0</v>
      </c>
      <c r="DI651" s="1702">
        <v>0</v>
      </c>
      <c r="DJ651" s="1702"/>
      <c r="DK651" s="1702">
        <v>0</v>
      </c>
      <c r="DL651" s="1702">
        <v>0</v>
      </c>
      <c r="DM651" s="1702"/>
      <c r="DN651" s="1702">
        <v>0</v>
      </c>
      <c r="DO651" s="1702">
        <v>0</v>
      </c>
      <c r="DP651" s="1702">
        <v>0</v>
      </c>
      <c r="DQ651" s="1702">
        <v>0</v>
      </c>
      <c r="DR651" s="1702">
        <v>0</v>
      </c>
      <c r="DS651" s="1702"/>
      <c r="DT651" s="1702"/>
      <c r="DU651" s="1702">
        <v>28332.922760506921</v>
      </c>
      <c r="DV651" s="1702"/>
      <c r="DW651" s="1702">
        <v>0</v>
      </c>
      <c r="DX651" s="1702">
        <v>0</v>
      </c>
      <c r="DY651" s="1702">
        <v>-17412</v>
      </c>
      <c r="DZ651" s="1702"/>
      <c r="EA651" s="1702">
        <v>0</v>
      </c>
      <c r="EB651" s="1702"/>
      <c r="EC651" s="1702">
        <v>-17372.193377360702</v>
      </c>
      <c r="ED651" s="1702"/>
      <c r="EE651" s="1702">
        <v>0</v>
      </c>
      <c r="EF651" s="1702">
        <v>0</v>
      </c>
      <c r="EG651" s="1702"/>
      <c r="EH651" s="1702">
        <v>0</v>
      </c>
      <c r="EI651" s="1702">
        <v>0</v>
      </c>
      <c r="EJ651" s="1702">
        <v>0</v>
      </c>
      <c r="EK651" s="1702">
        <v>0</v>
      </c>
      <c r="EL651" s="1702">
        <v>0</v>
      </c>
      <c r="EM651" s="1702"/>
      <c r="EN651" s="1702"/>
      <c r="EO651" s="1702">
        <v>0</v>
      </c>
      <c r="EP651" s="1702">
        <v>0</v>
      </c>
      <c r="EQ651" s="1702"/>
      <c r="ER651" s="1702">
        <v>0</v>
      </c>
      <c r="ES651" s="1702"/>
      <c r="ET651" s="1702">
        <v>0</v>
      </c>
      <c r="EU651" s="1702"/>
      <c r="EV651" s="1702">
        <v>265</v>
      </c>
      <c r="EW651" s="1702"/>
      <c r="EX651" s="1702"/>
      <c r="EY651" s="1702"/>
      <c r="EZ651" s="1702"/>
      <c r="FA651" s="1702">
        <v>0</v>
      </c>
      <c r="FB651" s="1702"/>
      <c r="FC651" s="1702"/>
      <c r="FD651" s="1702"/>
      <c r="FE651" s="1702"/>
      <c r="FF651" s="1702">
        <v>0</v>
      </c>
      <c r="FG651" s="1702">
        <v>0</v>
      </c>
      <c r="FH651" s="1702">
        <v>0</v>
      </c>
      <c r="FI651" s="1702">
        <v>0</v>
      </c>
    </row>
    <row r="652" spans="1:165">
      <c r="A652" s="1702">
        <v>661</v>
      </c>
      <c r="B652" s="1702" t="s">
        <v>1031</v>
      </c>
      <c r="C652" s="1702" t="s">
        <v>2235</v>
      </c>
      <c r="D652" s="1702" t="s">
        <v>596</v>
      </c>
      <c r="E652" s="1702" t="s">
        <v>965</v>
      </c>
      <c r="F652" s="1702" t="s">
        <v>1317</v>
      </c>
      <c r="G652" s="1702" t="s">
        <v>2319</v>
      </c>
      <c r="H652" s="1702" t="s">
        <v>1317</v>
      </c>
      <c r="I652" s="1702" t="s">
        <v>968</v>
      </c>
      <c r="J652" s="1702" t="s">
        <v>2320</v>
      </c>
      <c r="K652" s="1703">
        <v>44682</v>
      </c>
      <c r="L652" s="1702">
        <v>0</v>
      </c>
      <c r="M652" s="1702">
        <v>0</v>
      </c>
      <c r="N652" s="1702">
        <v>17.71</v>
      </c>
      <c r="O652" s="1702">
        <v>17.71</v>
      </c>
      <c r="P652" s="1702">
        <v>0</v>
      </c>
      <c r="Q652" s="1702">
        <v>0</v>
      </c>
      <c r="R652" s="1702"/>
      <c r="S652" s="1702">
        <v>2641.06</v>
      </c>
      <c r="T652" s="1702"/>
      <c r="U652" s="1702"/>
      <c r="V652" s="1702">
        <v>46773.172599999998</v>
      </c>
      <c r="W652" s="1702">
        <v>46773.172599999998</v>
      </c>
      <c r="X652" s="1702">
        <v>25947.2752</v>
      </c>
      <c r="Y652" s="1702">
        <v>0</v>
      </c>
      <c r="Z652" s="1702">
        <v>953.01488130645419</v>
      </c>
      <c r="AA652" s="1702">
        <v>0</v>
      </c>
      <c r="AB652" s="1702">
        <v>0</v>
      </c>
      <c r="AC652" s="1702">
        <v>0</v>
      </c>
      <c r="AD652" s="1702">
        <v>11471.953402449888</v>
      </c>
      <c r="AE652" s="1702">
        <v>33863.119933801252</v>
      </c>
      <c r="AF652" s="1702"/>
      <c r="AG652" s="1702"/>
      <c r="AH652" s="1702"/>
      <c r="AI652" s="1702">
        <v>0</v>
      </c>
      <c r="AJ652" s="1702">
        <v>0</v>
      </c>
      <c r="AK652" s="1702">
        <v>0</v>
      </c>
      <c r="AL652" s="1702">
        <v>169.32582684862709</v>
      </c>
      <c r="AM652" s="1702"/>
      <c r="AN652" s="1702">
        <v>42.608597697585807</v>
      </c>
      <c r="AO652" s="1702">
        <v>0</v>
      </c>
      <c r="AP652" s="1702">
        <v>0</v>
      </c>
      <c r="AQ652" s="1702">
        <v>0</v>
      </c>
      <c r="AR652" s="1702">
        <v>0</v>
      </c>
      <c r="AS652" s="1702"/>
      <c r="AT652" s="1702"/>
      <c r="AU652" s="1702">
        <v>0</v>
      </c>
      <c r="AV652" s="1702">
        <v>0</v>
      </c>
      <c r="AW652" s="1702">
        <v>0</v>
      </c>
      <c r="AX652" s="1702"/>
      <c r="AY652" s="1702"/>
      <c r="AZ652" s="1702">
        <v>0</v>
      </c>
      <c r="BA652" s="1702"/>
      <c r="BB652" s="1702">
        <v>0</v>
      </c>
      <c r="BC652" s="1702">
        <v>0</v>
      </c>
      <c r="BD652" s="1702">
        <v>0</v>
      </c>
      <c r="BE652" s="1702">
        <v>0</v>
      </c>
      <c r="BF652" s="1702"/>
      <c r="BG652" s="1702">
        <v>273.13851893486282</v>
      </c>
      <c r="BH652" s="1702">
        <v>0</v>
      </c>
      <c r="BI652" s="1702">
        <v>0</v>
      </c>
      <c r="BJ652" s="1702">
        <v>0</v>
      </c>
      <c r="BK652" s="1702">
        <v>0</v>
      </c>
      <c r="BL652" s="1702">
        <v>0</v>
      </c>
      <c r="BM652" s="1702"/>
      <c r="BN652" s="1702"/>
      <c r="BO652" s="1702"/>
      <c r="BP652" s="1702"/>
      <c r="BQ652" s="1702"/>
      <c r="BR652" s="1702"/>
      <c r="BS652" s="1702"/>
      <c r="BT652" s="1702"/>
      <c r="BU652" s="1702"/>
      <c r="BV652" s="1702">
        <v>273.13851893486282</v>
      </c>
      <c r="BW652" s="1702"/>
      <c r="BX652" s="1702"/>
      <c r="BY652" s="1702"/>
      <c r="BZ652" s="1702"/>
      <c r="CA652" s="1702"/>
      <c r="CB652" s="1702"/>
      <c r="CC652" s="1702"/>
      <c r="CD652" s="1702"/>
      <c r="CE652" s="1702"/>
      <c r="CF652" s="1702"/>
      <c r="CG652" s="1702"/>
      <c r="CH652" s="1702"/>
      <c r="CI652" s="1702">
        <v>25947.2752</v>
      </c>
      <c r="CJ652" s="1702">
        <v>-20825.927400000004</v>
      </c>
      <c r="CK652" s="1702"/>
      <c r="CL652" s="1702"/>
      <c r="CM652" s="1702"/>
      <c r="CN652" s="1702"/>
      <c r="CO652" s="1702">
        <v>-20825.897400000002</v>
      </c>
      <c r="CP652" s="1702">
        <v>0</v>
      </c>
      <c r="CQ652" s="1702">
        <v>31</v>
      </c>
      <c r="CR652" s="1702">
        <v>-62.832286082257269</v>
      </c>
      <c r="CS652" s="1702">
        <v>0</v>
      </c>
      <c r="CT652" s="1702">
        <v>0</v>
      </c>
      <c r="CU652" s="1702">
        <v>0</v>
      </c>
      <c r="CV652" s="1702">
        <v>0</v>
      </c>
      <c r="CW652" s="1702"/>
      <c r="CX652" s="1702"/>
      <c r="CY652" s="1702"/>
      <c r="CZ652" s="1702">
        <v>-29.483930486720055</v>
      </c>
      <c r="DA652" s="1702">
        <v>0</v>
      </c>
      <c r="DB652" s="1702">
        <v>0</v>
      </c>
      <c r="DC652" s="1702"/>
      <c r="DD652" s="1702"/>
      <c r="DE652" s="1702">
        <v>0</v>
      </c>
      <c r="DF652" s="1702">
        <v>0</v>
      </c>
      <c r="DG652" s="1702">
        <v>-3.8292569115583319E-8</v>
      </c>
      <c r="DH652" s="1702">
        <v>0</v>
      </c>
      <c r="DI652" s="1702">
        <v>-27.710898557441737</v>
      </c>
      <c r="DJ652" s="1702"/>
      <c r="DK652" s="1702">
        <v>0</v>
      </c>
      <c r="DL652" s="1702">
        <v>0</v>
      </c>
      <c r="DM652" s="1702"/>
      <c r="DN652" s="1702">
        <v>0</v>
      </c>
      <c r="DO652" s="1702">
        <v>-4.2538227416996506</v>
      </c>
      <c r="DP652" s="1702">
        <v>-1.3836342581010612</v>
      </c>
      <c r="DQ652" s="1702">
        <v>0</v>
      </c>
      <c r="DR652" s="1702">
        <v>0</v>
      </c>
      <c r="DS652" s="1702"/>
      <c r="DT652" s="1702"/>
      <c r="DU652" s="1702"/>
      <c r="DV652" s="1702">
        <v>33863.119933801252</v>
      </c>
      <c r="DW652" s="1702">
        <v>0</v>
      </c>
      <c r="DX652" s="1702">
        <v>0</v>
      </c>
      <c r="DY652" s="1702">
        <v>-20825.897399999998</v>
      </c>
      <c r="DZ652" s="1702"/>
      <c r="EA652" s="1702">
        <v>0</v>
      </c>
      <c r="EB652" s="1702"/>
      <c r="EC652" s="1702">
        <v>-20763.006796840156</v>
      </c>
      <c r="ED652" s="1702"/>
      <c r="EE652" s="1702">
        <v>0</v>
      </c>
      <c r="EF652" s="1702">
        <v>0</v>
      </c>
      <c r="EG652" s="1702"/>
      <c r="EH652" s="1702">
        <v>0</v>
      </c>
      <c r="EI652" s="1702">
        <v>0</v>
      </c>
      <c r="EJ652" s="1702">
        <v>0</v>
      </c>
      <c r="EK652" s="1702">
        <v>0</v>
      </c>
      <c r="EL652" s="1702">
        <v>0</v>
      </c>
      <c r="EM652" s="1702"/>
      <c r="EN652" s="1702"/>
      <c r="EO652" s="1702">
        <v>0</v>
      </c>
      <c r="EP652" s="1702">
        <v>0</v>
      </c>
      <c r="EQ652" s="1702"/>
      <c r="ER652" s="1702">
        <v>0</v>
      </c>
      <c r="ES652" s="1702"/>
      <c r="ET652" s="1702">
        <v>0</v>
      </c>
      <c r="EU652" s="1702"/>
      <c r="EV652" s="1702">
        <v>265</v>
      </c>
      <c r="EW652" s="1702"/>
      <c r="EX652" s="1702"/>
      <c r="EY652" s="1702"/>
      <c r="EZ652" s="1702"/>
      <c r="FA652" s="1702">
        <v>0</v>
      </c>
      <c r="FB652" s="1702"/>
      <c r="FC652" s="1702"/>
      <c r="FD652" s="1702"/>
      <c r="FE652" s="1702"/>
      <c r="FF652" s="1702">
        <v>0</v>
      </c>
      <c r="FG652" s="1702">
        <v>0</v>
      </c>
      <c r="FH652" s="1702">
        <v>0</v>
      </c>
      <c r="FI652" s="1702">
        <v>0</v>
      </c>
    </row>
    <row r="653" spans="1:165">
      <c r="A653" s="1702">
        <v>662</v>
      </c>
      <c r="B653" s="1702" t="s">
        <v>1031</v>
      </c>
      <c r="C653" s="1702" t="s">
        <v>2235</v>
      </c>
      <c r="D653" s="1702" t="s">
        <v>596</v>
      </c>
      <c r="E653" s="1702" t="s">
        <v>965</v>
      </c>
      <c r="F653" s="1702" t="s">
        <v>1317</v>
      </c>
      <c r="G653" s="1702" t="s">
        <v>2319</v>
      </c>
      <c r="H653" s="1702" t="s">
        <v>1317</v>
      </c>
      <c r="I653" s="1702" t="s">
        <v>2236</v>
      </c>
      <c r="J653" s="1702" t="s">
        <v>2320</v>
      </c>
      <c r="K653" s="1703">
        <v>44682</v>
      </c>
      <c r="L653" s="1702">
        <v>0</v>
      </c>
      <c r="M653" s="1702">
        <v>0</v>
      </c>
      <c r="N653" s="1702">
        <v>115.378</v>
      </c>
      <c r="O653" s="1702">
        <v>115.378</v>
      </c>
      <c r="P653" s="1702">
        <v>0</v>
      </c>
      <c r="Q653" s="1702">
        <v>0</v>
      </c>
      <c r="R653" s="1702"/>
      <c r="S653" s="1702">
        <v>81.2</v>
      </c>
      <c r="T653" s="1702"/>
      <c r="U653" s="1702"/>
      <c r="V653" s="1702">
        <v>9368.6936000000005</v>
      </c>
      <c r="W653" s="1702">
        <v>9368.6936000000005</v>
      </c>
      <c r="X653" s="1702">
        <v>9151.7829599999986</v>
      </c>
      <c r="Y653" s="1702">
        <v>0</v>
      </c>
      <c r="Z653" s="1702">
        <v>6208.7493492589529</v>
      </c>
      <c r="AA653" s="1702">
        <v>0</v>
      </c>
      <c r="AB653" s="1702">
        <v>0</v>
      </c>
      <c r="AC653" s="1702">
        <v>0</v>
      </c>
      <c r="AD653" s="1702">
        <v>0</v>
      </c>
      <c r="AE653" s="1702">
        <v>0</v>
      </c>
      <c r="AF653" s="1702"/>
      <c r="AG653" s="1702"/>
      <c r="AH653" s="1702"/>
      <c r="AI653" s="1702">
        <v>0</v>
      </c>
      <c r="AJ653" s="1702">
        <v>0</v>
      </c>
      <c r="AK653" s="1702">
        <v>0</v>
      </c>
      <c r="AL653" s="1702">
        <v>1103.1324251914677</v>
      </c>
      <c r="AM653" s="1702"/>
      <c r="AN653" s="1702">
        <v>277.58863834850678</v>
      </c>
      <c r="AO653" s="1702">
        <v>0</v>
      </c>
      <c r="AP653" s="1702">
        <v>0</v>
      </c>
      <c r="AQ653" s="1702">
        <v>0</v>
      </c>
      <c r="AR653" s="1702">
        <v>0</v>
      </c>
      <c r="AS653" s="1702"/>
      <c r="AT653" s="1702"/>
      <c r="AU653" s="1702">
        <v>0</v>
      </c>
      <c r="AV653" s="1702">
        <v>0</v>
      </c>
      <c r="AW653" s="1702">
        <v>0</v>
      </c>
      <c r="AX653" s="1702"/>
      <c r="AY653" s="1702"/>
      <c r="AZ653" s="1702">
        <v>0</v>
      </c>
      <c r="BA653" s="1702"/>
      <c r="BB653" s="1702">
        <v>0</v>
      </c>
      <c r="BC653" s="1702">
        <v>0</v>
      </c>
      <c r="BD653" s="1702">
        <v>0</v>
      </c>
      <c r="BE653" s="1702">
        <v>0</v>
      </c>
      <c r="BF653" s="1702"/>
      <c r="BG653" s="1702">
        <v>1779.4565803312591</v>
      </c>
      <c r="BH653" s="1702">
        <v>0</v>
      </c>
      <c r="BI653" s="1702">
        <v>0</v>
      </c>
      <c r="BJ653" s="1702">
        <v>0</v>
      </c>
      <c r="BK653" s="1702">
        <v>0</v>
      </c>
      <c r="BL653" s="1702">
        <v>0</v>
      </c>
      <c r="BM653" s="1702"/>
      <c r="BN653" s="1702"/>
      <c r="BO653" s="1702"/>
      <c r="BP653" s="1702"/>
      <c r="BQ653" s="1702"/>
      <c r="BR653" s="1702"/>
      <c r="BS653" s="1702"/>
      <c r="BT653" s="1702"/>
      <c r="BU653" s="1702"/>
      <c r="BV653" s="1702">
        <v>1779.4565803312591</v>
      </c>
      <c r="BW653" s="1702"/>
      <c r="BX653" s="1702"/>
      <c r="BY653" s="1702"/>
      <c r="BZ653" s="1702"/>
      <c r="CA653" s="1702"/>
      <c r="CB653" s="1702"/>
      <c r="CC653" s="1702"/>
      <c r="CD653" s="1702"/>
      <c r="CE653" s="1702"/>
      <c r="CF653" s="1702"/>
      <c r="CG653" s="1702"/>
      <c r="CH653" s="1702"/>
      <c r="CI653" s="1702">
        <v>9151.9415999999983</v>
      </c>
      <c r="CJ653" s="1702">
        <v>-216.78200000000288</v>
      </c>
      <c r="CK653" s="1702"/>
      <c r="CL653" s="1702"/>
      <c r="CM653" s="1702"/>
      <c r="CN653" s="1702"/>
      <c r="CO653" s="1702">
        <v>-216.91064000000111</v>
      </c>
      <c r="CP653" s="1702">
        <v>0</v>
      </c>
      <c r="CQ653" s="1702">
        <v>31</v>
      </c>
      <c r="CR653" s="1702">
        <v>-217.25954669122439</v>
      </c>
      <c r="CS653" s="1702">
        <v>0</v>
      </c>
      <c r="CT653" s="1702">
        <v>0</v>
      </c>
      <c r="CU653" s="1702">
        <v>0</v>
      </c>
      <c r="CV653" s="1702">
        <v>0</v>
      </c>
      <c r="CW653" s="1702"/>
      <c r="CX653" s="1702"/>
      <c r="CY653" s="1702"/>
      <c r="CZ653" s="1702">
        <v>0</v>
      </c>
      <c r="DA653" s="1702">
        <v>0</v>
      </c>
      <c r="DB653" s="1702">
        <v>0</v>
      </c>
      <c r="DC653" s="1702"/>
      <c r="DD653" s="1702"/>
      <c r="DE653" s="1702">
        <v>0</v>
      </c>
      <c r="DF653" s="1702">
        <v>0</v>
      </c>
      <c r="DG653" s="1702">
        <v>-2.4947007659648079E-7</v>
      </c>
      <c r="DH653" s="1702">
        <v>0</v>
      </c>
      <c r="DI653" s="1702">
        <v>-180.53235763752127</v>
      </c>
      <c r="DJ653" s="1702"/>
      <c r="DK653" s="1702">
        <v>0</v>
      </c>
      <c r="DL653" s="1702">
        <v>0</v>
      </c>
      <c r="DM653" s="1702"/>
      <c r="DN653" s="1702">
        <v>0</v>
      </c>
      <c r="DO653" s="1702">
        <v>-27.713018650018057</v>
      </c>
      <c r="DP653" s="1702">
        <v>-9.0141701542170836</v>
      </c>
      <c r="DQ653" s="1702">
        <v>0</v>
      </c>
      <c r="DR653" s="1702">
        <v>0</v>
      </c>
      <c r="DS653" s="1702"/>
      <c r="DT653" s="1702"/>
      <c r="DU653" s="1702"/>
      <c r="DV653" s="1702">
        <v>0</v>
      </c>
      <c r="DW653" s="1702">
        <v>0</v>
      </c>
      <c r="DX653" s="1702">
        <v>0</v>
      </c>
      <c r="DY653" s="1702">
        <v>-216.91064000000188</v>
      </c>
      <c r="DZ653" s="1702"/>
      <c r="EA653" s="1702">
        <v>0</v>
      </c>
      <c r="EB653" s="1702"/>
      <c r="EC653" s="1702">
        <v>0</v>
      </c>
      <c r="ED653" s="1702"/>
      <c r="EE653" s="1702">
        <v>0</v>
      </c>
      <c r="EF653" s="1702">
        <v>0</v>
      </c>
      <c r="EG653" s="1702"/>
      <c r="EH653" s="1702">
        <v>0</v>
      </c>
      <c r="EI653" s="1702">
        <v>0</v>
      </c>
      <c r="EJ653" s="1702">
        <v>0</v>
      </c>
      <c r="EK653" s="1702">
        <v>0</v>
      </c>
      <c r="EL653" s="1702">
        <v>0</v>
      </c>
      <c r="EM653" s="1702"/>
      <c r="EN653" s="1702"/>
      <c r="EO653" s="1702">
        <v>0</v>
      </c>
      <c r="EP653" s="1702">
        <v>0</v>
      </c>
      <c r="EQ653" s="1702"/>
      <c r="ER653" s="1702">
        <v>0</v>
      </c>
      <c r="ES653" s="1702"/>
      <c r="ET653" s="1702">
        <v>0</v>
      </c>
      <c r="EU653" s="1702"/>
      <c r="EV653" s="1702">
        <v>265</v>
      </c>
      <c r="EW653" s="1702"/>
      <c r="EX653" s="1702"/>
      <c r="EY653" s="1702"/>
      <c r="EZ653" s="1702"/>
      <c r="FA653" s="1702">
        <v>0</v>
      </c>
      <c r="FB653" s="1702"/>
      <c r="FC653" s="1702"/>
      <c r="FD653" s="1702"/>
      <c r="FE653" s="1702"/>
      <c r="FF653" s="1702">
        <v>0</v>
      </c>
      <c r="FG653" s="1702">
        <v>0</v>
      </c>
      <c r="FH653" s="1702">
        <v>0</v>
      </c>
      <c r="FI653" s="1702">
        <v>0</v>
      </c>
    </row>
    <row r="654" spans="1:165">
      <c r="A654" s="1702">
        <v>663</v>
      </c>
      <c r="B654" s="1702" t="s">
        <v>1031</v>
      </c>
      <c r="C654" s="1702" t="s">
        <v>2235</v>
      </c>
      <c r="D654" s="1702" t="s">
        <v>596</v>
      </c>
      <c r="E654" s="1702" t="s">
        <v>965</v>
      </c>
      <c r="F654" s="1702" t="s">
        <v>1317</v>
      </c>
      <c r="G654" s="1702" t="s">
        <v>2319</v>
      </c>
      <c r="H654" s="1702" t="s">
        <v>1317</v>
      </c>
      <c r="I654" s="1702" t="s">
        <v>1317</v>
      </c>
      <c r="J654" s="1702" t="s">
        <v>2320</v>
      </c>
      <c r="K654" s="1703">
        <v>44682</v>
      </c>
      <c r="L654" s="1702">
        <v>600</v>
      </c>
      <c r="M654" s="1702">
        <v>25.38</v>
      </c>
      <c r="N654" s="1702">
        <v>0</v>
      </c>
      <c r="O654" s="1702">
        <v>0</v>
      </c>
      <c r="P654" s="1702">
        <v>0</v>
      </c>
      <c r="Q654" s="1702">
        <v>0</v>
      </c>
      <c r="R654" s="1702">
        <v>74.44</v>
      </c>
      <c r="S654" s="1702"/>
      <c r="T654" s="1702"/>
      <c r="U654" s="1702">
        <v>44664</v>
      </c>
      <c r="V654" s="1702"/>
      <c r="W654" s="1702">
        <v>44664</v>
      </c>
      <c r="X654" s="1702">
        <v>27252</v>
      </c>
      <c r="Y654" s="1702">
        <v>0</v>
      </c>
      <c r="Z654" s="1702">
        <v>0</v>
      </c>
      <c r="AA654" s="1702">
        <v>0</v>
      </c>
      <c r="AB654" s="1702">
        <v>0</v>
      </c>
      <c r="AC654" s="1702">
        <v>0</v>
      </c>
      <c r="AD654" s="1702">
        <v>16330.25551827108</v>
      </c>
      <c r="AE654" s="1702">
        <v>28332.922760506921</v>
      </c>
      <c r="AF654" s="1702"/>
      <c r="AG654" s="1702"/>
      <c r="AH654" s="1702"/>
      <c r="AI654" s="1702">
        <v>0</v>
      </c>
      <c r="AJ654" s="1702">
        <v>0</v>
      </c>
      <c r="AK654" s="1702">
        <v>0</v>
      </c>
      <c r="AL654" s="1702">
        <v>0</v>
      </c>
      <c r="AM654" s="1702"/>
      <c r="AN654" s="1702">
        <v>0</v>
      </c>
      <c r="AO654" s="1702">
        <v>0</v>
      </c>
      <c r="AP654" s="1702">
        <v>0</v>
      </c>
      <c r="AQ654" s="1702">
        <v>0</v>
      </c>
      <c r="AR654" s="1702">
        <v>0</v>
      </c>
      <c r="AS654" s="1702"/>
      <c r="AT654" s="1702"/>
      <c r="AU654" s="1702">
        <v>0</v>
      </c>
      <c r="AV654" s="1702">
        <v>0</v>
      </c>
      <c r="AW654" s="1702">
        <v>0</v>
      </c>
      <c r="AX654" s="1702"/>
      <c r="AY654" s="1702"/>
      <c r="AZ654" s="1702">
        <v>0</v>
      </c>
      <c r="BA654" s="1702"/>
      <c r="BB654" s="1702">
        <v>0</v>
      </c>
      <c r="BC654" s="1702">
        <v>0</v>
      </c>
      <c r="BD654" s="1702">
        <v>0</v>
      </c>
      <c r="BE654" s="1702">
        <v>0</v>
      </c>
      <c r="BF654" s="1702"/>
      <c r="BG654" s="1702">
        <v>0</v>
      </c>
      <c r="BH654" s="1702">
        <v>0</v>
      </c>
      <c r="BI654" s="1702">
        <v>0</v>
      </c>
      <c r="BJ654" s="1702">
        <v>0</v>
      </c>
      <c r="BK654" s="1702">
        <v>12077.8</v>
      </c>
      <c r="BL654" s="1702">
        <v>1</v>
      </c>
      <c r="BM654" s="1702"/>
      <c r="BN654" s="1702">
        <v>26099.240400000002</v>
      </c>
      <c r="BO654" s="1702"/>
      <c r="BP654" s="1702"/>
      <c r="BQ654" s="1702"/>
      <c r="BR654" s="1702"/>
      <c r="BS654" s="1702"/>
      <c r="BT654" s="1702"/>
      <c r="BU654" s="1702"/>
      <c r="BV654" s="1702">
        <v>0</v>
      </c>
      <c r="BW654" s="1702"/>
      <c r="BX654" s="1702"/>
      <c r="BY654" s="1702"/>
      <c r="BZ654" s="1702"/>
      <c r="CA654" s="1702"/>
      <c r="CB654" s="1702"/>
      <c r="CC654" s="1702"/>
      <c r="CD654" s="1702"/>
      <c r="CE654" s="1702"/>
      <c r="CF654" s="1702"/>
      <c r="CG654" s="1702"/>
      <c r="CH654" s="1702"/>
      <c r="CI654" s="1702">
        <v>1152.7596000000001</v>
      </c>
      <c r="CJ654" s="1702">
        <v>-736.55759999999964</v>
      </c>
      <c r="CK654" s="1702"/>
      <c r="CL654" s="1702"/>
      <c r="CM654" s="1702"/>
      <c r="CN654" s="1702"/>
      <c r="CO654" s="1702">
        <v>-17411.999999999996</v>
      </c>
      <c r="CP654" s="1702">
        <v>0</v>
      </c>
      <c r="CQ654" s="1702">
        <v>31</v>
      </c>
      <c r="CR654" s="1702">
        <v>-41.970194755860575</v>
      </c>
      <c r="CS654" s="1702">
        <v>0</v>
      </c>
      <c r="CT654" s="1702">
        <v>0</v>
      </c>
      <c r="CU654" s="1702">
        <v>0</v>
      </c>
      <c r="CV654" s="1702">
        <v>0</v>
      </c>
      <c r="CW654" s="1702"/>
      <c r="CX654" s="1702"/>
      <c r="CY654" s="1702"/>
      <c r="CZ654" s="1702">
        <v>-41.970194755860575</v>
      </c>
      <c r="DA654" s="1702">
        <v>0</v>
      </c>
      <c r="DB654" s="1702">
        <v>0</v>
      </c>
      <c r="DC654" s="1702"/>
      <c r="DD654" s="1702"/>
      <c r="DE654" s="1702">
        <v>0</v>
      </c>
      <c r="DF654" s="1702">
        <v>0</v>
      </c>
      <c r="DG654" s="1702">
        <v>0</v>
      </c>
      <c r="DH654" s="1702">
        <v>0</v>
      </c>
      <c r="DI654" s="1702">
        <v>0</v>
      </c>
      <c r="DJ654" s="1702"/>
      <c r="DK654" s="1702">
        <v>0</v>
      </c>
      <c r="DL654" s="1702">
        <v>0</v>
      </c>
      <c r="DM654" s="1702"/>
      <c r="DN654" s="1702">
        <v>0</v>
      </c>
      <c r="DO654" s="1702">
        <v>0</v>
      </c>
      <c r="DP654" s="1702">
        <v>0</v>
      </c>
      <c r="DQ654" s="1702">
        <v>0</v>
      </c>
      <c r="DR654" s="1702">
        <v>0</v>
      </c>
      <c r="DS654" s="1702"/>
      <c r="DT654" s="1702"/>
      <c r="DU654" s="1702">
        <v>28332.922760506921</v>
      </c>
      <c r="DV654" s="1702"/>
      <c r="DW654" s="1702">
        <v>0</v>
      </c>
      <c r="DX654" s="1702">
        <v>0</v>
      </c>
      <c r="DY654" s="1702">
        <v>-17412</v>
      </c>
      <c r="DZ654" s="1702"/>
      <c r="EA654" s="1702">
        <v>0</v>
      </c>
      <c r="EB654" s="1702"/>
      <c r="EC654" s="1702">
        <v>-17372.193377360702</v>
      </c>
      <c r="ED654" s="1702"/>
      <c r="EE654" s="1702">
        <v>0</v>
      </c>
      <c r="EF654" s="1702">
        <v>0</v>
      </c>
      <c r="EG654" s="1702"/>
      <c r="EH654" s="1702">
        <v>0</v>
      </c>
      <c r="EI654" s="1702">
        <v>0</v>
      </c>
      <c r="EJ654" s="1702">
        <v>0</v>
      </c>
      <c r="EK654" s="1702">
        <v>0</v>
      </c>
      <c r="EL654" s="1702">
        <v>0</v>
      </c>
      <c r="EM654" s="1702"/>
      <c r="EN654" s="1702"/>
      <c r="EO654" s="1702">
        <v>0</v>
      </c>
      <c r="EP654" s="1702">
        <v>0</v>
      </c>
      <c r="EQ654" s="1702"/>
      <c r="ER654" s="1702">
        <v>0</v>
      </c>
      <c r="ES654" s="1702"/>
      <c r="ET654" s="1702">
        <v>0</v>
      </c>
      <c r="EU654" s="1702"/>
      <c r="EV654" s="1702">
        <v>265</v>
      </c>
      <c r="EW654" s="1702"/>
      <c r="EX654" s="1702"/>
      <c r="EY654" s="1702"/>
      <c r="EZ654" s="1702"/>
      <c r="FA654" s="1702">
        <v>0</v>
      </c>
      <c r="FB654" s="1702"/>
      <c r="FC654" s="1702"/>
      <c r="FD654" s="1702"/>
      <c r="FE654" s="1702"/>
      <c r="FF654" s="1702">
        <v>0</v>
      </c>
      <c r="FG654" s="1702">
        <v>0</v>
      </c>
      <c r="FH654" s="1702">
        <v>0</v>
      </c>
      <c r="FI654" s="1702">
        <v>0</v>
      </c>
    </row>
    <row r="655" spans="1:165">
      <c r="A655" s="1702">
        <v>664</v>
      </c>
      <c r="B655" s="1702" t="s">
        <v>1031</v>
      </c>
      <c r="C655" s="1702" t="s">
        <v>2235</v>
      </c>
      <c r="D655" s="1702" t="s">
        <v>596</v>
      </c>
      <c r="E655" s="1702" t="s">
        <v>965</v>
      </c>
      <c r="F655" s="1702" t="s">
        <v>1317</v>
      </c>
      <c r="G655" s="1702" t="s">
        <v>2319</v>
      </c>
      <c r="H655" s="1702" t="s">
        <v>1317</v>
      </c>
      <c r="I655" s="1702" t="s">
        <v>968</v>
      </c>
      <c r="J655" s="1702" t="s">
        <v>2320</v>
      </c>
      <c r="K655" s="1703">
        <v>44713</v>
      </c>
      <c r="L655" s="1702">
        <v>0</v>
      </c>
      <c r="M655" s="1702">
        <v>0</v>
      </c>
      <c r="N655" s="1702">
        <v>2.4889999999999999</v>
      </c>
      <c r="O655" s="1702">
        <v>2.4889999999999999</v>
      </c>
      <c r="P655" s="1702">
        <v>0</v>
      </c>
      <c r="Q655" s="1702">
        <v>0</v>
      </c>
      <c r="R655" s="1702"/>
      <c r="S655" s="1702">
        <v>2641.06</v>
      </c>
      <c r="T655" s="1702"/>
      <c r="U655" s="1702"/>
      <c r="V655" s="1702">
        <v>6573.5983399999996</v>
      </c>
      <c r="W655" s="1702">
        <v>6573.5983399999996</v>
      </c>
      <c r="X655" s="1702">
        <v>3646.6836799999996</v>
      </c>
      <c r="Y655" s="1702">
        <v>0</v>
      </c>
      <c r="Z655" s="1702">
        <v>133.93868094702225</v>
      </c>
      <c r="AA655" s="1702">
        <v>0</v>
      </c>
      <c r="AB655" s="1702">
        <v>0</v>
      </c>
      <c r="AC655" s="1702">
        <v>0</v>
      </c>
      <c r="AD655" s="1702">
        <v>1612.2920394521607</v>
      </c>
      <c r="AE655" s="1702">
        <v>4759.1928580028971</v>
      </c>
      <c r="AF655" s="1702"/>
      <c r="AG655" s="1702"/>
      <c r="AH655" s="1702"/>
      <c r="AI655" s="1702">
        <v>0</v>
      </c>
      <c r="AJ655" s="1702">
        <v>0</v>
      </c>
      <c r="AK655" s="1702">
        <v>0</v>
      </c>
      <c r="AL655" s="1702">
        <v>23.797401638974183</v>
      </c>
      <c r="AM655" s="1702"/>
      <c r="AN655" s="1702">
        <v>5.9883003765833456</v>
      </c>
      <c r="AO655" s="1702">
        <v>0</v>
      </c>
      <c r="AP655" s="1702">
        <v>0</v>
      </c>
      <c r="AQ655" s="1702">
        <v>0</v>
      </c>
      <c r="AR655" s="1702">
        <v>0</v>
      </c>
      <c r="AS655" s="1702"/>
      <c r="AT655" s="1702"/>
      <c r="AU655" s="1702">
        <v>0</v>
      </c>
      <c r="AV655" s="1702">
        <v>0</v>
      </c>
      <c r="AW655" s="1702">
        <v>0</v>
      </c>
      <c r="AX655" s="1702"/>
      <c r="AY655" s="1702"/>
      <c r="AZ655" s="1702">
        <v>0</v>
      </c>
      <c r="BA655" s="1702"/>
      <c r="BB655" s="1702">
        <v>0</v>
      </c>
      <c r="BC655" s="1702">
        <v>0</v>
      </c>
      <c r="BD655" s="1702">
        <v>0</v>
      </c>
      <c r="BE655" s="1702">
        <v>0</v>
      </c>
      <c r="BF655" s="1702"/>
      <c r="BG655" s="1702">
        <v>38.387451927096187</v>
      </c>
      <c r="BH655" s="1702">
        <v>0</v>
      </c>
      <c r="BI655" s="1702">
        <v>0</v>
      </c>
      <c r="BJ655" s="1702">
        <v>0</v>
      </c>
      <c r="BK655" s="1702">
        <v>0</v>
      </c>
      <c r="BL655" s="1702">
        <v>0</v>
      </c>
      <c r="BM655" s="1702"/>
      <c r="BN655" s="1702"/>
      <c r="BO655" s="1702"/>
      <c r="BP655" s="1702"/>
      <c r="BQ655" s="1702"/>
      <c r="BR655" s="1702"/>
      <c r="BS655" s="1702"/>
      <c r="BT655" s="1702"/>
      <c r="BU655" s="1702"/>
      <c r="BV655" s="1702">
        <v>38.387451927096187</v>
      </c>
      <c r="BW655" s="1702"/>
      <c r="BX655" s="1702"/>
      <c r="BY655" s="1702"/>
      <c r="BZ655" s="1702"/>
      <c r="CA655" s="1702"/>
      <c r="CB655" s="1702"/>
      <c r="CC655" s="1702"/>
      <c r="CD655" s="1702"/>
      <c r="CE655" s="1702"/>
      <c r="CF655" s="1702"/>
      <c r="CG655" s="1702"/>
      <c r="CH655" s="1702"/>
      <c r="CI655" s="1702">
        <v>3648.1487999999999</v>
      </c>
      <c r="CJ655" s="1702">
        <v>-2925.4795400000003</v>
      </c>
      <c r="CK655" s="1702"/>
      <c r="CL655" s="1702"/>
      <c r="CM655" s="1702"/>
      <c r="CN655" s="1702"/>
      <c r="CO655" s="1702">
        <v>-2926.9146599999999</v>
      </c>
      <c r="CP655" s="1702">
        <v>0</v>
      </c>
      <c r="CQ655" s="1702">
        <v>30</v>
      </c>
      <c r="CR655" s="1702">
        <v>-8.830579337025938</v>
      </c>
      <c r="CS655" s="1702">
        <v>0</v>
      </c>
      <c r="CT655" s="1702">
        <v>0</v>
      </c>
      <c r="CU655" s="1702">
        <v>0</v>
      </c>
      <c r="CV655" s="1702">
        <v>0</v>
      </c>
      <c r="CW655" s="1702"/>
      <c r="CX655" s="1702"/>
      <c r="CY655" s="1702"/>
      <c r="CZ655" s="1702">
        <v>-4.1437325229499038</v>
      </c>
      <c r="DA655" s="1702">
        <v>0</v>
      </c>
      <c r="DB655" s="1702">
        <v>0</v>
      </c>
      <c r="DC655" s="1702"/>
      <c r="DD655" s="1702"/>
      <c r="DE655" s="1702">
        <v>0</v>
      </c>
      <c r="DF655" s="1702">
        <v>0</v>
      </c>
      <c r="DG655" s="1702">
        <v>-5.3817146294932172E-9</v>
      </c>
      <c r="DH655" s="1702">
        <v>0</v>
      </c>
      <c r="DI655" s="1702">
        <v>-3.8945469514100637</v>
      </c>
      <c r="DJ655" s="1702"/>
      <c r="DK655" s="1702">
        <v>0</v>
      </c>
      <c r="DL655" s="1702">
        <v>0</v>
      </c>
      <c r="DM655" s="1702"/>
      <c r="DN655" s="1702">
        <v>0</v>
      </c>
      <c r="DO655" s="1702">
        <v>-0.59784103919200504</v>
      </c>
      <c r="DP655" s="1702">
        <v>-0.19445881809223753</v>
      </c>
      <c r="DQ655" s="1702">
        <v>0</v>
      </c>
      <c r="DR655" s="1702">
        <v>0</v>
      </c>
      <c r="DS655" s="1702"/>
      <c r="DT655" s="1702"/>
      <c r="DU655" s="1702"/>
      <c r="DV655" s="1702">
        <v>4759.1928580028971</v>
      </c>
      <c r="DW655" s="1702">
        <v>0</v>
      </c>
      <c r="DX655" s="1702">
        <v>0</v>
      </c>
      <c r="DY655" s="1702">
        <v>-2926.9146599999999</v>
      </c>
      <c r="DZ655" s="1702"/>
      <c r="EA655" s="1702">
        <v>0</v>
      </c>
      <c r="EB655" s="1702"/>
      <c r="EC655" s="1702">
        <v>-2918.0758846603694</v>
      </c>
      <c r="ED655" s="1702"/>
      <c r="EE655" s="1702">
        <v>0</v>
      </c>
      <c r="EF655" s="1702">
        <v>0</v>
      </c>
      <c r="EG655" s="1702"/>
      <c r="EH655" s="1702">
        <v>0</v>
      </c>
      <c r="EI655" s="1702">
        <v>0</v>
      </c>
      <c r="EJ655" s="1702">
        <v>0</v>
      </c>
      <c r="EK655" s="1702">
        <v>0</v>
      </c>
      <c r="EL655" s="1702">
        <v>0</v>
      </c>
      <c r="EM655" s="1702"/>
      <c r="EN655" s="1702"/>
      <c r="EO655" s="1702">
        <v>0</v>
      </c>
      <c r="EP655" s="1702">
        <v>0</v>
      </c>
      <c r="EQ655" s="1702"/>
      <c r="ER655" s="1702">
        <v>0</v>
      </c>
      <c r="ES655" s="1702"/>
      <c r="ET655" s="1702">
        <v>0</v>
      </c>
      <c r="EU655" s="1702"/>
      <c r="EV655" s="1702">
        <v>265</v>
      </c>
      <c r="EW655" s="1702"/>
      <c r="EX655" s="1702"/>
      <c r="EY655" s="1702"/>
      <c r="EZ655" s="1702"/>
      <c r="FA655" s="1702">
        <v>0</v>
      </c>
      <c r="FB655" s="1702"/>
      <c r="FC655" s="1702"/>
      <c r="FD655" s="1702"/>
      <c r="FE655" s="1702"/>
      <c r="FF655" s="1702">
        <v>0</v>
      </c>
      <c r="FG655" s="1702">
        <v>0</v>
      </c>
      <c r="FH655" s="1702">
        <v>0</v>
      </c>
      <c r="FI655" s="1702">
        <v>0</v>
      </c>
    </row>
    <row r="656" spans="1:165">
      <c r="A656" s="1702">
        <v>665</v>
      </c>
      <c r="B656" s="1702" t="s">
        <v>1031</v>
      </c>
      <c r="C656" s="1702" t="s">
        <v>2235</v>
      </c>
      <c r="D656" s="1702" t="s">
        <v>596</v>
      </c>
      <c r="E656" s="1702" t="s">
        <v>965</v>
      </c>
      <c r="F656" s="1702" t="s">
        <v>1317</v>
      </c>
      <c r="G656" s="1702" t="s">
        <v>2319</v>
      </c>
      <c r="H656" s="1702" t="s">
        <v>1317</v>
      </c>
      <c r="I656" s="1702" t="s">
        <v>2236</v>
      </c>
      <c r="J656" s="1702" t="s">
        <v>2320</v>
      </c>
      <c r="K656" s="1703">
        <v>44713</v>
      </c>
      <c r="L656" s="1702">
        <v>0</v>
      </c>
      <c r="M656" s="1702">
        <v>0</v>
      </c>
      <c r="N656" s="1702">
        <v>43.594999999999999</v>
      </c>
      <c r="O656" s="1702">
        <v>43.594999999999999</v>
      </c>
      <c r="P656" s="1702">
        <v>0</v>
      </c>
      <c r="Q656" s="1702">
        <v>0</v>
      </c>
      <c r="R656" s="1702"/>
      <c r="S656" s="1702">
        <v>81.2</v>
      </c>
      <c r="T656" s="1702"/>
      <c r="U656" s="1702"/>
      <c r="V656" s="1702">
        <v>3539.9140000000002</v>
      </c>
      <c r="W656" s="1702">
        <v>3539.9140000000002</v>
      </c>
      <c r="X656" s="1702">
        <v>3457.9553999999998</v>
      </c>
      <c r="Y656" s="1702">
        <v>0</v>
      </c>
      <c r="Z656" s="1702">
        <v>2345.9448758077283</v>
      </c>
      <c r="AA656" s="1702">
        <v>0</v>
      </c>
      <c r="AB656" s="1702">
        <v>0</v>
      </c>
      <c r="AC656" s="1702">
        <v>0</v>
      </c>
      <c r="AD656" s="1702">
        <v>0</v>
      </c>
      <c r="AE656" s="1702">
        <v>0</v>
      </c>
      <c r="AF656" s="1702"/>
      <c r="AG656" s="1702"/>
      <c r="AH656" s="1702"/>
      <c r="AI656" s="1702">
        <v>0</v>
      </c>
      <c r="AJ656" s="1702">
        <v>0</v>
      </c>
      <c r="AK656" s="1702">
        <v>0</v>
      </c>
      <c r="AL656" s="1702">
        <v>416.81306727644818</v>
      </c>
      <c r="AM656" s="1702"/>
      <c r="AN656" s="1702">
        <v>104.88547807037001</v>
      </c>
      <c r="AO656" s="1702">
        <v>0</v>
      </c>
      <c r="AP656" s="1702">
        <v>0</v>
      </c>
      <c r="AQ656" s="1702">
        <v>0</v>
      </c>
      <c r="AR656" s="1702">
        <v>0</v>
      </c>
      <c r="AS656" s="1702"/>
      <c r="AT656" s="1702"/>
      <c r="AU656" s="1702">
        <v>0</v>
      </c>
      <c r="AV656" s="1702">
        <v>0</v>
      </c>
      <c r="AW656" s="1702">
        <v>0</v>
      </c>
      <c r="AX656" s="1702"/>
      <c r="AY656" s="1702"/>
      <c r="AZ656" s="1702">
        <v>0</v>
      </c>
      <c r="BA656" s="1702"/>
      <c r="BB656" s="1702">
        <v>0</v>
      </c>
      <c r="BC656" s="1702">
        <v>0</v>
      </c>
      <c r="BD656" s="1702">
        <v>0</v>
      </c>
      <c r="BE656" s="1702">
        <v>0</v>
      </c>
      <c r="BF656" s="1702"/>
      <c r="BG656" s="1702">
        <v>672.35876527189976</v>
      </c>
      <c r="BH656" s="1702">
        <v>0</v>
      </c>
      <c r="BI656" s="1702">
        <v>0</v>
      </c>
      <c r="BJ656" s="1702">
        <v>0</v>
      </c>
      <c r="BK656" s="1702">
        <v>0</v>
      </c>
      <c r="BL656" s="1702">
        <v>0</v>
      </c>
      <c r="BM656" s="1702"/>
      <c r="BN656" s="1702"/>
      <c r="BO656" s="1702"/>
      <c r="BP656" s="1702"/>
      <c r="BQ656" s="1702"/>
      <c r="BR656" s="1702"/>
      <c r="BS656" s="1702"/>
      <c r="BT656" s="1702"/>
      <c r="BU656" s="1702"/>
      <c r="BV656" s="1702">
        <v>672.35876527189976</v>
      </c>
      <c r="BW656" s="1702"/>
      <c r="BX656" s="1702"/>
      <c r="BY656" s="1702"/>
      <c r="BZ656" s="1702"/>
      <c r="CA656" s="1702"/>
      <c r="CB656" s="1702"/>
      <c r="CC656" s="1702"/>
      <c r="CD656" s="1702"/>
      <c r="CE656" s="1702"/>
      <c r="CF656" s="1702"/>
      <c r="CG656" s="1702"/>
      <c r="CH656" s="1702"/>
      <c r="CI656" s="1702">
        <v>3458.3519999999999</v>
      </c>
      <c r="CJ656" s="1702">
        <v>-81.592000000001008</v>
      </c>
      <c r="CK656" s="1702"/>
      <c r="CL656" s="1702"/>
      <c r="CM656" s="1702"/>
      <c r="CN656" s="1702"/>
      <c r="CO656" s="1702">
        <v>-81.958600000000416</v>
      </c>
      <c r="CP656" s="1702">
        <v>0</v>
      </c>
      <c r="CQ656" s="1702">
        <v>30</v>
      </c>
      <c r="CR656" s="1702">
        <v>-82.090432647506987</v>
      </c>
      <c r="CS656" s="1702">
        <v>0</v>
      </c>
      <c r="CT656" s="1702">
        <v>0</v>
      </c>
      <c r="CU656" s="1702">
        <v>0</v>
      </c>
      <c r="CV656" s="1702">
        <v>0</v>
      </c>
      <c r="CW656" s="1702"/>
      <c r="CX656" s="1702"/>
      <c r="CY656" s="1702"/>
      <c r="CZ656" s="1702">
        <v>0</v>
      </c>
      <c r="DA656" s="1702">
        <v>0</v>
      </c>
      <c r="DB656" s="1702">
        <v>0</v>
      </c>
      <c r="DC656" s="1702"/>
      <c r="DD656" s="1702"/>
      <c r="DE656" s="1702">
        <v>0</v>
      </c>
      <c r="DF656" s="1702">
        <v>0</v>
      </c>
      <c r="DG656" s="1702">
        <v>-9.4261167760123499E-8</v>
      </c>
      <c r="DH656" s="1702">
        <v>0</v>
      </c>
      <c r="DI656" s="1702">
        <v>-68.213248030021077</v>
      </c>
      <c r="DJ656" s="1702"/>
      <c r="DK656" s="1702">
        <v>0</v>
      </c>
      <c r="DL656" s="1702">
        <v>0</v>
      </c>
      <c r="DM656" s="1702"/>
      <c r="DN656" s="1702">
        <v>0</v>
      </c>
      <c r="DO656" s="1702">
        <v>-10.471225433336883</v>
      </c>
      <c r="DP656" s="1702">
        <v>-3.4059590898879435</v>
      </c>
      <c r="DQ656" s="1702">
        <v>0</v>
      </c>
      <c r="DR656" s="1702">
        <v>0</v>
      </c>
      <c r="DS656" s="1702"/>
      <c r="DT656" s="1702"/>
      <c r="DU656" s="1702"/>
      <c r="DV656" s="1702">
        <v>0</v>
      </c>
      <c r="DW656" s="1702">
        <v>0</v>
      </c>
      <c r="DX656" s="1702">
        <v>0</v>
      </c>
      <c r="DY656" s="1702">
        <v>-81.958600000000388</v>
      </c>
      <c r="DZ656" s="1702"/>
      <c r="EA656" s="1702">
        <v>0</v>
      </c>
      <c r="EB656" s="1702"/>
      <c r="EC656" s="1702">
        <v>0</v>
      </c>
      <c r="ED656" s="1702"/>
      <c r="EE656" s="1702">
        <v>0</v>
      </c>
      <c r="EF656" s="1702">
        <v>0</v>
      </c>
      <c r="EG656" s="1702"/>
      <c r="EH656" s="1702">
        <v>0</v>
      </c>
      <c r="EI656" s="1702">
        <v>0</v>
      </c>
      <c r="EJ656" s="1702">
        <v>0</v>
      </c>
      <c r="EK656" s="1702">
        <v>0</v>
      </c>
      <c r="EL656" s="1702">
        <v>0</v>
      </c>
      <c r="EM656" s="1702"/>
      <c r="EN656" s="1702"/>
      <c r="EO656" s="1702">
        <v>0</v>
      </c>
      <c r="EP656" s="1702">
        <v>0</v>
      </c>
      <c r="EQ656" s="1702"/>
      <c r="ER656" s="1702">
        <v>0</v>
      </c>
      <c r="ES656" s="1702"/>
      <c r="ET656" s="1702">
        <v>0</v>
      </c>
      <c r="EU656" s="1702"/>
      <c r="EV656" s="1702">
        <v>265</v>
      </c>
      <c r="EW656" s="1702"/>
      <c r="EX656" s="1702"/>
      <c r="EY656" s="1702"/>
      <c r="EZ656" s="1702"/>
      <c r="FA656" s="1702">
        <v>0</v>
      </c>
      <c r="FB656" s="1702"/>
      <c r="FC656" s="1702"/>
      <c r="FD656" s="1702"/>
      <c r="FE656" s="1702"/>
      <c r="FF656" s="1702">
        <v>0</v>
      </c>
      <c r="FG656" s="1702">
        <v>0</v>
      </c>
      <c r="FH656" s="1702">
        <v>0</v>
      </c>
      <c r="FI656" s="1702">
        <v>0</v>
      </c>
    </row>
    <row r="657" spans="1:165">
      <c r="A657" s="1702">
        <v>666</v>
      </c>
      <c r="B657" s="1702" t="s">
        <v>1031</v>
      </c>
      <c r="C657" s="1702" t="s">
        <v>2235</v>
      </c>
      <c r="D657" s="1702" t="s">
        <v>596</v>
      </c>
      <c r="E657" s="1702" t="s">
        <v>965</v>
      </c>
      <c r="F657" s="1702" t="s">
        <v>1317</v>
      </c>
      <c r="G657" s="1702" t="s">
        <v>2319</v>
      </c>
      <c r="H657" s="1702" t="s">
        <v>1317</v>
      </c>
      <c r="I657" s="1702" t="s">
        <v>1317</v>
      </c>
      <c r="J657" s="1702" t="s">
        <v>2320</v>
      </c>
      <c r="K657" s="1703">
        <v>44713</v>
      </c>
      <c r="L657" s="1702">
        <v>600</v>
      </c>
      <c r="M657" s="1702">
        <v>206.7</v>
      </c>
      <c r="N657" s="1702">
        <v>0</v>
      </c>
      <c r="O657" s="1702">
        <v>0</v>
      </c>
      <c r="P657" s="1702">
        <v>0</v>
      </c>
      <c r="Q657" s="1702">
        <v>0</v>
      </c>
      <c r="R657" s="1702">
        <v>74.44</v>
      </c>
      <c r="S657" s="1702"/>
      <c r="T657" s="1702"/>
      <c r="U657" s="1702">
        <v>44664</v>
      </c>
      <c r="V657" s="1702"/>
      <c r="W657" s="1702">
        <v>44664</v>
      </c>
      <c r="X657" s="1702">
        <v>27252</v>
      </c>
      <c r="Y657" s="1702">
        <v>0</v>
      </c>
      <c r="Z657" s="1702">
        <v>0</v>
      </c>
      <c r="AA657" s="1702">
        <v>0</v>
      </c>
      <c r="AB657" s="1702">
        <v>0</v>
      </c>
      <c r="AC657" s="1702">
        <v>0</v>
      </c>
      <c r="AD657" s="1702">
        <v>16330.25551827108</v>
      </c>
      <c r="AE657" s="1702">
        <v>28332.922760506921</v>
      </c>
      <c r="AF657" s="1702"/>
      <c r="AG657" s="1702"/>
      <c r="AH657" s="1702"/>
      <c r="AI657" s="1702">
        <v>0</v>
      </c>
      <c r="AJ657" s="1702">
        <v>0</v>
      </c>
      <c r="AK657" s="1702">
        <v>0</v>
      </c>
      <c r="AL657" s="1702">
        <v>0</v>
      </c>
      <c r="AM657" s="1702"/>
      <c r="AN657" s="1702">
        <v>0</v>
      </c>
      <c r="AO657" s="1702">
        <v>0</v>
      </c>
      <c r="AP657" s="1702">
        <v>0</v>
      </c>
      <c r="AQ657" s="1702">
        <v>0</v>
      </c>
      <c r="AR657" s="1702">
        <v>0</v>
      </c>
      <c r="AS657" s="1702"/>
      <c r="AT657" s="1702"/>
      <c r="AU657" s="1702">
        <v>0</v>
      </c>
      <c r="AV657" s="1702">
        <v>0</v>
      </c>
      <c r="AW657" s="1702">
        <v>0</v>
      </c>
      <c r="AX657" s="1702"/>
      <c r="AY657" s="1702"/>
      <c r="AZ657" s="1702">
        <v>0</v>
      </c>
      <c r="BA657" s="1702"/>
      <c r="BB657" s="1702">
        <v>0</v>
      </c>
      <c r="BC657" s="1702">
        <v>0</v>
      </c>
      <c r="BD657" s="1702">
        <v>0</v>
      </c>
      <c r="BE657" s="1702">
        <v>0</v>
      </c>
      <c r="BF657" s="1702"/>
      <c r="BG657" s="1702">
        <v>0</v>
      </c>
      <c r="BH657" s="1702">
        <v>0</v>
      </c>
      <c r="BI657" s="1702">
        <v>0</v>
      </c>
      <c r="BJ657" s="1702">
        <v>0</v>
      </c>
      <c r="BK657" s="1702">
        <v>5359.64</v>
      </c>
      <c r="BL657" s="1702">
        <v>1</v>
      </c>
      <c r="BM657" s="1702"/>
      <c r="BN657" s="1702">
        <v>17863.686000000002</v>
      </c>
      <c r="BO657" s="1702"/>
      <c r="BP657" s="1702"/>
      <c r="BQ657" s="1702"/>
      <c r="BR657" s="1702"/>
      <c r="BS657" s="1702"/>
      <c r="BT657" s="1702"/>
      <c r="BU657" s="1702"/>
      <c r="BV657" s="1702">
        <v>0</v>
      </c>
      <c r="BW657" s="1702"/>
      <c r="BX657" s="1702"/>
      <c r="BY657" s="1702"/>
      <c r="BZ657" s="1702"/>
      <c r="CA657" s="1702"/>
      <c r="CB657" s="1702"/>
      <c r="CC657" s="1702"/>
      <c r="CD657" s="1702"/>
      <c r="CE657" s="1702"/>
      <c r="CF657" s="1702"/>
      <c r="CG657" s="1702"/>
      <c r="CH657" s="1702"/>
      <c r="CI657" s="1702">
        <v>9388.3140000000003</v>
      </c>
      <c r="CJ657" s="1702">
        <v>-5998.4639999999999</v>
      </c>
      <c r="CK657" s="1702"/>
      <c r="CL657" s="1702"/>
      <c r="CM657" s="1702"/>
      <c r="CN657" s="1702"/>
      <c r="CO657" s="1702">
        <v>-17411.999999999996</v>
      </c>
      <c r="CP657" s="1702">
        <v>0</v>
      </c>
      <c r="CQ657" s="1702">
        <v>30</v>
      </c>
      <c r="CR657" s="1702">
        <v>-41.970194755860575</v>
      </c>
      <c r="CS657" s="1702">
        <v>0</v>
      </c>
      <c r="CT657" s="1702">
        <v>0</v>
      </c>
      <c r="CU657" s="1702">
        <v>0</v>
      </c>
      <c r="CV657" s="1702">
        <v>0</v>
      </c>
      <c r="CW657" s="1702"/>
      <c r="CX657" s="1702"/>
      <c r="CY657" s="1702"/>
      <c r="CZ657" s="1702">
        <v>-41.970194755860575</v>
      </c>
      <c r="DA657" s="1702">
        <v>0</v>
      </c>
      <c r="DB657" s="1702">
        <v>0</v>
      </c>
      <c r="DC657" s="1702"/>
      <c r="DD657" s="1702"/>
      <c r="DE657" s="1702">
        <v>0</v>
      </c>
      <c r="DF657" s="1702">
        <v>0</v>
      </c>
      <c r="DG657" s="1702">
        <v>0</v>
      </c>
      <c r="DH657" s="1702">
        <v>0</v>
      </c>
      <c r="DI657" s="1702">
        <v>0</v>
      </c>
      <c r="DJ657" s="1702"/>
      <c r="DK657" s="1702">
        <v>0</v>
      </c>
      <c r="DL657" s="1702">
        <v>0</v>
      </c>
      <c r="DM657" s="1702"/>
      <c r="DN657" s="1702">
        <v>0</v>
      </c>
      <c r="DO657" s="1702">
        <v>0</v>
      </c>
      <c r="DP657" s="1702">
        <v>0</v>
      </c>
      <c r="DQ657" s="1702">
        <v>0</v>
      </c>
      <c r="DR657" s="1702">
        <v>0</v>
      </c>
      <c r="DS657" s="1702"/>
      <c r="DT657" s="1702"/>
      <c r="DU657" s="1702">
        <v>28332.922760506921</v>
      </c>
      <c r="DV657" s="1702"/>
      <c r="DW657" s="1702">
        <v>0</v>
      </c>
      <c r="DX657" s="1702">
        <v>0</v>
      </c>
      <c r="DY657" s="1702">
        <v>-17412</v>
      </c>
      <c r="DZ657" s="1702"/>
      <c r="EA657" s="1702">
        <v>0</v>
      </c>
      <c r="EB657" s="1702"/>
      <c r="EC657" s="1702">
        <v>-17372.193377360702</v>
      </c>
      <c r="ED657" s="1702"/>
      <c r="EE657" s="1702">
        <v>0</v>
      </c>
      <c r="EF657" s="1702">
        <v>0</v>
      </c>
      <c r="EG657" s="1702"/>
      <c r="EH657" s="1702">
        <v>0</v>
      </c>
      <c r="EI657" s="1702">
        <v>0</v>
      </c>
      <c r="EJ657" s="1702">
        <v>0</v>
      </c>
      <c r="EK657" s="1702">
        <v>0</v>
      </c>
      <c r="EL657" s="1702">
        <v>0</v>
      </c>
      <c r="EM657" s="1702"/>
      <c r="EN657" s="1702"/>
      <c r="EO657" s="1702">
        <v>0</v>
      </c>
      <c r="EP657" s="1702">
        <v>0</v>
      </c>
      <c r="EQ657" s="1702"/>
      <c r="ER657" s="1702">
        <v>0</v>
      </c>
      <c r="ES657" s="1702"/>
      <c r="ET657" s="1702">
        <v>0</v>
      </c>
      <c r="EU657" s="1702"/>
      <c r="EV657" s="1702">
        <v>265</v>
      </c>
      <c r="EW657" s="1702"/>
      <c r="EX657" s="1702"/>
      <c r="EY657" s="1702"/>
      <c r="EZ657" s="1702"/>
      <c r="FA657" s="1702">
        <v>0</v>
      </c>
      <c r="FB657" s="1702"/>
      <c r="FC657" s="1702"/>
      <c r="FD657" s="1702"/>
      <c r="FE657" s="1702"/>
      <c r="FF657" s="1702">
        <v>0</v>
      </c>
      <c r="FG657" s="1702">
        <v>0</v>
      </c>
      <c r="FH657" s="1702">
        <v>0</v>
      </c>
      <c r="FI657" s="1702">
        <v>0</v>
      </c>
    </row>
    <row r="658" spans="1:165">
      <c r="A658" s="1697"/>
      <c r="B658" s="1697"/>
      <c r="C658" s="1697"/>
      <c r="D658" s="1697"/>
      <c r="E658" s="1697"/>
      <c r="F658" s="1697"/>
      <c r="G658" s="1697"/>
      <c r="H658" s="1697"/>
      <c r="I658" s="1697"/>
      <c r="J658" s="1697"/>
      <c r="K658" s="1697"/>
      <c r="L658" s="1697"/>
      <c r="M658" s="1697"/>
      <c r="N658" s="1697"/>
      <c r="O658" s="1697"/>
      <c r="P658" s="1697"/>
      <c r="Q658" s="1697"/>
      <c r="R658" s="1697"/>
      <c r="S658" s="1697"/>
      <c r="T658" s="1697"/>
      <c r="U658" s="1697"/>
      <c r="V658" s="1697"/>
      <c r="W658" s="1697"/>
      <c r="X658" s="1697"/>
      <c r="Y658" s="1697"/>
      <c r="Z658" s="1697"/>
      <c r="AA658" s="1697"/>
      <c r="AB658" s="1697"/>
      <c r="AC658" s="1697"/>
      <c r="AD658" s="1697"/>
      <c r="AE658" s="1697"/>
      <c r="AF658" s="1697"/>
      <c r="AG658" s="1697"/>
      <c r="AH658" s="1697"/>
      <c r="AI658" s="1697"/>
      <c r="AJ658" s="1697"/>
      <c r="AK658" s="1697"/>
      <c r="AL658" s="1697"/>
      <c r="AM658" s="1697"/>
      <c r="AN658" s="1697"/>
      <c r="AO658" s="1697"/>
      <c r="AP658" s="1697"/>
      <c r="AQ658" s="1697"/>
      <c r="AR658" s="1697"/>
      <c r="AS658" s="1697"/>
      <c r="AT658" s="1697"/>
      <c r="AU658" s="1697"/>
      <c r="AV658" s="1697"/>
      <c r="AW658" s="1697"/>
      <c r="AX658" s="1697"/>
      <c r="AY658" s="1697"/>
      <c r="AZ658" s="1697"/>
      <c r="BA658" s="1697"/>
      <c r="BB658" s="1697"/>
      <c r="BC658" s="1697"/>
      <c r="BD658" s="1697"/>
      <c r="BE658" s="1697"/>
      <c r="BF658" s="1697"/>
      <c r="BG658" s="1697"/>
      <c r="BH658" s="1697"/>
      <c r="BI658" s="1697"/>
      <c r="BJ658" s="1697"/>
      <c r="BK658" s="1697"/>
      <c r="BL658" s="1697"/>
      <c r="BM658" s="1697"/>
      <c r="BN658" s="1697"/>
      <c r="BO658" s="1697"/>
      <c r="BP658" s="1697"/>
      <c r="BQ658" s="1697"/>
      <c r="BR658" s="1697"/>
      <c r="BS658" s="1697"/>
      <c r="BT658" s="1697"/>
      <c r="BU658" s="1697"/>
      <c r="BV658" s="1697"/>
      <c r="BW658" s="1697"/>
      <c r="BX658" s="1697"/>
      <c r="BY658" s="1697"/>
      <c r="BZ658" s="1697"/>
      <c r="CA658" s="1697"/>
      <c r="CB658" s="1697"/>
      <c r="CC658" s="1697"/>
      <c r="CD658" s="1697"/>
      <c r="CE658" s="1697"/>
      <c r="CF658" s="1697"/>
      <c r="CG658" s="1697"/>
      <c r="CH658" s="1697"/>
      <c r="CI658" s="1697"/>
      <c r="CJ658" s="1697"/>
      <c r="CK658" s="1697"/>
      <c r="CL658" s="1697"/>
      <c r="CM658" s="1697"/>
      <c r="CN658" s="1697"/>
      <c r="CO658" s="1697"/>
      <c r="CP658" s="1697"/>
      <c r="CQ658" s="1697"/>
      <c r="CR658" s="1697"/>
      <c r="CS658" s="1697"/>
      <c r="CT658" s="1697"/>
      <c r="CU658" s="1697"/>
      <c r="CV658" s="1697"/>
      <c r="CW658" s="1697"/>
      <c r="CX658" s="1697"/>
      <c r="CY658" s="1697"/>
      <c r="CZ658" s="1697"/>
      <c r="DA658" s="1697"/>
      <c r="DB658" s="1697"/>
      <c r="DC658" s="1697"/>
      <c r="DD658" s="1697"/>
      <c r="DE658" s="1697"/>
      <c r="DF658" s="1697"/>
      <c r="DG658" s="1697"/>
      <c r="DH658" s="1697"/>
      <c r="DI658" s="1697"/>
      <c r="DJ658" s="1697"/>
      <c r="DK658" s="1697"/>
      <c r="DL658" s="1697"/>
      <c r="DM658" s="1697"/>
      <c r="DN658" s="1697"/>
      <c r="DO658" s="1697"/>
      <c r="DP658" s="1697"/>
      <c r="DQ658" s="1697"/>
      <c r="DR658" s="1697"/>
      <c r="DS658" s="1697"/>
      <c r="DT658" s="1697"/>
      <c r="DU658" s="1697"/>
      <c r="DV658" s="1697"/>
      <c r="DW658" s="1697"/>
      <c r="DX658" s="1697"/>
      <c r="DY658" s="1697"/>
      <c r="DZ658" s="1697"/>
      <c r="EA658" s="1697"/>
      <c r="EB658" s="1697"/>
      <c r="EC658" s="1697"/>
      <c r="ED658" s="1697"/>
      <c r="EE658" s="1697"/>
      <c r="EF658" s="1697"/>
      <c r="EG658" s="1697"/>
      <c r="EH658" s="1697"/>
      <c r="EI658" s="1697"/>
      <c r="EJ658" s="1697"/>
      <c r="EK658" s="1697"/>
      <c r="EL658" s="1697"/>
      <c r="EM658" s="1697"/>
      <c r="EN658" s="1697"/>
      <c r="EO658" s="1697"/>
      <c r="EP658" s="1697"/>
      <c r="EQ658" s="1697"/>
      <c r="ER658" s="1697"/>
      <c r="ES658" s="1697"/>
      <c r="ET658" s="1697"/>
      <c r="EU658" s="1697"/>
      <c r="EV658" s="1697"/>
      <c r="EW658" s="1697"/>
      <c r="EX658" s="1697"/>
      <c r="EY658" s="1697"/>
      <c r="EZ658" s="1697"/>
      <c r="FA658" s="1697"/>
      <c r="FB658" s="1697"/>
      <c r="FC658" s="1697"/>
      <c r="FD658" s="1697"/>
      <c r="FE658" s="1697"/>
      <c r="FF658" s="1697"/>
      <c r="FG658" s="1697"/>
      <c r="FH658" s="1697"/>
      <c r="FI658" s="1697"/>
    </row>
    <row r="659" spans="1:165">
      <c r="A659" s="1697"/>
      <c r="B659" s="1697"/>
      <c r="C659" s="1697"/>
      <c r="D659" s="1697"/>
      <c r="E659" s="1697"/>
      <c r="F659" s="1697"/>
      <c r="G659" s="1697"/>
      <c r="H659" s="1697"/>
      <c r="I659" s="1697"/>
      <c r="J659" s="1697"/>
      <c r="K659" s="1697"/>
      <c r="L659" s="1697"/>
      <c r="M659" s="1697"/>
      <c r="N659" s="1697"/>
      <c r="O659" s="1697"/>
      <c r="P659" s="1697"/>
      <c r="Q659" s="1697"/>
      <c r="R659" s="1697"/>
      <c r="S659" s="1697"/>
      <c r="T659" s="1697"/>
      <c r="U659" s="1697"/>
      <c r="V659" s="1697"/>
      <c r="W659" s="1697"/>
      <c r="X659" s="1697"/>
      <c r="Y659" s="1697"/>
      <c r="Z659" s="1697"/>
      <c r="AA659" s="1697"/>
      <c r="AB659" s="1697"/>
      <c r="AC659" s="1697"/>
      <c r="AD659" s="1697"/>
      <c r="AE659" s="1697"/>
      <c r="AF659" s="1697"/>
      <c r="AG659" s="1697"/>
      <c r="AH659" s="1697"/>
      <c r="AI659" s="1697"/>
      <c r="AJ659" s="1697"/>
      <c r="AK659" s="1697"/>
      <c r="AL659" s="1697"/>
      <c r="AM659" s="1697"/>
      <c r="AN659" s="1697"/>
      <c r="AO659" s="1697"/>
      <c r="AP659" s="1697"/>
      <c r="AQ659" s="1697"/>
      <c r="AR659" s="1697"/>
      <c r="AS659" s="1697"/>
      <c r="AT659" s="1697"/>
      <c r="AU659" s="1697"/>
      <c r="AV659" s="1697"/>
      <c r="AW659" s="1697"/>
      <c r="AX659" s="1697"/>
      <c r="AY659" s="1697"/>
      <c r="AZ659" s="1697"/>
      <c r="BA659" s="1697"/>
      <c r="BB659" s="1697"/>
      <c r="BC659" s="1697"/>
      <c r="BD659" s="1697"/>
      <c r="BE659" s="1697"/>
      <c r="BF659" s="1697"/>
      <c r="BG659" s="1697"/>
      <c r="BH659" s="1697"/>
      <c r="BI659" s="1697"/>
      <c r="BJ659" s="1697"/>
      <c r="BK659" s="1697"/>
      <c r="BL659" s="1697"/>
      <c r="BM659" s="1697"/>
      <c r="BN659" s="1697"/>
      <c r="BO659" s="1697"/>
      <c r="BP659" s="1697"/>
      <c r="BQ659" s="1697"/>
      <c r="BR659" s="1697"/>
      <c r="BS659" s="1697"/>
      <c r="BT659" s="1697"/>
      <c r="BU659" s="1697"/>
      <c r="BV659" s="1697"/>
      <c r="BW659" s="1697"/>
      <c r="BX659" s="1697"/>
      <c r="BY659" s="1697"/>
      <c r="BZ659" s="1697"/>
      <c r="CA659" s="1697"/>
      <c r="CB659" s="1697"/>
      <c r="CC659" s="1697"/>
      <c r="CD659" s="1697"/>
      <c r="CE659" s="1697"/>
      <c r="CF659" s="1697"/>
      <c r="CG659" s="1697"/>
      <c r="CH659" s="1697"/>
      <c r="CI659" s="1697"/>
      <c r="CJ659" s="1697"/>
      <c r="CK659" s="1697"/>
      <c r="CL659" s="1697"/>
      <c r="CM659" s="1697"/>
      <c r="CN659" s="1697"/>
      <c r="CO659" s="1697"/>
      <c r="CP659" s="1697"/>
      <c r="CQ659" s="1697"/>
      <c r="CR659" s="1697"/>
      <c r="CS659" s="1697"/>
      <c r="CT659" s="1697"/>
      <c r="CU659" s="1697"/>
      <c r="CV659" s="1697"/>
      <c r="CW659" s="1697"/>
      <c r="CX659" s="1697"/>
      <c r="CY659" s="1697"/>
      <c r="CZ659" s="1697"/>
      <c r="DA659" s="1697"/>
      <c r="DB659" s="1697"/>
      <c r="DC659" s="1697"/>
      <c r="DD659" s="1697"/>
      <c r="DE659" s="1697"/>
      <c r="DF659" s="1697"/>
      <c r="DG659" s="1697"/>
      <c r="DH659" s="1697"/>
      <c r="DI659" s="1697"/>
      <c r="DJ659" s="1697"/>
      <c r="DK659" s="1697"/>
      <c r="DL659" s="1697"/>
      <c r="DM659" s="1697"/>
      <c r="DN659" s="1697"/>
      <c r="DO659" s="1697"/>
      <c r="DP659" s="1697"/>
      <c r="DQ659" s="1697"/>
      <c r="DR659" s="1697"/>
      <c r="DS659" s="1697"/>
      <c r="DT659" s="1697"/>
      <c r="DU659" s="1697"/>
      <c r="DV659" s="1697"/>
      <c r="DW659" s="1697"/>
      <c r="DX659" s="1697"/>
      <c r="DY659" s="1697"/>
      <c r="DZ659" s="1697"/>
      <c r="EA659" s="1697"/>
      <c r="EB659" s="1697"/>
      <c r="EC659" s="1697"/>
      <c r="ED659" s="1697"/>
      <c r="EE659" s="1697"/>
      <c r="EF659" s="1697"/>
      <c r="EG659" s="1697"/>
      <c r="EH659" s="1697"/>
      <c r="EI659" s="1697"/>
      <c r="EJ659" s="1697"/>
      <c r="EK659" s="1697"/>
      <c r="EL659" s="1697"/>
      <c r="EM659" s="1697"/>
      <c r="EN659" s="1697"/>
      <c r="EO659" s="1697"/>
      <c r="EP659" s="1697"/>
      <c r="EQ659" s="1697"/>
      <c r="ER659" s="1697"/>
      <c r="ES659" s="1697"/>
      <c r="ET659" s="1697"/>
      <c r="EU659" s="1697"/>
      <c r="EV659" s="1697"/>
      <c r="EW659" s="1697"/>
      <c r="EX659" s="1697"/>
      <c r="EY659" s="1697"/>
      <c r="EZ659" s="1697"/>
      <c r="FA659" s="1697"/>
      <c r="FB659" s="1697"/>
      <c r="FC659" s="1697"/>
      <c r="FD659" s="1697"/>
      <c r="FE659" s="1697"/>
      <c r="FF659" s="1697"/>
      <c r="FG659" s="1697"/>
      <c r="FH659" s="1697"/>
      <c r="FI659" s="1697"/>
    </row>
    <row r="660" spans="1:165">
      <c r="A660" s="1697"/>
      <c r="B660" s="1697"/>
      <c r="C660" s="1697"/>
      <c r="D660" s="1697"/>
      <c r="E660" s="1697"/>
      <c r="F660" s="1697"/>
      <c r="G660" s="1697"/>
      <c r="H660" s="1697"/>
      <c r="I660" s="1697"/>
      <c r="J660" s="1697"/>
      <c r="K660" s="1697"/>
      <c r="L660" s="1697"/>
      <c r="M660" s="1697"/>
      <c r="N660" s="1697"/>
      <c r="O660" s="1697"/>
      <c r="P660" s="1697"/>
      <c r="Q660" s="1697"/>
      <c r="R660" s="1697"/>
      <c r="S660" s="1697"/>
      <c r="T660" s="1697"/>
      <c r="U660" s="1697"/>
      <c r="V660" s="1697"/>
      <c r="W660" s="1697"/>
      <c r="X660" s="1697"/>
      <c r="Y660" s="1697"/>
      <c r="Z660" s="1697"/>
      <c r="AA660" s="1697"/>
      <c r="AB660" s="1697"/>
      <c r="AC660" s="1697"/>
      <c r="AD660" s="1697"/>
      <c r="AE660" s="1697"/>
      <c r="AF660" s="1697"/>
      <c r="AG660" s="1697"/>
      <c r="AH660" s="1697"/>
      <c r="AI660" s="1697"/>
      <c r="AJ660" s="1697"/>
      <c r="AK660" s="1697"/>
      <c r="AL660" s="1697"/>
      <c r="AM660" s="1697"/>
      <c r="AN660" s="1697"/>
      <c r="AO660" s="1697"/>
      <c r="AP660" s="1697"/>
      <c r="AQ660" s="1697"/>
      <c r="AR660" s="1697"/>
      <c r="AS660" s="1697"/>
      <c r="AT660" s="1697"/>
      <c r="AU660" s="1697"/>
      <c r="AV660" s="1697"/>
      <c r="AW660" s="1697"/>
      <c r="AX660" s="1697"/>
      <c r="AY660" s="1697"/>
      <c r="AZ660" s="1697"/>
      <c r="BA660" s="1697"/>
      <c r="BB660" s="1697"/>
      <c r="BC660" s="1697"/>
      <c r="BD660" s="1697"/>
      <c r="BE660" s="1697"/>
      <c r="BF660" s="1697"/>
      <c r="BG660" s="1697"/>
      <c r="BH660" s="1697"/>
      <c r="BI660" s="1697"/>
      <c r="BJ660" s="1697"/>
      <c r="BK660" s="1697"/>
      <c r="BL660" s="1697"/>
      <c r="BM660" s="1697"/>
      <c r="BN660" s="1697"/>
      <c r="BO660" s="1697"/>
      <c r="BP660" s="1697"/>
      <c r="BQ660" s="1697"/>
      <c r="BR660" s="1697"/>
      <c r="BS660" s="1697"/>
      <c r="BT660" s="1697"/>
      <c r="BU660" s="1697"/>
      <c r="BV660" s="1697"/>
      <c r="BW660" s="1697"/>
      <c r="BX660" s="1697"/>
      <c r="BY660" s="1697"/>
      <c r="BZ660" s="1697"/>
      <c r="CA660" s="1697"/>
      <c r="CB660" s="1697"/>
      <c r="CC660" s="1697"/>
      <c r="CD660" s="1697"/>
      <c r="CE660" s="1697"/>
      <c r="CF660" s="1697"/>
      <c r="CG660" s="1697"/>
      <c r="CH660" s="1697"/>
      <c r="CI660" s="1697"/>
      <c r="CJ660" s="1697"/>
      <c r="CK660" s="1697"/>
      <c r="CL660" s="1697"/>
      <c r="CM660" s="1697"/>
      <c r="CN660" s="1697"/>
      <c r="CO660" s="1697"/>
      <c r="CP660" s="1697"/>
      <c r="CQ660" s="1697"/>
      <c r="CR660" s="1697"/>
      <c r="CS660" s="1697"/>
      <c r="CT660" s="1697"/>
      <c r="CU660" s="1697"/>
      <c r="CV660" s="1697"/>
      <c r="CW660" s="1697"/>
      <c r="CX660" s="1697"/>
      <c r="CY660" s="1697"/>
      <c r="CZ660" s="1697"/>
      <c r="DA660" s="1697"/>
      <c r="DB660" s="1697"/>
      <c r="DC660" s="1697"/>
      <c r="DD660" s="1697"/>
      <c r="DE660" s="1697"/>
      <c r="DF660" s="1697"/>
      <c r="DG660" s="1697"/>
      <c r="DH660" s="1697"/>
      <c r="DI660" s="1697"/>
      <c r="DJ660" s="1697"/>
      <c r="DK660" s="1697"/>
      <c r="DL660" s="1697"/>
      <c r="DM660" s="1697"/>
      <c r="DN660" s="1697"/>
      <c r="DO660" s="1697"/>
      <c r="DP660" s="1697"/>
      <c r="DQ660" s="1697"/>
      <c r="DR660" s="1697"/>
      <c r="DS660" s="1697"/>
      <c r="DT660" s="1697"/>
      <c r="DU660" s="1697"/>
      <c r="DV660" s="1697"/>
      <c r="DW660" s="1697"/>
      <c r="DX660" s="1697"/>
      <c r="DY660" s="1697"/>
      <c r="DZ660" s="1697"/>
      <c r="EA660" s="1697"/>
      <c r="EB660" s="1697"/>
      <c r="EC660" s="1697"/>
      <c r="ED660" s="1697"/>
      <c r="EE660" s="1697"/>
      <c r="EF660" s="1697"/>
      <c r="EG660" s="1697"/>
      <c r="EH660" s="1697"/>
      <c r="EI660" s="1697"/>
      <c r="EJ660" s="1697"/>
      <c r="EK660" s="1697"/>
      <c r="EL660" s="1697"/>
      <c r="EM660" s="1697"/>
      <c r="EN660" s="1697"/>
      <c r="EO660" s="1697"/>
      <c r="EP660" s="1697"/>
      <c r="EQ660" s="1697"/>
      <c r="ER660" s="1697"/>
      <c r="ES660" s="1697"/>
      <c r="ET660" s="1697"/>
      <c r="EU660" s="1697"/>
      <c r="EV660" s="1697"/>
      <c r="EW660" s="1697"/>
      <c r="EX660" s="1697"/>
      <c r="EY660" s="1697"/>
      <c r="EZ660" s="1697"/>
      <c r="FA660" s="1697"/>
      <c r="FB660" s="1697"/>
      <c r="FC660" s="1697"/>
      <c r="FD660" s="1697"/>
      <c r="FE660" s="1697"/>
      <c r="FF660" s="1697"/>
      <c r="FG660" s="1697"/>
      <c r="FH660" s="1697"/>
      <c r="FI660" s="1697"/>
    </row>
    <row r="661" spans="1:165">
      <c r="A661" s="1697"/>
      <c r="B661" s="1697"/>
      <c r="C661" s="1697"/>
      <c r="D661" s="1697"/>
      <c r="E661" s="1697"/>
      <c r="F661" s="1697"/>
      <c r="G661" s="1697"/>
      <c r="H661" s="1697"/>
      <c r="I661" s="1697"/>
      <c r="J661" s="1697"/>
      <c r="K661" s="1697"/>
      <c r="L661" s="1697"/>
      <c r="M661" s="1697"/>
      <c r="N661" s="1697"/>
      <c r="O661" s="1697"/>
      <c r="P661" s="1697"/>
      <c r="Q661" s="1697"/>
      <c r="R661" s="1697"/>
      <c r="S661" s="1697"/>
      <c r="T661" s="1697"/>
      <c r="U661" s="1697"/>
      <c r="V661" s="1697"/>
      <c r="W661" s="1697"/>
      <c r="X661" s="1697"/>
      <c r="Y661" s="1697"/>
      <c r="Z661" s="1697"/>
      <c r="AA661" s="1697"/>
      <c r="AB661" s="1697"/>
      <c r="AC661" s="1697"/>
      <c r="AD661" s="1697"/>
      <c r="AE661" s="1697"/>
      <c r="AF661" s="1697"/>
      <c r="AG661" s="1697"/>
      <c r="AH661" s="1697"/>
      <c r="AI661" s="1697"/>
      <c r="AJ661" s="1697"/>
      <c r="AK661" s="1697"/>
      <c r="AL661" s="1697"/>
      <c r="AM661" s="1697"/>
      <c r="AN661" s="1697"/>
      <c r="AO661" s="1697"/>
      <c r="AP661" s="1697"/>
      <c r="AQ661" s="1697"/>
      <c r="AR661" s="1697"/>
      <c r="AS661" s="1697"/>
      <c r="AT661" s="1697"/>
      <c r="AU661" s="1697"/>
      <c r="AV661" s="1697"/>
      <c r="AW661" s="1697"/>
      <c r="AX661" s="1697"/>
      <c r="AY661" s="1697"/>
      <c r="AZ661" s="1697"/>
      <c r="BA661" s="1697"/>
      <c r="BB661" s="1697"/>
      <c r="BC661" s="1697"/>
      <c r="BD661" s="1697"/>
      <c r="BE661" s="1697"/>
      <c r="BF661" s="1697"/>
      <c r="BG661" s="1697"/>
      <c r="BH661" s="1697"/>
      <c r="BI661" s="1697"/>
      <c r="BJ661" s="1697"/>
      <c r="BK661" s="1697"/>
      <c r="BL661" s="1697"/>
      <c r="BM661" s="1697"/>
      <c r="BN661" s="1697"/>
      <c r="BO661" s="1697"/>
      <c r="BP661" s="1697"/>
      <c r="BQ661" s="1697"/>
      <c r="BR661" s="1697"/>
      <c r="BS661" s="1697"/>
      <c r="BT661" s="1697"/>
      <c r="BU661" s="1697"/>
      <c r="BV661" s="1697"/>
      <c r="BW661" s="1697"/>
      <c r="BX661" s="1697"/>
      <c r="BY661" s="1697"/>
      <c r="BZ661" s="1697"/>
      <c r="CA661" s="1697"/>
      <c r="CB661" s="1697"/>
      <c r="CC661" s="1697"/>
      <c r="CD661" s="1697"/>
      <c r="CE661" s="1697"/>
      <c r="CF661" s="1697"/>
      <c r="CG661" s="1697"/>
      <c r="CH661" s="1697"/>
      <c r="CI661" s="1697"/>
      <c r="CJ661" s="1697"/>
      <c r="CK661" s="1697"/>
      <c r="CL661" s="1697"/>
      <c r="CM661" s="1697"/>
      <c r="CN661" s="1697"/>
      <c r="CO661" s="1697"/>
      <c r="CP661" s="1697"/>
      <c r="CQ661" s="1697"/>
      <c r="CR661" s="1697"/>
      <c r="CS661" s="1697"/>
      <c r="CT661" s="1697"/>
      <c r="CU661" s="1697"/>
      <c r="CV661" s="1697"/>
      <c r="CW661" s="1697"/>
      <c r="CX661" s="1697"/>
      <c r="CY661" s="1697"/>
      <c r="CZ661" s="1697"/>
      <c r="DA661" s="1697"/>
      <c r="DB661" s="1697"/>
      <c r="DC661" s="1697"/>
      <c r="DD661" s="1697"/>
      <c r="DE661" s="1697"/>
      <c r="DF661" s="1697"/>
      <c r="DG661" s="1697"/>
      <c r="DH661" s="1697"/>
      <c r="DI661" s="1697"/>
      <c r="DJ661" s="1697"/>
      <c r="DK661" s="1697"/>
      <c r="DL661" s="1697"/>
      <c r="DM661" s="1697"/>
      <c r="DN661" s="1697"/>
      <c r="DO661" s="1697"/>
      <c r="DP661" s="1697"/>
      <c r="DQ661" s="1697"/>
      <c r="DR661" s="1697"/>
      <c r="DS661" s="1697"/>
      <c r="DT661" s="1697"/>
      <c r="DU661" s="1697"/>
      <c r="DV661" s="1697"/>
      <c r="DW661" s="1697"/>
      <c r="DX661" s="1697"/>
      <c r="DY661" s="1697"/>
      <c r="DZ661" s="1697"/>
      <c r="EA661" s="1697"/>
      <c r="EB661" s="1697"/>
      <c r="EC661" s="1697"/>
      <c r="ED661" s="1697"/>
      <c r="EE661" s="1697"/>
      <c r="EF661" s="1697"/>
      <c r="EG661" s="1697"/>
      <c r="EH661" s="1697"/>
      <c r="EI661" s="1697"/>
      <c r="EJ661" s="1697"/>
      <c r="EK661" s="1697"/>
      <c r="EL661" s="1697"/>
      <c r="EM661" s="1697"/>
      <c r="EN661" s="1697"/>
      <c r="EO661" s="1697"/>
      <c r="EP661" s="1697"/>
      <c r="EQ661" s="1697"/>
      <c r="ER661" s="1697"/>
      <c r="ES661" s="1697"/>
      <c r="ET661" s="1697"/>
      <c r="EU661" s="1697"/>
      <c r="EV661" s="1697"/>
      <c r="EW661" s="1697"/>
      <c r="EX661" s="1697"/>
      <c r="EY661" s="1697"/>
      <c r="EZ661" s="1697"/>
      <c r="FA661" s="1697"/>
      <c r="FB661" s="1697"/>
      <c r="FC661" s="1697"/>
      <c r="FD661" s="1697"/>
      <c r="FE661" s="1697"/>
      <c r="FF661" s="1697"/>
      <c r="FG661" s="1697"/>
      <c r="FH661" s="1697"/>
      <c r="FI661" s="1697"/>
    </row>
    <row r="662" spans="1:165">
      <c r="A662" s="1697"/>
      <c r="B662" s="1697"/>
      <c r="C662" s="1697"/>
      <c r="D662" s="1697"/>
      <c r="E662" s="1697"/>
      <c r="F662" s="1697"/>
      <c r="G662" s="1697"/>
      <c r="H662" s="1697"/>
      <c r="I662" s="1697"/>
      <c r="J662" s="1697"/>
      <c r="K662" s="1697"/>
      <c r="L662" s="1697"/>
      <c r="M662" s="1697"/>
      <c r="N662" s="1697"/>
      <c r="O662" s="1697"/>
      <c r="P662" s="1697"/>
      <c r="Q662" s="1697"/>
      <c r="R662" s="1697"/>
      <c r="S662" s="1697"/>
      <c r="T662" s="1697"/>
      <c r="U662" s="1697"/>
      <c r="V662" s="1697"/>
      <c r="W662" s="1697"/>
      <c r="X662" s="1697"/>
      <c r="Y662" s="1697"/>
      <c r="Z662" s="1697"/>
      <c r="AA662" s="1697"/>
      <c r="AB662" s="1697"/>
      <c r="AC662" s="1697"/>
      <c r="AD662" s="1697"/>
      <c r="AE662" s="1697"/>
      <c r="AF662" s="1697"/>
      <c r="AG662" s="1697"/>
      <c r="AH662" s="1697"/>
      <c r="AI662" s="1697"/>
      <c r="AJ662" s="1697"/>
      <c r="AK662" s="1697"/>
      <c r="AL662" s="1697"/>
      <c r="AM662" s="1697"/>
      <c r="AN662" s="1697"/>
      <c r="AO662" s="1697"/>
      <c r="AP662" s="1697"/>
      <c r="AQ662" s="1697"/>
      <c r="AR662" s="1697"/>
      <c r="AS662" s="1697"/>
      <c r="AT662" s="1697"/>
      <c r="AU662" s="1697"/>
      <c r="AV662" s="1697"/>
      <c r="AW662" s="1697"/>
      <c r="AX662" s="1697"/>
      <c r="AY662" s="1697"/>
      <c r="AZ662" s="1697"/>
      <c r="BA662" s="1697"/>
      <c r="BB662" s="1697"/>
      <c r="BC662" s="1697"/>
      <c r="BD662" s="1697"/>
      <c r="BE662" s="1697"/>
      <c r="BF662" s="1697"/>
      <c r="BG662" s="1697"/>
      <c r="BH662" s="1697"/>
      <c r="BI662" s="1697"/>
      <c r="BJ662" s="1697"/>
      <c r="BK662" s="1697"/>
      <c r="BL662" s="1697"/>
      <c r="BM662" s="1697"/>
      <c r="BN662" s="1697"/>
      <c r="BO662" s="1697"/>
      <c r="BP662" s="1697"/>
      <c r="BQ662" s="1697"/>
      <c r="BR662" s="1697"/>
      <c r="BS662" s="1697"/>
      <c r="BT662" s="1697"/>
      <c r="BU662" s="1697"/>
      <c r="BV662" s="1697"/>
      <c r="BW662" s="1697"/>
      <c r="BX662" s="1697"/>
      <c r="BY662" s="1697"/>
      <c r="BZ662" s="1697"/>
      <c r="CA662" s="1697"/>
      <c r="CB662" s="1697"/>
      <c r="CC662" s="1697"/>
      <c r="CD662" s="1697"/>
      <c r="CE662" s="1697"/>
      <c r="CF662" s="1697"/>
      <c r="CG662" s="1697"/>
      <c r="CH662" s="1697"/>
      <c r="CI662" s="1697"/>
      <c r="CJ662" s="1697"/>
      <c r="CK662" s="1697"/>
      <c r="CL662" s="1697"/>
      <c r="CM662" s="1697"/>
      <c r="CN662" s="1697"/>
      <c r="CO662" s="1697"/>
      <c r="CP662" s="1697"/>
      <c r="CQ662" s="1697"/>
      <c r="CR662" s="1697"/>
      <c r="CS662" s="1697"/>
      <c r="CT662" s="1697"/>
      <c r="CU662" s="1697"/>
      <c r="CV662" s="1697"/>
      <c r="CW662" s="1697"/>
      <c r="CX662" s="1697"/>
      <c r="CY662" s="1697"/>
      <c r="CZ662" s="1697"/>
      <c r="DA662" s="1697"/>
      <c r="DB662" s="1697"/>
      <c r="DC662" s="1697"/>
      <c r="DD662" s="1697"/>
      <c r="DE662" s="1697"/>
      <c r="DF662" s="1697"/>
      <c r="DG662" s="1697"/>
      <c r="DH662" s="1697"/>
      <c r="DI662" s="1697"/>
      <c r="DJ662" s="1697"/>
      <c r="DK662" s="1697"/>
      <c r="DL662" s="1697"/>
      <c r="DM662" s="1697"/>
      <c r="DN662" s="1697"/>
      <c r="DO662" s="1697"/>
      <c r="DP662" s="1697"/>
      <c r="DQ662" s="1697"/>
      <c r="DR662" s="1697"/>
      <c r="DS662" s="1697"/>
      <c r="DT662" s="1697"/>
      <c r="DU662" s="1697"/>
      <c r="DV662" s="1697"/>
      <c r="DW662" s="1697"/>
      <c r="DX662" s="1697"/>
      <c r="DY662" s="1697"/>
      <c r="DZ662" s="1697"/>
      <c r="EA662" s="1697"/>
      <c r="EB662" s="1697"/>
      <c r="EC662" s="1697"/>
      <c r="ED662" s="1697"/>
      <c r="EE662" s="1697"/>
      <c r="EF662" s="1697"/>
      <c r="EG662" s="1697"/>
      <c r="EH662" s="1697"/>
      <c r="EI662" s="1697"/>
      <c r="EJ662" s="1697"/>
      <c r="EK662" s="1697"/>
      <c r="EL662" s="1697"/>
      <c r="EM662" s="1697"/>
      <c r="EN662" s="1697"/>
      <c r="EO662" s="1697"/>
      <c r="EP662" s="1697"/>
      <c r="EQ662" s="1697"/>
      <c r="ER662" s="1697"/>
      <c r="ES662" s="1697"/>
      <c r="ET662" s="1697"/>
      <c r="EU662" s="1697"/>
      <c r="EV662" s="1697"/>
      <c r="EW662" s="1697"/>
      <c r="EX662" s="1697"/>
      <c r="EY662" s="1697"/>
      <c r="EZ662" s="1697"/>
      <c r="FA662" s="1697"/>
      <c r="FB662" s="1697"/>
      <c r="FC662" s="1697"/>
      <c r="FD662" s="1697"/>
      <c r="FE662" s="1697"/>
      <c r="FF662" s="1697"/>
      <c r="FG662" s="1697"/>
      <c r="FH662" s="1697"/>
      <c r="FI662" s="1697"/>
    </row>
    <row r="663" spans="1:165">
      <c r="A663" s="1697"/>
      <c r="B663" s="1697"/>
      <c r="C663" s="1697"/>
      <c r="D663" s="1697"/>
      <c r="E663" s="1697"/>
      <c r="F663" s="1697"/>
      <c r="G663" s="1697"/>
      <c r="H663" s="1697"/>
      <c r="I663" s="1697"/>
      <c r="J663" s="1697"/>
      <c r="K663" s="1697"/>
      <c r="L663" s="1697"/>
      <c r="M663" s="1697"/>
      <c r="N663" s="1697"/>
      <c r="O663" s="1697"/>
      <c r="P663" s="1697"/>
      <c r="Q663" s="1697"/>
      <c r="R663" s="1697"/>
      <c r="S663" s="1697"/>
      <c r="T663" s="1697"/>
      <c r="U663" s="1697"/>
      <c r="V663" s="1697"/>
      <c r="W663" s="1697"/>
      <c r="X663" s="1697"/>
      <c r="Y663" s="1697"/>
      <c r="Z663" s="1697"/>
      <c r="AA663" s="1697"/>
      <c r="AB663" s="1697"/>
      <c r="AC663" s="1697"/>
      <c r="AD663" s="1697"/>
      <c r="AE663" s="1697"/>
      <c r="AF663" s="1697"/>
      <c r="AG663" s="1697"/>
      <c r="AH663" s="1697"/>
      <c r="AI663" s="1697"/>
      <c r="AJ663" s="1697"/>
      <c r="AK663" s="1697"/>
      <c r="AL663" s="1697"/>
      <c r="AM663" s="1697"/>
      <c r="AN663" s="1697"/>
      <c r="AO663" s="1697"/>
      <c r="AP663" s="1697"/>
      <c r="AQ663" s="1697"/>
      <c r="AR663" s="1697"/>
      <c r="AS663" s="1697"/>
      <c r="AT663" s="1697"/>
      <c r="AU663" s="1697"/>
      <c r="AV663" s="1697"/>
      <c r="AW663" s="1697"/>
      <c r="AX663" s="1697"/>
      <c r="AY663" s="1697"/>
      <c r="AZ663" s="1697"/>
      <c r="BA663" s="1697"/>
      <c r="BB663" s="1697"/>
      <c r="BC663" s="1697"/>
      <c r="BD663" s="1697"/>
      <c r="BE663" s="1697"/>
      <c r="BF663" s="1697"/>
      <c r="BG663" s="1697"/>
      <c r="BH663" s="1697"/>
      <c r="BI663" s="1697"/>
      <c r="BJ663" s="1697"/>
      <c r="BK663" s="1697"/>
      <c r="BL663" s="1697"/>
      <c r="BM663" s="1697"/>
      <c r="BN663" s="1697"/>
      <c r="BO663" s="1697"/>
      <c r="BP663" s="1697"/>
      <c r="BQ663" s="1697"/>
      <c r="BR663" s="1697"/>
      <c r="BS663" s="1697"/>
      <c r="BT663" s="1697"/>
      <c r="BU663" s="1697"/>
      <c r="BV663" s="1697"/>
      <c r="BW663" s="1697"/>
      <c r="BX663" s="1697"/>
      <c r="BY663" s="1697"/>
      <c r="BZ663" s="1697"/>
      <c r="CA663" s="1697"/>
      <c r="CB663" s="1697"/>
      <c r="CC663" s="1697"/>
      <c r="CD663" s="1697"/>
      <c r="CE663" s="1697"/>
      <c r="CF663" s="1697"/>
      <c r="CG663" s="1697"/>
      <c r="CH663" s="1697"/>
      <c r="CI663" s="1697"/>
      <c r="CJ663" s="1697"/>
      <c r="CK663" s="1697"/>
      <c r="CL663" s="1697"/>
      <c r="CM663" s="1697"/>
      <c r="CN663" s="1697"/>
      <c r="CO663" s="1697"/>
      <c r="CP663" s="1697"/>
      <c r="CQ663" s="1697"/>
      <c r="CR663" s="1697"/>
      <c r="CS663" s="1697"/>
      <c r="CT663" s="1697"/>
      <c r="CU663" s="1697"/>
      <c r="CV663" s="1697"/>
      <c r="CW663" s="1697"/>
      <c r="CX663" s="1697"/>
      <c r="CY663" s="1697"/>
      <c r="CZ663" s="1697"/>
      <c r="DA663" s="1697"/>
      <c r="DB663" s="1697"/>
      <c r="DC663" s="1697"/>
      <c r="DD663" s="1697"/>
      <c r="DE663" s="1697"/>
      <c r="DF663" s="1697"/>
      <c r="DG663" s="1697"/>
      <c r="DH663" s="1697"/>
      <c r="DI663" s="1697"/>
      <c r="DJ663" s="1697"/>
      <c r="DK663" s="1697"/>
      <c r="DL663" s="1697"/>
      <c r="DM663" s="1697"/>
      <c r="DN663" s="1697"/>
      <c r="DO663" s="1697"/>
      <c r="DP663" s="1697"/>
      <c r="DQ663" s="1697"/>
      <c r="DR663" s="1697"/>
      <c r="DS663" s="1697"/>
      <c r="DT663" s="1697"/>
      <c r="DU663" s="1697"/>
      <c r="DV663" s="1697"/>
      <c r="DW663" s="1697"/>
      <c r="DX663" s="1697"/>
      <c r="DY663" s="1697"/>
      <c r="DZ663" s="1697"/>
      <c r="EA663" s="1697"/>
      <c r="EB663" s="1697"/>
      <c r="EC663" s="1697"/>
      <c r="ED663" s="1697"/>
      <c r="EE663" s="1697"/>
      <c r="EF663" s="1697"/>
      <c r="EG663" s="1697"/>
      <c r="EH663" s="1697"/>
      <c r="EI663" s="1697"/>
      <c r="EJ663" s="1697"/>
      <c r="EK663" s="1697"/>
      <c r="EL663" s="1697"/>
      <c r="EM663" s="1697"/>
      <c r="EN663" s="1697"/>
      <c r="EO663" s="1697"/>
      <c r="EP663" s="1697"/>
      <c r="EQ663" s="1697"/>
      <c r="ER663" s="1697"/>
      <c r="ES663" s="1697"/>
      <c r="ET663" s="1697"/>
      <c r="EU663" s="1697"/>
      <c r="EV663" s="1697"/>
      <c r="EW663" s="1697"/>
      <c r="EX663" s="1697"/>
      <c r="EY663" s="1697"/>
      <c r="EZ663" s="1697"/>
      <c r="FA663" s="1697"/>
      <c r="FB663" s="1697"/>
      <c r="FC663" s="1697"/>
      <c r="FD663" s="1697"/>
      <c r="FE663" s="1697"/>
      <c r="FF663" s="1697"/>
      <c r="FG663" s="1697"/>
      <c r="FH663" s="1697"/>
      <c r="FI663" s="1697"/>
    </row>
    <row r="664" spans="1:165">
      <c r="A664" s="1697"/>
      <c r="B664" s="1697"/>
      <c r="C664" s="1697"/>
      <c r="D664" s="1697"/>
      <c r="E664" s="1697"/>
      <c r="F664" s="1697"/>
      <c r="G664" s="1697"/>
      <c r="H664" s="1697"/>
      <c r="I664" s="1697"/>
      <c r="J664" s="1697"/>
      <c r="K664" s="1697"/>
      <c r="L664" s="1697"/>
      <c r="M664" s="1697"/>
      <c r="N664" s="1697"/>
      <c r="O664" s="1697"/>
      <c r="P664" s="1697"/>
      <c r="Q664" s="1697"/>
      <c r="R664" s="1697"/>
      <c r="S664" s="1697"/>
      <c r="T664" s="1697"/>
      <c r="U664" s="1697"/>
      <c r="V664" s="1697"/>
      <c r="W664" s="1697"/>
      <c r="X664" s="1697"/>
      <c r="Y664" s="1697"/>
      <c r="Z664" s="1697"/>
      <c r="AA664" s="1697"/>
      <c r="AB664" s="1697"/>
      <c r="AC664" s="1697"/>
      <c r="AD664" s="1697"/>
      <c r="AE664" s="1697"/>
      <c r="AF664" s="1697"/>
      <c r="AG664" s="1697"/>
      <c r="AH664" s="1697"/>
      <c r="AI664" s="1697"/>
      <c r="AJ664" s="1697"/>
      <c r="AK664" s="1697"/>
      <c r="AL664" s="1697"/>
      <c r="AM664" s="1697"/>
      <c r="AN664" s="1697"/>
      <c r="AO664" s="1697"/>
      <c r="AP664" s="1697"/>
      <c r="AQ664" s="1697"/>
      <c r="AR664" s="1697"/>
      <c r="AS664" s="1697"/>
      <c r="AT664" s="1697"/>
      <c r="AU664" s="1697"/>
      <c r="AV664" s="1697"/>
      <c r="AW664" s="1697"/>
      <c r="AX664" s="1697"/>
      <c r="AY664" s="1697"/>
      <c r="AZ664" s="1697"/>
      <c r="BA664" s="1697"/>
      <c r="BB664" s="1697"/>
      <c r="BC664" s="1697"/>
      <c r="BD664" s="1697"/>
      <c r="BE664" s="1697"/>
      <c r="BF664" s="1697"/>
      <c r="BG664" s="1697"/>
      <c r="BH664" s="1697"/>
      <c r="BI664" s="1697"/>
      <c r="BJ664" s="1697"/>
      <c r="BK664" s="1697"/>
      <c r="BL664" s="1697"/>
      <c r="BM664" s="1697"/>
      <c r="BN664" s="1697"/>
      <c r="BO664" s="1697"/>
      <c r="BP664" s="1697"/>
      <c r="BQ664" s="1697"/>
      <c r="BR664" s="1697"/>
      <c r="BS664" s="1697"/>
      <c r="BT664" s="1697"/>
      <c r="BU664" s="1697"/>
      <c r="BV664" s="1697"/>
      <c r="BW664" s="1697"/>
      <c r="BX664" s="1697"/>
      <c r="BY664" s="1697"/>
      <c r="BZ664" s="1697"/>
      <c r="CA664" s="1697"/>
      <c r="CB664" s="1697"/>
      <c r="CC664" s="1697"/>
      <c r="CD664" s="1697"/>
      <c r="CE664" s="1697"/>
      <c r="CF664" s="1697"/>
      <c r="CG664" s="1697"/>
      <c r="CH664" s="1697"/>
      <c r="CI664" s="1697"/>
      <c r="CJ664" s="1697"/>
      <c r="CK664" s="1697"/>
      <c r="CL664" s="1697"/>
      <c r="CM664" s="1697"/>
      <c r="CN664" s="1697"/>
      <c r="CO664" s="1697"/>
      <c r="CP664" s="1697"/>
      <c r="CQ664" s="1697"/>
      <c r="CR664" s="1697"/>
      <c r="CS664" s="1697"/>
      <c r="CT664" s="1697"/>
      <c r="CU664" s="1697"/>
      <c r="CV664" s="1697"/>
      <c r="CW664" s="1697"/>
      <c r="CX664" s="1697"/>
      <c r="CY664" s="1697"/>
      <c r="CZ664" s="1697"/>
      <c r="DA664" s="1697"/>
      <c r="DB664" s="1697"/>
      <c r="DC664" s="1697"/>
      <c r="DD664" s="1697"/>
      <c r="DE664" s="1697"/>
      <c r="DF664" s="1697"/>
      <c r="DG664" s="1697"/>
      <c r="DH664" s="1697"/>
      <c r="DI664" s="1697"/>
      <c r="DJ664" s="1697"/>
      <c r="DK664" s="1697"/>
      <c r="DL664" s="1697"/>
      <c r="DM664" s="1697"/>
      <c r="DN664" s="1697"/>
      <c r="DO664" s="1697"/>
      <c r="DP664" s="1697"/>
      <c r="DQ664" s="1697"/>
      <c r="DR664" s="1697"/>
      <c r="DS664" s="1697"/>
      <c r="DT664" s="1697"/>
      <c r="DU664" s="1697"/>
      <c r="DV664" s="1697"/>
      <c r="DW664" s="1697"/>
      <c r="DX664" s="1697"/>
      <c r="DY664" s="1697"/>
      <c r="DZ664" s="1697"/>
      <c r="EA664" s="1697"/>
      <c r="EB664" s="1697"/>
      <c r="EC664" s="1697"/>
      <c r="ED664" s="1697"/>
      <c r="EE664" s="1697"/>
      <c r="EF664" s="1697"/>
      <c r="EG664" s="1697"/>
      <c r="EH664" s="1697"/>
      <c r="EI664" s="1697"/>
      <c r="EJ664" s="1697"/>
      <c r="EK664" s="1697"/>
      <c r="EL664" s="1697"/>
      <c r="EM664" s="1697"/>
      <c r="EN664" s="1697"/>
      <c r="EO664" s="1697"/>
      <c r="EP664" s="1697"/>
      <c r="EQ664" s="1697"/>
      <c r="ER664" s="1697"/>
      <c r="ES664" s="1697"/>
      <c r="ET664" s="1697"/>
      <c r="EU664" s="1697"/>
      <c r="EV664" s="1697"/>
      <c r="EW664" s="1697"/>
      <c r="EX664" s="1697"/>
      <c r="EY664" s="1697"/>
      <c r="EZ664" s="1697"/>
      <c r="FA664" s="1697"/>
      <c r="FB664" s="1697"/>
      <c r="FC664" s="1697"/>
      <c r="FD664" s="1697"/>
      <c r="FE664" s="1697"/>
      <c r="FF664" s="1697"/>
      <c r="FG664" s="1697"/>
      <c r="FH664" s="1697"/>
      <c r="FI664" s="1697"/>
    </row>
    <row r="665" spans="1:165">
      <c r="A665" s="1697"/>
      <c r="B665" s="1697"/>
      <c r="C665" s="1697"/>
      <c r="D665" s="1697"/>
      <c r="E665" s="1697"/>
      <c r="F665" s="1697"/>
      <c r="G665" s="1697"/>
      <c r="H665" s="1697"/>
      <c r="I665" s="1697"/>
      <c r="J665" s="1697"/>
      <c r="K665" s="1697"/>
      <c r="L665" s="1697"/>
      <c r="M665" s="1697"/>
      <c r="N665" s="1697"/>
      <c r="O665" s="1697"/>
      <c r="P665" s="1697"/>
      <c r="Q665" s="1697"/>
      <c r="R665" s="1697"/>
      <c r="S665" s="1697"/>
      <c r="T665" s="1697"/>
      <c r="U665" s="1697"/>
      <c r="V665" s="1697"/>
      <c r="W665" s="1697"/>
      <c r="X665" s="1697"/>
      <c r="Y665" s="1697"/>
      <c r="Z665" s="1697"/>
      <c r="AA665" s="1697"/>
      <c r="AB665" s="1697"/>
      <c r="AC665" s="1697"/>
      <c r="AD665" s="1697"/>
      <c r="AE665" s="1697"/>
      <c r="AF665" s="1697"/>
      <c r="AG665" s="1697"/>
      <c r="AH665" s="1697"/>
      <c r="AI665" s="1697"/>
      <c r="AJ665" s="1697"/>
      <c r="AK665" s="1697"/>
      <c r="AL665" s="1697"/>
      <c r="AM665" s="1697"/>
      <c r="AN665" s="1697"/>
      <c r="AO665" s="1697"/>
      <c r="AP665" s="1697"/>
      <c r="AQ665" s="1697"/>
      <c r="AR665" s="1697"/>
      <c r="AS665" s="1697"/>
      <c r="AT665" s="1697"/>
      <c r="AU665" s="1697"/>
      <c r="AV665" s="1697"/>
      <c r="AW665" s="1697"/>
      <c r="AX665" s="1697"/>
      <c r="AY665" s="1697"/>
      <c r="AZ665" s="1697"/>
      <c r="BA665" s="1697"/>
      <c r="BB665" s="1697"/>
      <c r="BC665" s="1697"/>
      <c r="BD665" s="1697"/>
      <c r="BE665" s="1697"/>
      <c r="BF665" s="1697"/>
      <c r="BG665" s="1697"/>
      <c r="BH665" s="1697"/>
      <c r="BI665" s="1697"/>
      <c r="BJ665" s="1697"/>
      <c r="BK665" s="1697"/>
      <c r="BL665" s="1697"/>
      <c r="BM665" s="1697"/>
      <c r="BN665" s="1697"/>
      <c r="BO665" s="1697"/>
      <c r="BP665" s="1697"/>
      <c r="BQ665" s="1697"/>
      <c r="BR665" s="1697"/>
      <c r="BS665" s="1697"/>
      <c r="BT665" s="1697"/>
      <c r="BU665" s="1697"/>
      <c r="BV665" s="1697"/>
      <c r="BW665" s="1697"/>
      <c r="BX665" s="1697"/>
      <c r="BY665" s="1697"/>
      <c r="BZ665" s="1697"/>
      <c r="CA665" s="1697"/>
      <c r="CB665" s="1697"/>
      <c r="CC665" s="1697"/>
      <c r="CD665" s="1697"/>
      <c r="CE665" s="1697"/>
      <c r="CF665" s="1697"/>
      <c r="CG665" s="1697"/>
      <c r="CH665" s="1697"/>
      <c r="CI665" s="1697"/>
      <c r="CJ665" s="1697"/>
      <c r="CK665" s="1697"/>
      <c r="CL665" s="1697"/>
      <c r="CM665" s="1697"/>
      <c r="CN665" s="1697"/>
      <c r="CO665" s="1697"/>
      <c r="CP665" s="1697"/>
      <c r="CQ665" s="1697"/>
      <c r="CR665" s="1697"/>
      <c r="CS665" s="1697"/>
      <c r="CT665" s="1697"/>
      <c r="CU665" s="1697"/>
      <c r="CV665" s="1697"/>
      <c r="CW665" s="1697"/>
      <c r="CX665" s="1697"/>
      <c r="CY665" s="1697"/>
      <c r="CZ665" s="1697"/>
      <c r="DA665" s="1697"/>
      <c r="DB665" s="1697"/>
      <c r="DC665" s="1697"/>
      <c r="DD665" s="1697"/>
      <c r="DE665" s="1697"/>
      <c r="DF665" s="1697"/>
      <c r="DG665" s="1697"/>
      <c r="DH665" s="1697"/>
      <c r="DI665" s="1697"/>
      <c r="DJ665" s="1697"/>
      <c r="DK665" s="1697"/>
      <c r="DL665" s="1697"/>
      <c r="DM665" s="1697"/>
      <c r="DN665" s="1697"/>
      <c r="DO665" s="1697"/>
      <c r="DP665" s="1697"/>
      <c r="DQ665" s="1697"/>
      <c r="DR665" s="1697"/>
      <c r="DS665" s="1697"/>
      <c r="DT665" s="1697"/>
      <c r="DU665" s="1697"/>
      <c r="DV665" s="1697"/>
      <c r="DW665" s="1697"/>
      <c r="DX665" s="1697"/>
      <c r="DY665" s="1697"/>
      <c r="DZ665" s="1697"/>
      <c r="EA665" s="1697"/>
      <c r="EB665" s="1697"/>
      <c r="EC665" s="1697"/>
      <c r="ED665" s="1697"/>
      <c r="EE665" s="1697"/>
      <c r="EF665" s="1697"/>
      <c r="EG665" s="1697"/>
      <c r="EH665" s="1697"/>
      <c r="EI665" s="1697"/>
      <c r="EJ665" s="1697"/>
      <c r="EK665" s="1697"/>
      <c r="EL665" s="1697"/>
      <c r="EM665" s="1697"/>
      <c r="EN665" s="1697"/>
      <c r="EO665" s="1697"/>
      <c r="EP665" s="1697"/>
      <c r="EQ665" s="1697"/>
      <c r="ER665" s="1697"/>
      <c r="ES665" s="1697"/>
      <c r="ET665" s="1697"/>
      <c r="EU665" s="1697"/>
      <c r="EV665" s="1697"/>
      <c r="EW665" s="1697"/>
      <c r="EX665" s="1697"/>
      <c r="EY665" s="1697"/>
      <c r="EZ665" s="1697"/>
      <c r="FA665" s="1697"/>
      <c r="FB665" s="1697"/>
      <c r="FC665" s="1697"/>
      <c r="FD665" s="1697"/>
      <c r="FE665" s="1697"/>
      <c r="FF665" s="1697"/>
      <c r="FG665" s="1697"/>
      <c r="FH665" s="1697"/>
      <c r="FI665" s="1697"/>
    </row>
    <row r="666" spans="1:165">
      <c r="A666" s="1697"/>
      <c r="B666" s="1697"/>
      <c r="C666" s="1697"/>
      <c r="D666" s="1697"/>
      <c r="E666" s="1697"/>
      <c r="F666" s="1697"/>
      <c r="G666" s="1697"/>
      <c r="H666" s="1697"/>
      <c r="I666" s="1697"/>
      <c r="J666" s="1697"/>
      <c r="K666" s="1697"/>
      <c r="L666" s="1697"/>
      <c r="M666" s="1697"/>
      <c r="N666" s="1697"/>
      <c r="O666" s="1697"/>
      <c r="P666" s="1697"/>
      <c r="Q666" s="1697"/>
      <c r="R666" s="1697"/>
      <c r="S666" s="1697"/>
      <c r="T666" s="1697"/>
      <c r="U666" s="1697"/>
      <c r="V666" s="1697"/>
      <c r="W666" s="1697"/>
      <c r="X666" s="1697"/>
      <c r="Y666" s="1697"/>
      <c r="Z666" s="1697"/>
      <c r="AA666" s="1697"/>
      <c r="AB666" s="1697"/>
      <c r="AC666" s="1697"/>
      <c r="AD666" s="1697"/>
      <c r="AE666" s="1697"/>
      <c r="AF666" s="1697"/>
      <c r="AG666" s="1697"/>
      <c r="AH666" s="1697"/>
      <c r="AI666" s="1697"/>
      <c r="AJ666" s="1697"/>
      <c r="AK666" s="1697"/>
      <c r="AL666" s="1697"/>
      <c r="AM666" s="1697"/>
      <c r="AN666" s="1697"/>
      <c r="AO666" s="1697"/>
      <c r="AP666" s="1697"/>
      <c r="AQ666" s="1697"/>
      <c r="AR666" s="1697"/>
      <c r="AS666" s="1697"/>
      <c r="AT666" s="1697"/>
      <c r="AU666" s="1697"/>
      <c r="AV666" s="1697"/>
      <c r="AW666" s="1697"/>
      <c r="AX666" s="1697"/>
      <c r="AY666" s="1697"/>
      <c r="AZ666" s="1697"/>
      <c r="BA666" s="1697"/>
      <c r="BB666" s="1697"/>
      <c r="BC666" s="1697"/>
      <c r="BD666" s="1697"/>
      <c r="BE666" s="1697"/>
      <c r="BF666" s="1697"/>
      <c r="BG666" s="1697"/>
      <c r="BH666" s="1697"/>
      <c r="BI666" s="1697"/>
      <c r="BJ666" s="1697"/>
      <c r="BK666" s="1697"/>
      <c r="BL666" s="1697"/>
      <c r="BM666" s="1697"/>
      <c r="BN666" s="1697"/>
      <c r="BO666" s="1697"/>
      <c r="BP666" s="1697"/>
      <c r="BQ666" s="1697"/>
      <c r="BR666" s="1697"/>
      <c r="BS666" s="1697"/>
      <c r="BT666" s="1697"/>
      <c r="BU666" s="1697"/>
      <c r="BV666" s="1697"/>
      <c r="BW666" s="1697"/>
      <c r="BX666" s="1697"/>
      <c r="BY666" s="1697"/>
      <c r="BZ666" s="1697"/>
      <c r="CA666" s="1697"/>
      <c r="CB666" s="1697"/>
      <c r="CC666" s="1697"/>
      <c r="CD666" s="1697"/>
      <c r="CE666" s="1697"/>
      <c r="CF666" s="1697"/>
      <c r="CG666" s="1697"/>
      <c r="CH666" s="1697"/>
      <c r="CI666" s="1697"/>
      <c r="CJ666" s="1697"/>
      <c r="CK666" s="1697"/>
      <c r="CL666" s="1697"/>
      <c r="CM666" s="1697"/>
      <c r="CN666" s="1697"/>
      <c r="CO666" s="1697"/>
      <c r="CP666" s="1697"/>
      <c r="CQ666" s="1697"/>
      <c r="CR666" s="1697"/>
      <c r="CS666" s="1697"/>
      <c r="CT666" s="1697"/>
      <c r="CU666" s="1697"/>
      <c r="CV666" s="1697"/>
      <c r="CW666" s="1697"/>
      <c r="CX666" s="1697"/>
      <c r="CY666" s="1697"/>
      <c r="CZ666" s="1697"/>
      <c r="DA666" s="1697"/>
      <c r="DB666" s="1697"/>
      <c r="DC666" s="1697"/>
      <c r="DD666" s="1697"/>
      <c r="DE666" s="1697"/>
      <c r="DF666" s="1697"/>
      <c r="DG666" s="1697"/>
      <c r="DH666" s="1697"/>
      <c r="DI666" s="1697"/>
      <c r="DJ666" s="1697"/>
      <c r="DK666" s="1697"/>
      <c r="DL666" s="1697"/>
      <c r="DM666" s="1697"/>
      <c r="DN666" s="1697"/>
      <c r="DO666" s="1697"/>
      <c r="DP666" s="1697"/>
      <c r="DQ666" s="1697"/>
      <c r="DR666" s="1697"/>
      <c r="DS666" s="1697"/>
      <c r="DT666" s="1697"/>
      <c r="DU666" s="1697"/>
      <c r="DV666" s="1697"/>
      <c r="DW666" s="1697"/>
      <c r="DX666" s="1697"/>
      <c r="DY666" s="1697"/>
      <c r="DZ666" s="1697"/>
      <c r="EA666" s="1697"/>
      <c r="EB666" s="1697"/>
      <c r="EC666" s="1697"/>
      <c r="ED666" s="1697"/>
      <c r="EE666" s="1697"/>
      <c r="EF666" s="1697"/>
      <c r="EG666" s="1697"/>
      <c r="EH666" s="1697"/>
      <c r="EI666" s="1697"/>
      <c r="EJ666" s="1697"/>
      <c r="EK666" s="1697"/>
      <c r="EL666" s="1697"/>
      <c r="EM666" s="1697"/>
      <c r="EN666" s="1697"/>
      <c r="EO666" s="1697"/>
      <c r="EP666" s="1697"/>
      <c r="EQ666" s="1697"/>
      <c r="ER666" s="1697"/>
      <c r="ES666" s="1697"/>
      <c r="ET666" s="1697"/>
      <c r="EU666" s="1697"/>
      <c r="EV666" s="1697"/>
      <c r="EW666" s="1697"/>
      <c r="EX666" s="1697"/>
      <c r="EY666" s="1697"/>
      <c r="EZ666" s="1697"/>
      <c r="FA666" s="1697"/>
      <c r="FB666" s="1697"/>
      <c r="FC666" s="1697"/>
      <c r="FD666" s="1697"/>
      <c r="FE666" s="1697"/>
      <c r="FF666" s="1697"/>
      <c r="FG666" s="1697"/>
      <c r="FH666" s="1697"/>
      <c r="FI666" s="1697"/>
    </row>
    <row r="667" spans="1:165">
      <c r="A667" s="1697"/>
      <c r="B667" s="1697"/>
      <c r="C667" s="1697"/>
      <c r="D667" s="1697"/>
      <c r="E667" s="1697"/>
      <c r="F667" s="1697"/>
      <c r="G667" s="1697"/>
      <c r="H667" s="1697"/>
      <c r="I667" s="1697"/>
      <c r="J667" s="1697"/>
      <c r="K667" s="1697"/>
      <c r="L667" s="1697"/>
      <c r="M667" s="1697"/>
      <c r="N667" s="1697"/>
      <c r="O667" s="1697"/>
      <c r="P667" s="1697"/>
      <c r="Q667" s="1697"/>
      <c r="R667" s="1697"/>
      <c r="S667" s="1697"/>
      <c r="T667" s="1697"/>
      <c r="U667" s="1697"/>
      <c r="V667" s="1697"/>
      <c r="W667" s="1697"/>
      <c r="X667" s="1697"/>
      <c r="Y667" s="1697"/>
      <c r="Z667" s="1697"/>
      <c r="AA667" s="1697"/>
      <c r="AB667" s="1697"/>
      <c r="AC667" s="1697"/>
      <c r="AD667" s="1697"/>
      <c r="AE667" s="1697"/>
      <c r="AF667" s="1697"/>
      <c r="AG667" s="1697"/>
      <c r="AH667" s="1697"/>
      <c r="AI667" s="1697"/>
      <c r="AJ667" s="1697"/>
      <c r="AK667" s="1697"/>
      <c r="AL667" s="1697"/>
      <c r="AM667" s="1697"/>
      <c r="AN667" s="1697"/>
      <c r="AO667" s="1697"/>
      <c r="AP667" s="1697"/>
      <c r="AQ667" s="1697"/>
      <c r="AR667" s="1697"/>
      <c r="AS667" s="1697"/>
      <c r="AT667" s="1697"/>
      <c r="AU667" s="1697"/>
      <c r="AV667" s="1697"/>
      <c r="AW667" s="1697"/>
      <c r="AX667" s="1697"/>
      <c r="AY667" s="1697"/>
      <c r="AZ667" s="1697"/>
      <c r="BA667" s="1697"/>
      <c r="BB667" s="1697"/>
      <c r="BC667" s="1697"/>
      <c r="BD667" s="1697"/>
      <c r="BE667" s="1697"/>
      <c r="BF667" s="1697"/>
      <c r="BG667" s="1697"/>
      <c r="BH667" s="1697"/>
      <c r="BI667" s="1697"/>
      <c r="BJ667" s="1697"/>
      <c r="BK667" s="1697"/>
      <c r="BL667" s="1697"/>
      <c r="BM667" s="1697"/>
      <c r="BN667" s="1697"/>
      <c r="BO667" s="1697"/>
      <c r="BP667" s="1697"/>
      <c r="BQ667" s="1697"/>
      <c r="BR667" s="1697"/>
      <c r="BS667" s="1697"/>
      <c r="BT667" s="1697"/>
      <c r="BU667" s="1697"/>
      <c r="BV667" s="1697"/>
      <c r="BW667" s="1697"/>
      <c r="BX667" s="1697"/>
      <c r="BY667" s="1697"/>
      <c r="BZ667" s="1697"/>
      <c r="CA667" s="1697"/>
      <c r="CB667" s="1697"/>
      <c r="CC667" s="1697"/>
      <c r="CD667" s="1697"/>
      <c r="CE667" s="1697"/>
      <c r="CF667" s="1697"/>
      <c r="CG667" s="1697"/>
      <c r="CH667" s="1697"/>
      <c r="CI667" s="1697"/>
      <c r="CJ667" s="1697"/>
      <c r="CK667" s="1697"/>
      <c r="CL667" s="1697"/>
      <c r="CM667" s="1697"/>
      <c r="CN667" s="1697"/>
      <c r="CO667" s="1697"/>
      <c r="CP667" s="1697"/>
      <c r="CQ667" s="1697"/>
      <c r="CR667" s="1697"/>
      <c r="CS667" s="1697"/>
      <c r="CT667" s="1697"/>
      <c r="CU667" s="1697"/>
      <c r="CV667" s="1697"/>
      <c r="CW667" s="1697"/>
      <c r="CX667" s="1697"/>
      <c r="CY667" s="1697"/>
      <c r="CZ667" s="1697"/>
      <c r="DA667" s="1697"/>
      <c r="DB667" s="1697"/>
      <c r="DC667" s="1697"/>
      <c r="DD667" s="1697"/>
      <c r="DE667" s="1697"/>
      <c r="DF667" s="1697"/>
      <c r="DG667" s="1697"/>
      <c r="DH667" s="1697"/>
      <c r="DI667" s="1697"/>
      <c r="DJ667" s="1697"/>
      <c r="DK667" s="1697"/>
      <c r="DL667" s="1697"/>
      <c r="DM667" s="1697"/>
      <c r="DN667" s="1697"/>
      <c r="DO667" s="1697"/>
      <c r="DP667" s="1697"/>
      <c r="DQ667" s="1697"/>
      <c r="DR667" s="1697"/>
      <c r="DS667" s="1697"/>
      <c r="DT667" s="1697"/>
      <c r="DU667" s="1697"/>
      <c r="DV667" s="1697"/>
      <c r="DW667" s="1697"/>
      <c r="DX667" s="1697"/>
      <c r="DY667" s="1697"/>
      <c r="DZ667" s="1697"/>
      <c r="EA667" s="1697"/>
      <c r="EB667" s="1697"/>
      <c r="EC667" s="1697"/>
      <c r="ED667" s="1697"/>
      <c r="EE667" s="1697"/>
      <c r="EF667" s="1697"/>
      <c r="EG667" s="1697"/>
      <c r="EH667" s="1697"/>
      <c r="EI667" s="1697"/>
      <c r="EJ667" s="1697"/>
      <c r="EK667" s="1697"/>
      <c r="EL667" s="1697"/>
      <c r="EM667" s="1697"/>
      <c r="EN667" s="1697"/>
      <c r="EO667" s="1697"/>
      <c r="EP667" s="1697"/>
      <c r="EQ667" s="1697"/>
      <c r="ER667" s="1697"/>
      <c r="ES667" s="1697"/>
      <c r="ET667" s="1697"/>
      <c r="EU667" s="1697"/>
      <c r="EV667" s="1697"/>
      <c r="EW667" s="1697"/>
      <c r="EX667" s="1697"/>
      <c r="EY667" s="1697"/>
      <c r="EZ667" s="1697"/>
      <c r="FA667" s="1697"/>
      <c r="FB667" s="1697"/>
      <c r="FC667" s="1697"/>
      <c r="FD667" s="1697"/>
      <c r="FE667" s="1697"/>
      <c r="FF667" s="1697"/>
      <c r="FG667" s="1697"/>
      <c r="FH667" s="1697"/>
      <c r="FI667" s="1697"/>
    </row>
    <row r="668" spans="1:165">
      <c r="A668" s="1697"/>
      <c r="B668" s="1697"/>
      <c r="C668" s="1697"/>
      <c r="D668" s="1697"/>
      <c r="E668" s="1697"/>
      <c r="F668" s="1697"/>
      <c r="G668" s="1697"/>
      <c r="H668" s="1697"/>
      <c r="I668" s="1697"/>
      <c r="J668" s="1697"/>
      <c r="K668" s="1697"/>
      <c r="L668" s="1697"/>
      <c r="M668" s="1697"/>
      <c r="N668" s="1697"/>
      <c r="O668" s="1697"/>
      <c r="P668" s="1697"/>
      <c r="Q668" s="1697"/>
      <c r="R668" s="1697"/>
      <c r="S668" s="1697"/>
      <c r="T668" s="1697"/>
      <c r="U668" s="1697"/>
      <c r="V668" s="1697"/>
      <c r="W668" s="1697"/>
      <c r="X668" s="1697"/>
      <c r="Y668" s="1697"/>
      <c r="Z668" s="1697"/>
      <c r="AA668" s="1697"/>
      <c r="AB668" s="1697"/>
      <c r="AC668" s="1697"/>
      <c r="AD668" s="1697"/>
      <c r="AE668" s="1697"/>
      <c r="AF668" s="1697"/>
      <c r="AG668" s="1697"/>
      <c r="AH668" s="1697"/>
      <c r="AI668" s="1697"/>
      <c r="AJ668" s="1697"/>
      <c r="AK668" s="1697"/>
      <c r="AL668" s="1697"/>
      <c r="AM668" s="1697"/>
      <c r="AN668" s="1697"/>
      <c r="AO668" s="1697"/>
      <c r="AP668" s="1697"/>
      <c r="AQ668" s="1697"/>
      <c r="AR668" s="1697"/>
      <c r="AS668" s="1697"/>
      <c r="AT668" s="1697"/>
      <c r="AU668" s="1697"/>
      <c r="AV668" s="1697"/>
      <c r="AW668" s="1697"/>
      <c r="AX668" s="1697"/>
      <c r="AY668" s="1697"/>
      <c r="AZ668" s="1697"/>
      <c r="BA668" s="1697"/>
      <c r="BB668" s="1697"/>
      <c r="BC668" s="1697"/>
      <c r="BD668" s="1697"/>
      <c r="BE668" s="1697"/>
      <c r="BF668" s="1697"/>
      <c r="BG668" s="1697"/>
      <c r="BH668" s="1697"/>
      <c r="BI668" s="1697"/>
      <c r="BJ668" s="1697"/>
      <c r="BK668" s="1697"/>
      <c r="BL668" s="1697"/>
      <c r="BM668" s="1697"/>
      <c r="BN668" s="1697"/>
      <c r="BO668" s="1697"/>
      <c r="BP668" s="1697"/>
      <c r="BQ668" s="1697"/>
      <c r="BR668" s="1697"/>
      <c r="BS668" s="1697"/>
      <c r="BT668" s="1697"/>
      <c r="BU668" s="1697"/>
      <c r="BV668" s="1697"/>
      <c r="BW668" s="1697"/>
      <c r="BX668" s="1697"/>
      <c r="BY668" s="1697"/>
      <c r="BZ668" s="1697"/>
      <c r="CA668" s="1697"/>
      <c r="CB668" s="1697"/>
      <c r="CC668" s="1697"/>
      <c r="CD668" s="1697"/>
      <c r="CE668" s="1697"/>
      <c r="CF668" s="1697"/>
      <c r="CG668" s="1697"/>
      <c r="CH668" s="1697"/>
      <c r="CI668" s="1697"/>
      <c r="CJ668" s="1697"/>
      <c r="CK668" s="1697"/>
      <c r="CL668" s="1697"/>
      <c r="CM668" s="1697"/>
      <c r="CN668" s="1697"/>
      <c r="CO668" s="1697"/>
      <c r="CP668" s="1697"/>
      <c r="CQ668" s="1697"/>
      <c r="CR668" s="1697"/>
      <c r="CS668" s="1697"/>
      <c r="CT668" s="1697"/>
      <c r="CU668" s="1697"/>
      <c r="CV668" s="1697"/>
      <c r="CW668" s="1697"/>
      <c r="CX668" s="1697"/>
      <c r="CY668" s="1697"/>
      <c r="CZ668" s="1697"/>
      <c r="DA668" s="1697"/>
      <c r="DB668" s="1697"/>
      <c r="DC668" s="1697"/>
      <c r="DD668" s="1697"/>
      <c r="DE668" s="1697"/>
      <c r="DF668" s="1697"/>
      <c r="DG668" s="1697"/>
      <c r="DH668" s="1697"/>
      <c r="DI668" s="1697"/>
      <c r="DJ668" s="1697"/>
      <c r="DK668" s="1697"/>
      <c r="DL668" s="1697"/>
      <c r="DM668" s="1697"/>
      <c r="DN668" s="1697"/>
      <c r="DO668" s="1697"/>
      <c r="DP668" s="1697"/>
      <c r="DQ668" s="1697"/>
      <c r="DR668" s="1697"/>
      <c r="DS668" s="1697"/>
      <c r="DT668" s="1697"/>
      <c r="DU668" s="1697"/>
      <c r="DV668" s="1697"/>
      <c r="DW668" s="1697"/>
      <c r="DX668" s="1697"/>
      <c r="DY668" s="1697"/>
      <c r="DZ668" s="1697"/>
      <c r="EA668" s="1697"/>
      <c r="EB668" s="1697"/>
      <c r="EC668" s="1697"/>
      <c r="ED668" s="1697"/>
      <c r="EE668" s="1697"/>
      <c r="EF668" s="1697"/>
      <c r="EG668" s="1697"/>
      <c r="EH668" s="1697"/>
      <c r="EI668" s="1697"/>
      <c r="EJ668" s="1697"/>
      <c r="EK668" s="1697"/>
      <c r="EL668" s="1697"/>
      <c r="EM668" s="1697"/>
      <c r="EN668" s="1697"/>
      <c r="EO668" s="1697"/>
      <c r="EP668" s="1697"/>
      <c r="EQ668" s="1697"/>
      <c r="ER668" s="1697"/>
      <c r="ES668" s="1697"/>
      <c r="ET668" s="1697"/>
      <c r="EU668" s="1697"/>
      <c r="EV668" s="1697"/>
      <c r="EW668" s="1697"/>
      <c r="EX668" s="1697"/>
      <c r="EY668" s="1697"/>
      <c r="EZ668" s="1697"/>
      <c r="FA668" s="1697"/>
      <c r="FB668" s="1697"/>
      <c r="FC668" s="1697"/>
      <c r="FD668" s="1697"/>
      <c r="FE668" s="1697"/>
      <c r="FF668" s="1697"/>
      <c r="FG668" s="1697"/>
      <c r="FH668" s="1697"/>
      <c r="FI668" s="1697"/>
    </row>
    <row r="669" spans="1:165">
      <c r="A669" s="1697"/>
      <c r="B669" s="1697"/>
      <c r="C669" s="1697"/>
      <c r="D669" s="1697"/>
      <c r="E669" s="1697"/>
      <c r="F669" s="1697"/>
      <c r="G669" s="1697"/>
      <c r="H669" s="1697"/>
      <c r="I669" s="1697"/>
      <c r="J669" s="1697"/>
      <c r="K669" s="1697"/>
      <c r="L669" s="1697"/>
      <c r="M669" s="1697"/>
      <c r="N669" s="1697"/>
      <c r="O669" s="1697"/>
      <c r="P669" s="1697"/>
      <c r="Q669" s="1697"/>
      <c r="R669" s="1697"/>
      <c r="S669" s="1697"/>
      <c r="T669" s="1697"/>
      <c r="U669" s="1697"/>
      <c r="V669" s="1697"/>
      <c r="W669" s="1697"/>
      <c r="X669" s="1697"/>
      <c r="Y669" s="1697"/>
      <c r="Z669" s="1697"/>
      <c r="AA669" s="1697"/>
      <c r="AB669" s="1697"/>
      <c r="AC669" s="1697"/>
      <c r="AD669" s="1697"/>
      <c r="AE669" s="1697"/>
      <c r="AF669" s="1697"/>
      <c r="AG669" s="1697"/>
      <c r="AH669" s="1697"/>
      <c r="AI669" s="1697"/>
      <c r="AJ669" s="1697"/>
      <c r="AK669" s="1697"/>
      <c r="AL669" s="1697"/>
      <c r="AM669" s="1697"/>
      <c r="AN669" s="1697"/>
      <c r="AO669" s="1697"/>
      <c r="AP669" s="1697"/>
      <c r="AQ669" s="1697"/>
      <c r="AR669" s="1697"/>
      <c r="AS669" s="1697"/>
      <c r="AT669" s="1697"/>
      <c r="AU669" s="1697"/>
      <c r="AV669" s="1697"/>
      <c r="AW669" s="1697"/>
      <c r="AX669" s="1697"/>
      <c r="AY669" s="1697"/>
      <c r="AZ669" s="1697"/>
      <c r="BA669" s="1697"/>
      <c r="BB669" s="1697"/>
      <c r="BC669" s="1697"/>
      <c r="BD669" s="1697"/>
      <c r="BE669" s="1697"/>
      <c r="BF669" s="1697"/>
      <c r="BG669" s="1697"/>
      <c r="BH669" s="1697"/>
      <c r="BI669" s="1697"/>
      <c r="BJ669" s="1697"/>
      <c r="BK669" s="1697"/>
      <c r="BL669" s="1697"/>
      <c r="BM669" s="1697"/>
      <c r="BN669" s="1697"/>
      <c r="BO669" s="1697"/>
      <c r="BP669" s="1697"/>
      <c r="BQ669" s="1697"/>
      <c r="BR669" s="1697"/>
      <c r="BS669" s="1697"/>
      <c r="BT669" s="1697"/>
      <c r="BU669" s="1697"/>
      <c r="BV669" s="1697"/>
      <c r="BW669" s="1697"/>
      <c r="BX669" s="1697"/>
      <c r="BY669" s="1697"/>
      <c r="BZ669" s="1697"/>
      <c r="CA669" s="1697"/>
      <c r="CB669" s="1697"/>
      <c r="CC669" s="1697"/>
      <c r="CD669" s="1697"/>
      <c r="CE669" s="1697"/>
      <c r="CF669" s="1697"/>
      <c r="CG669" s="1697"/>
      <c r="CH669" s="1697"/>
      <c r="CI669" s="1697"/>
      <c r="CJ669" s="1697"/>
      <c r="CK669" s="1697"/>
      <c r="CL669" s="1697"/>
      <c r="CM669" s="1697"/>
      <c r="CN669" s="1697"/>
      <c r="CO669" s="1697"/>
      <c r="CP669" s="1697"/>
      <c r="CQ669" s="1697"/>
      <c r="CR669" s="1697"/>
      <c r="CS669" s="1697"/>
      <c r="CT669" s="1697"/>
      <c r="CU669" s="1697"/>
      <c r="CV669" s="1697"/>
      <c r="CW669" s="1697"/>
      <c r="CX669" s="1697"/>
      <c r="CY669" s="1697"/>
      <c r="CZ669" s="1697"/>
      <c r="DA669" s="1697"/>
      <c r="DB669" s="1697"/>
      <c r="DC669" s="1697"/>
      <c r="DD669" s="1697"/>
      <c r="DE669" s="1697"/>
      <c r="DF669" s="1697"/>
      <c r="DG669" s="1697"/>
      <c r="DH669" s="1697"/>
      <c r="DI669" s="1697"/>
      <c r="DJ669" s="1697"/>
      <c r="DK669" s="1697"/>
      <c r="DL669" s="1697"/>
      <c r="DM669" s="1697"/>
      <c r="DN669" s="1697"/>
      <c r="DO669" s="1697"/>
      <c r="DP669" s="1697"/>
      <c r="DQ669" s="1697"/>
      <c r="DR669" s="1697"/>
      <c r="DS669" s="1697"/>
      <c r="DT669" s="1697"/>
      <c r="DU669" s="1697"/>
      <c r="DV669" s="1697"/>
      <c r="DW669" s="1697"/>
      <c r="DX669" s="1697"/>
      <c r="DY669" s="1697"/>
      <c r="DZ669" s="1697"/>
      <c r="EA669" s="1697"/>
      <c r="EB669" s="1697"/>
      <c r="EC669" s="1697"/>
      <c r="ED669" s="1697"/>
      <c r="EE669" s="1697"/>
      <c r="EF669" s="1697"/>
      <c r="EG669" s="1697"/>
      <c r="EH669" s="1697"/>
      <c r="EI669" s="1697"/>
      <c r="EJ669" s="1697"/>
      <c r="EK669" s="1697"/>
      <c r="EL669" s="1697"/>
      <c r="EM669" s="1697"/>
      <c r="EN669" s="1697"/>
      <c r="EO669" s="1697"/>
      <c r="EP669" s="1697"/>
      <c r="EQ669" s="1697"/>
      <c r="ER669" s="1697"/>
      <c r="ES669" s="1697"/>
      <c r="ET669" s="1697"/>
      <c r="EU669" s="1697"/>
      <c r="EV669" s="1697"/>
      <c r="EW669" s="1697"/>
      <c r="EX669" s="1697"/>
      <c r="EY669" s="1697"/>
      <c r="EZ669" s="1697"/>
      <c r="FA669" s="1697"/>
      <c r="FB669" s="1697"/>
      <c r="FC669" s="1697"/>
      <c r="FD669" s="1697"/>
      <c r="FE669" s="1697"/>
      <c r="FF669" s="1697"/>
      <c r="FG669" s="1697"/>
      <c r="FH669" s="1697"/>
      <c r="FI669" s="1697"/>
    </row>
    <row r="670" spans="1:165">
      <c r="A670" s="1697"/>
      <c r="B670" s="1697"/>
      <c r="C670" s="1697"/>
      <c r="D670" s="1697"/>
      <c r="E670" s="1697"/>
      <c r="F670" s="1697"/>
      <c r="G670" s="1697"/>
      <c r="H670" s="1697"/>
      <c r="I670" s="1697"/>
      <c r="J670" s="1697"/>
      <c r="K670" s="1697"/>
      <c r="L670" s="1697"/>
      <c r="M670" s="1697"/>
      <c r="N670" s="1697"/>
      <c r="O670" s="1697"/>
      <c r="P670" s="1697"/>
      <c r="Q670" s="1697"/>
      <c r="R670" s="1697"/>
      <c r="S670" s="1697"/>
      <c r="T670" s="1697"/>
      <c r="U670" s="1697"/>
      <c r="V670" s="1697"/>
      <c r="W670" s="1697"/>
      <c r="X670" s="1697"/>
      <c r="Y670" s="1697"/>
      <c r="Z670" s="1697"/>
      <c r="AA670" s="1697"/>
      <c r="AB670" s="1697"/>
      <c r="AC670" s="1697"/>
      <c r="AD670" s="1697"/>
      <c r="AE670" s="1697"/>
      <c r="AF670" s="1697"/>
      <c r="AG670" s="1697"/>
      <c r="AH670" s="1697"/>
      <c r="AI670" s="1697"/>
      <c r="AJ670" s="1697"/>
      <c r="AK670" s="1697"/>
      <c r="AL670" s="1697"/>
      <c r="AM670" s="1697"/>
      <c r="AN670" s="1697"/>
      <c r="AO670" s="1697"/>
      <c r="AP670" s="1697"/>
      <c r="AQ670" s="1697"/>
      <c r="AR670" s="1697"/>
      <c r="AS670" s="1697"/>
      <c r="AT670" s="1697"/>
      <c r="AU670" s="1697"/>
      <c r="AV670" s="1697"/>
      <c r="AW670" s="1697"/>
      <c r="AX670" s="1697"/>
      <c r="AY670" s="1697"/>
      <c r="AZ670" s="1697"/>
      <c r="BA670" s="1697"/>
      <c r="BB670" s="1697"/>
      <c r="BC670" s="1697"/>
      <c r="BD670" s="1697"/>
      <c r="BE670" s="1697"/>
      <c r="BF670" s="1697"/>
      <c r="BG670" s="1697"/>
      <c r="BH670" s="1697"/>
      <c r="BI670" s="1697"/>
      <c r="BJ670" s="1697"/>
      <c r="BK670" s="1697"/>
      <c r="BL670" s="1697"/>
      <c r="BM670" s="1697"/>
      <c r="BN670" s="1697"/>
      <c r="BO670" s="1697"/>
      <c r="BP670" s="1697"/>
      <c r="BQ670" s="1697"/>
      <c r="BR670" s="1697"/>
      <c r="BS670" s="1697"/>
      <c r="BT670" s="1697"/>
      <c r="BU670" s="1697"/>
      <c r="BV670" s="1697"/>
      <c r="BW670" s="1697"/>
      <c r="BX670" s="1697"/>
      <c r="BY670" s="1697"/>
      <c r="BZ670" s="1697"/>
      <c r="CA670" s="1697"/>
      <c r="CB670" s="1697"/>
      <c r="CC670" s="1697"/>
      <c r="CD670" s="1697"/>
      <c r="CE670" s="1697"/>
      <c r="CF670" s="1697"/>
      <c r="CG670" s="1697"/>
      <c r="CH670" s="1697"/>
      <c r="CI670" s="1697"/>
      <c r="CJ670" s="1697"/>
      <c r="CK670" s="1697"/>
      <c r="CL670" s="1697"/>
      <c r="CM670" s="1697"/>
      <c r="CN670" s="1697"/>
      <c r="CO670" s="1697"/>
      <c r="CP670" s="1697"/>
      <c r="CQ670" s="1697"/>
      <c r="CR670" s="1697"/>
      <c r="CS670" s="1697"/>
      <c r="CT670" s="1697"/>
      <c r="CU670" s="1697"/>
      <c r="CV670" s="1697"/>
      <c r="CW670" s="1697"/>
      <c r="CX670" s="1697"/>
      <c r="CY670" s="1697"/>
      <c r="CZ670" s="1697"/>
      <c r="DA670" s="1697"/>
      <c r="DB670" s="1697"/>
      <c r="DC670" s="1697"/>
      <c r="DD670" s="1697"/>
      <c r="DE670" s="1697"/>
      <c r="DF670" s="1697"/>
      <c r="DG670" s="1697"/>
      <c r="DH670" s="1697"/>
      <c r="DI670" s="1697"/>
      <c r="DJ670" s="1697"/>
      <c r="DK670" s="1697"/>
      <c r="DL670" s="1697"/>
      <c r="DM670" s="1697"/>
      <c r="DN670" s="1697"/>
      <c r="DO670" s="1697"/>
      <c r="DP670" s="1697"/>
      <c r="DQ670" s="1697"/>
      <c r="DR670" s="1697"/>
      <c r="DS670" s="1697"/>
      <c r="DT670" s="1697"/>
      <c r="DU670" s="1697"/>
      <c r="DV670" s="1697"/>
      <c r="DW670" s="1697"/>
      <c r="DX670" s="1697"/>
      <c r="DY670" s="1697"/>
      <c r="DZ670" s="1697"/>
      <c r="EA670" s="1697"/>
      <c r="EB670" s="1697"/>
      <c r="EC670" s="1697"/>
      <c r="ED670" s="1697"/>
      <c r="EE670" s="1697"/>
      <c r="EF670" s="1697"/>
      <c r="EG670" s="1697"/>
      <c r="EH670" s="1697"/>
      <c r="EI670" s="1697"/>
      <c r="EJ670" s="1697"/>
      <c r="EK670" s="1697"/>
      <c r="EL670" s="1697"/>
      <c r="EM670" s="1697"/>
      <c r="EN670" s="1697"/>
      <c r="EO670" s="1697"/>
      <c r="EP670" s="1697"/>
      <c r="EQ670" s="1697"/>
      <c r="ER670" s="1697"/>
      <c r="ES670" s="1697"/>
      <c r="ET670" s="1697"/>
      <c r="EU670" s="1697"/>
      <c r="EV670" s="1697"/>
      <c r="EW670" s="1697"/>
      <c r="EX670" s="1697"/>
      <c r="EY670" s="1697"/>
      <c r="EZ670" s="1697"/>
      <c r="FA670" s="1697"/>
      <c r="FB670" s="1697"/>
      <c r="FC670" s="1697"/>
      <c r="FD670" s="1697"/>
      <c r="FE670" s="1697"/>
      <c r="FF670" s="1697"/>
      <c r="FG670" s="1697"/>
      <c r="FH670" s="1697"/>
      <c r="FI670" s="1697"/>
    </row>
    <row r="671" spans="1:165">
      <c r="A671" s="1697"/>
      <c r="B671" s="1697"/>
      <c r="C671" s="1697"/>
      <c r="D671" s="1697"/>
      <c r="E671" s="1697"/>
      <c r="F671" s="1697"/>
      <c r="G671" s="1697"/>
      <c r="H671" s="1697"/>
      <c r="I671" s="1697"/>
      <c r="J671" s="1697"/>
      <c r="K671" s="1697"/>
      <c r="L671" s="1697"/>
      <c r="M671" s="1697"/>
      <c r="N671" s="1697"/>
      <c r="O671" s="1697"/>
      <c r="P671" s="1697"/>
      <c r="Q671" s="1697"/>
      <c r="R671" s="1697"/>
      <c r="S671" s="1697"/>
      <c r="T671" s="1697"/>
      <c r="U671" s="1697"/>
      <c r="V671" s="1697"/>
      <c r="W671" s="1697"/>
      <c r="X671" s="1697"/>
      <c r="Y671" s="1697"/>
      <c r="Z671" s="1697"/>
      <c r="AA671" s="1697"/>
      <c r="AB671" s="1697"/>
      <c r="AC671" s="1697"/>
      <c r="AD671" s="1697"/>
      <c r="AE671" s="1697"/>
      <c r="AF671" s="1697"/>
      <c r="AG671" s="1697"/>
      <c r="AH671" s="1697"/>
      <c r="AI671" s="1697"/>
      <c r="AJ671" s="1697"/>
      <c r="AK671" s="1697"/>
      <c r="AL671" s="1697"/>
      <c r="AM671" s="1697"/>
      <c r="AN671" s="1697"/>
      <c r="AO671" s="1697"/>
      <c r="AP671" s="1697"/>
      <c r="AQ671" s="1697"/>
      <c r="AR671" s="1697"/>
      <c r="AS671" s="1697"/>
      <c r="AT671" s="1697"/>
      <c r="AU671" s="1697"/>
      <c r="AV671" s="1697"/>
      <c r="AW671" s="1697"/>
      <c r="AX671" s="1697"/>
      <c r="AY671" s="1697"/>
      <c r="AZ671" s="1697"/>
      <c r="BA671" s="1697"/>
      <c r="BB671" s="1697"/>
      <c r="BC671" s="1697"/>
      <c r="BD671" s="1697"/>
      <c r="BE671" s="1697"/>
      <c r="BF671" s="1697"/>
      <c r="BG671" s="1697"/>
      <c r="BH671" s="1697"/>
      <c r="BI671" s="1697"/>
      <c r="BJ671" s="1697"/>
      <c r="BK671" s="1697"/>
      <c r="BL671" s="1697"/>
      <c r="BM671" s="1697"/>
      <c r="BN671" s="1697"/>
      <c r="BO671" s="1697"/>
      <c r="BP671" s="1697"/>
      <c r="BQ671" s="1697"/>
      <c r="BR671" s="1697"/>
      <c r="BS671" s="1697"/>
      <c r="BT671" s="1697"/>
      <c r="BU671" s="1697"/>
      <c r="BV671" s="1697"/>
      <c r="BW671" s="1697"/>
      <c r="BX671" s="1697"/>
      <c r="BY671" s="1697"/>
      <c r="BZ671" s="1697"/>
      <c r="CA671" s="1697"/>
      <c r="CB671" s="1697"/>
      <c r="CC671" s="1697"/>
      <c r="CD671" s="1697"/>
      <c r="CE671" s="1697"/>
      <c r="CF671" s="1697"/>
      <c r="CG671" s="1697"/>
      <c r="CH671" s="1697"/>
      <c r="CI671" s="1697"/>
      <c r="CJ671" s="1697"/>
      <c r="CK671" s="1697"/>
      <c r="CL671" s="1697"/>
      <c r="CM671" s="1697"/>
      <c r="CN671" s="1697"/>
      <c r="CO671" s="1697"/>
      <c r="CP671" s="1697"/>
      <c r="CQ671" s="1697"/>
      <c r="CR671" s="1697"/>
      <c r="CS671" s="1697"/>
      <c r="CT671" s="1697"/>
      <c r="CU671" s="1697"/>
      <c r="CV671" s="1697"/>
      <c r="CW671" s="1697"/>
      <c r="CX671" s="1697"/>
      <c r="CY671" s="1697"/>
      <c r="CZ671" s="1697"/>
      <c r="DA671" s="1697"/>
      <c r="DB671" s="1697"/>
      <c r="DC671" s="1697"/>
      <c r="DD671" s="1697"/>
      <c r="DE671" s="1697"/>
      <c r="DF671" s="1697"/>
      <c r="DG671" s="1697"/>
      <c r="DH671" s="1697"/>
      <c r="DI671" s="1697"/>
      <c r="DJ671" s="1697"/>
      <c r="DK671" s="1697"/>
      <c r="DL671" s="1697"/>
      <c r="DM671" s="1697"/>
      <c r="DN671" s="1697"/>
      <c r="DO671" s="1697"/>
      <c r="DP671" s="1697"/>
      <c r="DQ671" s="1697"/>
      <c r="DR671" s="1697"/>
      <c r="DS671" s="1697"/>
      <c r="DT671" s="1697"/>
      <c r="DU671" s="1697"/>
      <c r="DV671" s="1697"/>
      <c r="DW671" s="1697"/>
      <c r="DX671" s="1697"/>
      <c r="DY671" s="1697"/>
      <c r="DZ671" s="1697"/>
      <c r="EA671" s="1697"/>
      <c r="EB671" s="1697"/>
      <c r="EC671" s="1697"/>
      <c r="ED671" s="1697"/>
      <c r="EE671" s="1697"/>
      <c r="EF671" s="1697"/>
      <c r="EG671" s="1697"/>
      <c r="EH671" s="1697"/>
      <c r="EI671" s="1697"/>
      <c r="EJ671" s="1697"/>
      <c r="EK671" s="1697"/>
      <c r="EL671" s="1697"/>
      <c r="EM671" s="1697"/>
      <c r="EN671" s="1697"/>
      <c r="EO671" s="1697"/>
      <c r="EP671" s="1697"/>
      <c r="EQ671" s="1697"/>
      <c r="ER671" s="1697"/>
      <c r="ES671" s="1697"/>
      <c r="ET671" s="1697"/>
      <c r="EU671" s="1697"/>
      <c r="EV671" s="1697"/>
      <c r="EW671" s="1697"/>
      <c r="EX671" s="1697"/>
      <c r="EY671" s="1697"/>
      <c r="EZ671" s="1697"/>
      <c r="FA671" s="1697"/>
      <c r="FB671" s="1697"/>
      <c r="FC671" s="1697"/>
      <c r="FD671" s="1697"/>
      <c r="FE671" s="1697"/>
      <c r="FF671" s="1697"/>
      <c r="FG671" s="1697"/>
      <c r="FH671" s="1697"/>
      <c r="FI671" s="1697"/>
    </row>
    <row r="672" spans="1:165">
      <c r="A672" s="1697"/>
      <c r="B672" s="1697"/>
      <c r="C672" s="1697"/>
      <c r="D672" s="1697"/>
      <c r="E672" s="1697"/>
      <c r="F672" s="1697"/>
      <c r="G672" s="1697"/>
      <c r="H672" s="1697"/>
      <c r="I672" s="1697"/>
      <c r="J672" s="1697"/>
      <c r="K672" s="1697"/>
      <c r="L672" s="1697"/>
      <c r="M672" s="1697"/>
      <c r="N672" s="1697"/>
      <c r="O672" s="1697"/>
      <c r="P672" s="1697"/>
      <c r="Q672" s="1697"/>
      <c r="R672" s="1697"/>
      <c r="S672" s="1697"/>
      <c r="T672" s="1697"/>
      <c r="U672" s="1697"/>
      <c r="V672" s="1697"/>
      <c r="W672" s="1697"/>
      <c r="X672" s="1697"/>
      <c r="Y672" s="1697"/>
      <c r="Z672" s="1697"/>
      <c r="AA672" s="1697"/>
      <c r="AB672" s="1697"/>
      <c r="AC672" s="1697"/>
      <c r="AD672" s="1697"/>
      <c r="AE672" s="1697"/>
      <c r="AF672" s="1697"/>
      <c r="AG672" s="1697"/>
      <c r="AH672" s="1697"/>
      <c r="AI672" s="1697"/>
      <c r="AJ672" s="1697"/>
      <c r="AK672" s="1697"/>
      <c r="AL672" s="1697"/>
      <c r="AM672" s="1697"/>
      <c r="AN672" s="1697"/>
      <c r="AO672" s="1697"/>
      <c r="AP672" s="1697"/>
      <c r="AQ672" s="1697"/>
      <c r="AR672" s="1697"/>
      <c r="AS672" s="1697"/>
      <c r="AT672" s="1697"/>
      <c r="AU672" s="1697"/>
      <c r="AV672" s="1697"/>
      <c r="AW672" s="1697"/>
      <c r="AX672" s="1697"/>
      <c r="AY672" s="1697"/>
      <c r="AZ672" s="1697"/>
      <c r="BA672" s="1697"/>
      <c r="BB672" s="1697"/>
      <c r="BC672" s="1697"/>
      <c r="BD672" s="1697"/>
      <c r="BE672" s="1697"/>
      <c r="BF672" s="1697"/>
      <c r="BG672" s="1697"/>
      <c r="BH672" s="1697"/>
      <c r="BI672" s="1697"/>
      <c r="BJ672" s="1697"/>
      <c r="BK672" s="1697"/>
      <c r="BL672" s="1697"/>
      <c r="BM672" s="1697"/>
      <c r="BN672" s="1697"/>
      <c r="BO672" s="1697"/>
      <c r="BP672" s="1697"/>
      <c r="BQ672" s="1697"/>
      <c r="BR672" s="1697"/>
      <c r="BS672" s="1697"/>
      <c r="BT672" s="1697"/>
      <c r="BU672" s="1697"/>
      <c r="BV672" s="1697"/>
      <c r="BW672" s="1697"/>
      <c r="BX672" s="1697"/>
      <c r="BY672" s="1697"/>
      <c r="BZ672" s="1697"/>
      <c r="CA672" s="1697"/>
      <c r="CB672" s="1697"/>
      <c r="CC672" s="1697"/>
      <c r="CD672" s="1697"/>
      <c r="CE672" s="1697"/>
      <c r="CF672" s="1697"/>
      <c r="CG672" s="1697"/>
      <c r="CH672" s="1697"/>
      <c r="CI672" s="1697"/>
      <c r="CJ672" s="1697"/>
      <c r="CK672" s="1697"/>
      <c r="CL672" s="1697"/>
      <c r="CM672" s="1697"/>
      <c r="CN672" s="1697"/>
      <c r="CO672" s="1697"/>
      <c r="CP672" s="1697"/>
      <c r="CQ672" s="1697"/>
      <c r="CR672" s="1697"/>
      <c r="CS672" s="1697"/>
      <c r="CT672" s="1697"/>
      <c r="CU672" s="1697"/>
      <c r="CV672" s="1697"/>
      <c r="CW672" s="1697"/>
      <c r="CX672" s="1697"/>
      <c r="CY672" s="1697"/>
      <c r="CZ672" s="1697"/>
      <c r="DA672" s="1697"/>
      <c r="DB672" s="1697"/>
      <c r="DC672" s="1697"/>
      <c r="DD672" s="1697"/>
      <c r="DE672" s="1697"/>
      <c r="DF672" s="1697"/>
      <c r="DG672" s="1697"/>
      <c r="DH672" s="1697"/>
      <c r="DI672" s="1697"/>
      <c r="DJ672" s="1697"/>
      <c r="DK672" s="1697"/>
      <c r="DL672" s="1697"/>
      <c r="DM672" s="1697"/>
      <c r="DN672" s="1697"/>
      <c r="DO672" s="1697"/>
      <c r="DP672" s="1697"/>
      <c r="DQ672" s="1697"/>
      <c r="DR672" s="1697"/>
      <c r="DS672" s="1697"/>
      <c r="DT672" s="1697"/>
      <c r="DU672" s="1697"/>
      <c r="DV672" s="1697"/>
      <c r="DW672" s="1697"/>
      <c r="DX672" s="1697"/>
      <c r="DY672" s="1697"/>
      <c r="DZ672" s="1697"/>
      <c r="EA672" s="1697"/>
      <c r="EB672" s="1697"/>
      <c r="EC672" s="1697"/>
      <c r="ED672" s="1697"/>
      <c r="EE672" s="1697"/>
      <c r="EF672" s="1697"/>
      <c r="EG672" s="1697"/>
      <c r="EH672" s="1697"/>
      <c r="EI672" s="1697"/>
      <c r="EJ672" s="1697"/>
      <c r="EK672" s="1697"/>
      <c r="EL672" s="1697"/>
      <c r="EM672" s="1697"/>
      <c r="EN672" s="1697"/>
      <c r="EO672" s="1697"/>
      <c r="EP672" s="1697"/>
      <c r="EQ672" s="1697"/>
      <c r="ER672" s="1697"/>
      <c r="ES672" s="1697"/>
      <c r="ET672" s="1697"/>
      <c r="EU672" s="1697"/>
      <c r="EV672" s="1697"/>
      <c r="EW672" s="1697"/>
      <c r="EX672" s="1697"/>
      <c r="EY672" s="1697"/>
      <c r="EZ672" s="1697"/>
      <c r="FA672" s="1697"/>
      <c r="FB672" s="1697"/>
      <c r="FC672" s="1697"/>
      <c r="FD672" s="1697"/>
      <c r="FE672" s="1697"/>
      <c r="FF672" s="1697"/>
      <c r="FG672" s="1697"/>
      <c r="FH672" s="1697"/>
      <c r="FI672" s="1697"/>
    </row>
    <row r="673" spans="1:165">
      <c r="A673" s="1697"/>
      <c r="B673" s="1697"/>
      <c r="C673" s="1697"/>
      <c r="D673" s="1697"/>
      <c r="E673" s="1697"/>
      <c r="F673" s="1697"/>
      <c r="G673" s="1697"/>
      <c r="H673" s="1697"/>
      <c r="I673" s="1697"/>
      <c r="J673" s="1697"/>
      <c r="K673" s="1697"/>
      <c r="L673" s="1697"/>
      <c r="M673" s="1697"/>
      <c r="N673" s="1697"/>
      <c r="O673" s="1697"/>
      <c r="P673" s="1697"/>
      <c r="Q673" s="1697"/>
      <c r="R673" s="1697"/>
      <c r="S673" s="1697"/>
      <c r="T673" s="1697"/>
      <c r="U673" s="1697"/>
      <c r="V673" s="1697"/>
      <c r="W673" s="1697"/>
      <c r="X673" s="1697"/>
      <c r="Y673" s="1697"/>
      <c r="Z673" s="1697"/>
      <c r="AA673" s="1697"/>
      <c r="AB673" s="1697"/>
      <c r="AC673" s="1697"/>
      <c r="AD673" s="1697"/>
      <c r="AE673" s="1697"/>
      <c r="AF673" s="1697"/>
      <c r="AG673" s="1697"/>
      <c r="AH673" s="1697"/>
      <c r="AI673" s="1697"/>
      <c r="AJ673" s="1697"/>
      <c r="AK673" s="1697"/>
      <c r="AL673" s="1697"/>
      <c r="AM673" s="1697"/>
      <c r="AN673" s="1697"/>
      <c r="AO673" s="1697"/>
      <c r="AP673" s="1697"/>
      <c r="AQ673" s="1697"/>
      <c r="AR673" s="1697"/>
      <c r="AS673" s="1697"/>
      <c r="AT673" s="1697"/>
      <c r="AU673" s="1697"/>
      <c r="AV673" s="1697"/>
      <c r="AW673" s="1697"/>
      <c r="AX673" s="1697"/>
      <c r="AY673" s="1697"/>
      <c r="AZ673" s="1697"/>
      <c r="BA673" s="1697"/>
      <c r="BB673" s="1697"/>
      <c r="BC673" s="1697"/>
      <c r="BD673" s="1697"/>
      <c r="BE673" s="1697"/>
      <c r="BF673" s="1697"/>
      <c r="BG673" s="1697"/>
      <c r="BH673" s="1697"/>
      <c r="BI673" s="1697"/>
      <c r="BJ673" s="1697"/>
      <c r="BK673" s="1697"/>
      <c r="BL673" s="1697"/>
      <c r="BM673" s="1697"/>
      <c r="BN673" s="1697"/>
      <c r="BO673" s="1697"/>
      <c r="BP673" s="1697"/>
      <c r="BQ673" s="1697"/>
      <c r="BR673" s="1697"/>
      <c r="BS673" s="1697"/>
      <c r="BT673" s="1697"/>
      <c r="BU673" s="1697"/>
      <c r="BV673" s="1697"/>
      <c r="BW673" s="1697"/>
      <c r="BX673" s="1697"/>
      <c r="BY673" s="1697"/>
      <c r="BZ673" s="1697"/>
      <c r="CA673" s="1697"/>
      <c r="CB673" s="1697"/>
      <c r="CC673" s="1697"/>
      <c r="CD673" s="1697"/>
      <c r="CE673" s="1697"/>
      <c r="CF673" s="1697"/>
      <c r="CG673" s="1697"/>
      <c r="CH673" s="1697"/>
      <c r="CI673" s="1697"/>
      <c r="CJ673" s="1697"/>
      <c r="CK673" s="1697"/>
      <c r="CL673" s="1697"/>
      <c r="CM673" s="1697"/>
      <c r="CN673" s="1697"/>
      <c r="CO673" s="1697"/>
      <c r="CP673" s="1697"/>
      <c r="CQ673" s="1697"/>
      <c r="CR673" s="1697"/>
      <c r="CS673" s="1697"/>
      <c r="CT673" s="1697"/>
      <c r="CU673" s="1697"/>
      <c r="CV673" s="1697"/>
      <c r="CW673" s="1697"/>
      <c r="CX673" s="1697"/>
      <c r="CY673" s="1697"/>
      <c r="CZ673" s="1697"/>
      <c r="DA673" s="1697"/>
      <c r="DB673" s="1697"/>
      <c r="DC673" s="1697"/>
      <c r="DD673" s="1697"/>
      <c r="DE673" s="1697"/>
      <c r="DF673" s="1697"/>
      <c r="DG673" s="1697"/>
      <c r="DH673" s="1697"/>
      <c r="DI673" s="1697"/>
      <c r="DJ673" s="1697"/>
      <c r="DK673" s="1697"/>
      <c r="DL673" s="1697"/>
      <c r="DM673" s="1697"/>
      <c r="DN673" s="1697"/>
      <c r="DO673" s="1697"/>
      <c r="DP673" s="1697"/>
      <c r="DQ673" s="1697"/>
      <c r="DR673" s="1697"/>
      <c r="DS673" s="1697"/>
      <c r="DT673" s="1697"/>
      <c r="DU673" s="1697"/>
      <c r="DV673" s="1697"/>
      <c r="DW673" s="1697"/>
      <c r="DX673" s="1697"/>
      <c r="DY673" s="1697"/>
      <c r="DZ673" s="1697"/>
      <c r="EA673" s="1697"/>
      <c r="EB673" s="1697"/>
      <c r="EC673" s="1697"/>
      <c r="ED673" s="1697"/>
      <c r="EE673" s="1697"/>
      <c r="EF673" s="1697"/>
      <c r="EG673" s="1697"/>
      <c r="EH673" s="1697"/>
      <c r="EI673" s="1697"/>
      <c r="EJ673" s="1697"/>
      <c r="EK673" s="1697"/>
      <c r="EL673" s="1697"/>
      <c r="EM673" s="1697"/>
      <c r="EN673" s="1697"/>
      <c r="EO673" s="1697"/>
      <c r="EP673" s="1697"/>
      <c r="EQ673" s="1697"/>
      <c r="ER673" s="1697"/>
      <c r="ES673" s="1697"/>
      <c r="ET673" s="1697"/>
      <c r="EU673" s="1697"/>
      <c r="EV673" s="1697"/>
      <c r="EW673" s="1697"/>
      <c r="EX673" s="1697"/>
      <c r="EY673" s="1697"/>
      <c r="EZ673" s="1697"/>
      <c r="FA673" s="1697"/>
      <c r="FB673" s="1697"/>
      <c r="FC673" s="1697"/>
      <c r="FD673" s="1697"/>
      <c r="FE673" s="1697"/>
      <c r="FF673" s="1697"/>
      <c r="FG673" s="1697"/>
      <c r="FH673" s="1697"/>
      <c r="FI673" s="1697"/>
    </row>
    <row r="674" spans="1:165">
      <c r="A674" s="1697"/>
      <c r="B674" s="1697"/>
      <c r="C674" s="1697"/>
      <c r="D674" s="1697"/>
      <c r="E674" s="1697"/>
      <c r="F674" s="1697"/>
      <c r="G674" s="1697"/>
      <c r="H674" s="1697"/>
      <c r="I674" s="1697"/>
      <c r="J674" s="1697"/>
      <c r="K674" s="1697"/>
      <c r="L674" s="1697"/>
      <c r="M674" s="1697"/>
      <c r="N674" s="1697"/>
      <c r="O674" s="1697"/>
      <c r="P674" s="1697"/>
      <c r="Q674" s="1697"/>
      <c r="R674" s="1697"/>
      <c r="S674" s="1697"/>
      <c r="T674" s="1697"/>
      <c r="U674" s="1697"/>
      <c r="V674" s="1697"/>
      <c r="W674" s="1697"/>
      <c r="X674" s="1697"/>
      <c r="Y674" s="1697"/>
      <c r="Z674" s="1697"/>
      <c r="AA674" s="1697"/>
      <c r="AB674" s="1697"/>
      <c r="AC674" s="1697"/>
      <c r="AD674" s="1697"/>
      <c r="AE674" s="1697"/>
      <c r="AF674" s="1697"/>
      <c r="AG674" s="1697"/>
      <c r="AH674" s="1697"/>
      <c r="AI674" s="1697"/>
      <c r="AJ674" s="1697"/>
      <c r="AK674" s="1697"/>
      <c r="AL674" s="1697"/>
      <c r="AM674" s="1697"/>
      <c r="AN674" s="1697"/>
      <c r="AO674" s="1697"/>
      <c r="AP674" s="1697"/>
      <c r="AQ674" s="1697"/>
      <c r="AR674" s="1697"/>
      <c r="AS674" s="1697"/>
      <c r="AT674" s="1697"/>
      <c r="AU674" s="1697"/>
      <c r="AV674" s="1697"/>
      <c r="AW674" s="1697"/>
      <c r="AX674" s="1697"/>
      <c r="AY674" s="1697"/>
      <c r="AZ674" s="1697"/>
      <c r="BA674" s="1697"/>
      <c r="BB674" s="1697"/>
      <c r="BC674" s="1697"/>
      <c r="BD674" s="1697"/>
      <c r="BE674" s="1697"/>
      <c r="BF674" s="1697"/>
      <c r="BG674" s="1697"/>
      <c r="BH674" s="1697"/>
      <c r="BI674" s="1697"/>
      <c r="BJ674" s="1697"/>
      <c r="BK674" s="1697"/>
      <c r="BL674" s="1697"/>
      <c r="BM674" s="1697"/>
      <c r="BN674" s="1697"/>
      <c r="BO674" s="1697"/>
      <c r="BP674" s="1697"/>
      <c r="BQ674" s="1697"/>
      <c r="BR674" s="1697"/>
      <c r="BS674" s="1697"/>
      <c r="BT674" s="1697"/>
      <c r="BU674" s="1697"/>
      <c r="BV674" s="1697"/>
      <c r="BW674" s="1697"/>
      <c r="BX674" s="1697"/>
      <c r="BY674" s="1697"/>
      <c r="BZ674" s="1697"/>
      <c r="CA674" s="1697"/>
      <c r="CB674" s="1697"/>
      <c r="CC674" s="1697"/>
      <c r="CD674" s="1697"/>
      <c r="CE674" s="1697"/>
      <c r="CF674" s="1697"/>
      <c r="CG674" s="1697"/>
      <c r="CH674" s="1697"/>
      <c r="CI674" s="1697"/>
      <c r="CJ674" s="1697"/>
      <c r="CK674" s="1697"/>
      <c r="CL674" s="1697"/>
      <c r="CM674" s="1697"/>
      <c r="CN674" s="1697"/>
      <c r="CO674" s="1697"/>
      <c r="CP674" s="1697"/>
      <c r="CQ674" s="1697"/>
      <c r="CR674" s="1697"/>
      <c r="CS674" s="1697"/>
      <c r="CT674" s="1697"/>
      <c r="CU674" s="1697"/>
      <c r="CV674" s="1697"/>
      <c r="CW674" s="1697"/>
      <c r="CX674" s="1697"/>
      <c r="CY674" s="1697"/>
      <c r="CZ674" s="1697"/>
      <c r="DA674" s="1697"/>
      <c r="DB674" s="1697"/>
      <c r="DC674" s="1697"/>
      <c r="DD674" s="1697"/>
      <c r="DE674" s="1697"/>
      <c r="DF674" s="1697"/>
      <c r="DG674" s="1697"/>
      <c r="DH674" s="1697"/>
      <c r="DI674" s="1697"/>
      <c r="DJ674" s="1697"/>
      <c r="DK674" s="1697"/>
      <c r="DL674" s="1697"/>
      <c r="DM674" s="1697"/>
      <c r="DN674" s="1697"/>
      <c r="DO674" s="1697"/>
      <c r="DP674" s="1697"/>
      <c r="DQ674" s="1697"/>
      <c r="DR674" s="1697"/>
      <c r="DS674" s="1697"/>
      <c r="DT674" s="1697"/>
      <c r="DU674" s="1697"/>
      <c r="DV674" s="1697"/>
      <c r="DW674" s="1697"/>
      <c r="DX674" s="1697"/>
      <c r="DY674" s="1697"/>
      <c r="DZ674" s="1697"/>
      <c r="EA674" s="1697"/>
      <c r="EB674" s="1697"/>
      <c r="EC674" s="1697"/>
      <c r="ED674" s="1697"/>
      <c r="EE674" s="1697"/>
      <c r="EF674" s="1697"/>
      <c r="EG674" s="1697"/>
      <c r="EH674" s="1697"/>
      <c r="EI674" s="1697"/>
      <c r="EJ674" s="1697"/>
      <c r="EK674" s="1697"/>
      <c r="EL674" s="1697"/>
      <c r="EM674" s="1697"/>
      <c r="EN674" s="1697"/>
      <c r="EO674" s="1697"/>
      <c r="EP674" s="1697"/>
      <c r="EQ674" s="1697"/>
      <c r="ER674" s="1697"/>
      <c r="ES674" s="1697"/>
      <c r="ET674" s="1697"/>
      <c r="EU674" s="1697"/>
      <c r="EV674" s="1697"/>
      <c r="EW674" s="1697"/>
      <c r="EX674" s="1697"/>
      <c r="EY674" s="1697"/>
      <c r="EZ674" s="1697"/>
      <c r="FA674" s="1697"/>
      <c r="FB674" s="1697"/>
      <c r="FC674" s="1697"/>
      <c r="FD674" s="1697"/>
      <c r="FE674" s="1697"/>
      <c r="FF674" s="1697"/>
      <c r="FG674" s="1697"/>
      <c r="FH674" s="1697"/>
      <c r="FI674" s="1697"/>
    </row>
    <row r="675" spans="1:165">
      <c r="A675" s="1697"/>
      <c r="B675" s="1697"/>
      <c r="C675" s="1697"/>
      <c r="D675" s="1697"/>
      <c r="E675" s="1697"/>
      <c r="F675" s="1697"/>
      <c r="G675" s="1697"/>
      <c r="H675" s="1697"/>
      <c r="I675" s="1697"/>
      <c r="J675" s="1697"/>
      <c r="K675" s="1697"/>
      <c r="L675" s="1697"/>
      <c r="M675" s="1697"/>
      <c r="N675" s="1697"/>
      <c r="O675" s="1697"/>
      <c r="P675" s="1697"/>
      <c r="Q675" s="1697"/>
      <c r="R675" s="1697"/>
      <c r="S675" s="1697"/>
      <c r="T675" s="1697"/>
      <c r="U675" s="1697"/>
      <c r="V675" s="1697"/>
      <c r="W675" s="1697"/>
      <c r="X675" s="1697"/>
      <c r="Y675" s="1697"/>
      <c r="Z675" s="1697"/>
      <c r="AA675" s="1697"/>
      <c r="AB675" s="1697"/>
      <c r="AC675" s="1697"/>
      <c r="AD675" s="1697"/>
      <c r="AE675" s="1697"/>
      <c r="AF675" s="1697"/>
      <c r="AG675" s="1697"/>
      <c r="AH675" s="1697"/>
      <c r="AI675" s="1697"/>
      <c r="AJ675" s="1697"/>
      <c r="AK675" s="1697"/>
      <c r="AL675" s="1697"/>
      <c r="AM675" s="1697"/>
      <c r="AN675" s="1697"/>
      <c r="AO675" s="1697"/>
      <c r="AP675" s="1697"/>
      <c r="AQ675" s="1697"/>
      <c r="AR675" s="1697"/>
      <c r="AS675" s="1697"/>
      <c r="AT675" s="1697"/>
      <c r="AU675" s="1697"/>
      <c r="AV675" s="1697"/>
      <c r="AW675" s="1697"/>
      <c r="AX675" s="1697"/>
      <c r="AY675" s="1697"/>
      <c r="AZ675" s="1697"/>
      <c r="BA675" s="1697"/>
      <c r="BB675" s="1697"/>
      <c r="BC675" s="1697"/>
      <c r="BD675" s="1697"/>
      <c r="BE675" s="1697"/>
      <c r="BF675" s="1697"/>
      <c r="BG675" s="1697"/>
      <c r="BH675" s="1697"/>
      <c r="BI675" s="1697"/>
      <c r="BJ675" s="1697"/>
      <c r="BK675" s="1697"/>
      <c r="BL675" s="1697"/>
      <c r="BM675" s="1697"/>
      <c r="BN675" s="1697"/>
      <c r="BO675" s="1697"/>
      <c r="BP675" s="1697"/>
      <c r="BQ675" s="1697"/>
      <c r="BR675" s="1697"/>
      <c r="BS675" s="1697"/>
      <c r="BT675" s="1697"/>
      <c r="BU675" s="1697"/>
      <c r="BV675" s="1697"/>
      <c r="BW675" s="1697"/>
      <c r="BX675" s="1697"/>
      <c r="BY675" s="1697"/>
      <c r="BZ675" s="1697"/>
      <c r="CA675" s="1697"/>
      <c r="CB675" s="1697"/>
      <c r="CC675" s="1697"/>
      <c r="CD675" s="1697"/>
      <c r="CE675" s="1697"/>
      <c r="CF675" s="1697"/>
      <c r="CG675" s="1697"/>
      <c r="CH675" s="1697"/>
      <c r="CI675" s="1697"/>
      <c r="CJ675" s="1697"/>
      <c r="CK675" s="1697"/>
      <c r="CL675" s="1697"/>
      <c r="CM675" s="1697"/>
      <c r="CN675" s="1697"/>
      <c r="CO675" s="1697"/>
      <c r="CP675" s="1697"/>
      <c r="CQ675" s="1697"/>
      <c r="CR675" s="1697"/>
      <c r="CS675" s="1697"/>
      <c r="CT675" s="1697"/>
      <c r="CU675" s="1697"/>
      <c r="CV675" s="1697"/>
      <c r="CW675" s="1697"/>
      <c r="CX675" s="1697"/>
      <c r="CY675" s="1697"/>
      <c r="CZ675" s="1697"/>
      <c r="DA675" s="1697"/>
      <c r="DB675" s="1697"/>
      <c r="DC675" s="1697"/>
      <c r="DD675" s="1697"/>
      <c r="DE675" s="1697"/>
      <c r="DF675" s="1697"/>
      <c r="DG675" s="1697"/>
      <c r="DH675" s="1697"/>
      <c r="DI675" s="1697"/>
      <c r="DJ675" s="1697"/>
      <c r="DK675" s="1697"/>
      <c r="DL675" s="1697"/>
      <c r="DM675" s="1697"/>
      <c r="DN675" s="1697"/>
      <c r="DO675" s="1697"/>
      <c r="DP675" s="1697"/>
      <c r="DQ675" s="1697"/>
      <c r="DR675" s="1697"/>
      <c r="DS675" s="1697"/>
      <c r="DT675" s="1697"/>
      <c r="DU675" s="1697"/>
      <c r="DV675" s="1697"/>
      <c r="DW675" s="1697"/>
      <c r="DX675" s="1697"/>
      <c r="DY675" s="1697"/>
      <c r="DZ675" s="1697"/>
      <c r="EA675" s="1697"/>
      <c r="EB675" s="1697"/>
      <c r="EC675" s="1697"/>
      <c r="ED675" s="1697"/>
      <c r="EE675" s="1697"/>
      <c r="EF675" s="1697"/>
      <c r="EG675" s="1697"/>
      <c r="EH675" s="1697"/>
      <c r="EI675" s="1697"/>
      <c r="EJ675" s="1697"/>
      <c r="EK675" s="1697"/>
      <c r="EL675" s="1697"/>
      <c r="EM675" s="1697"/>
      <c r="EN675" s="1697"/>
      <c r="EO675" s="1697"/>
      <c r="EP675" s="1697"/>
      <c r="EQ675" s="1697"/>
      <c r="ER675" s="1697"/>
      <c r="ES675" s="1697"/>
      <c r="ET675" s="1697"/>
      <c r="EU675" s="1697"/>
      <c r="EV675" s="1697"/>
      <c r="EW675" s="1697"/>
      <c r="EX675" s="1697"/>
      <c r="EY675" s="1697"/>
      <c r="EZ675" s="1697"/>
      <c r="FA675" s="1697"/>
      <c r="FB675" s="1697"/>
      <c r="FC675" s="1697"/>
      <c r="FD675" s="1697"/>
      <c r="FE675" s="1697"/>
      <c r="FF675" s="1697"/>
      <c r="FG675" s="1697"/>
      <c r="FH675" s="1697"/>
      <c r="FI675" s="1697"/>
    </row>
    <row r="676" spans="1:165">
      <c r="A676" s="1697"/>
      <c r="B676" s="1697"/>
      <c r="C676" s="1697"/>
      <c r="D676" s="1697"/>
      <c r="E676" s="1697"/>
      <c r="F676" s="1697"/>
      <c r="G676" s="1697"/>
      <c r="H676" s="1697"/>
      <c r="I676" s="1697"/>
      <c r="J676" s="1697"/>
      <c r="K676" s="1697"/>
      <c r="L676" s="1697"/>
      <c r="M676" s="1697"/>
      <c r="N676" s="1697"/>
      <c r="O676" s="1697"/>
      <c r="P676" s="1697"/>
      <c r="Q676" s="1697"/>
      <c r="R676" s="1697"/>
      <c r="S676" s="1697"/>
      <c r="T676" s="1697"/>
      <c r="U676" s="1697"/>
      <c r="V676" s="1697"/>
      <c r="W676" s="1697"/>
      <c r="X676" s="1697"/>
      <c r="Y676" s="1697"/>
      <c r="Z676" s="1697"/>
      <c r="AA676" s="1697"/>
      <c r="AB676" s="1697"/>
      <c r="AC676" s="1697"/>
      <c r="AD676" s="1697"/>
      <c r="AE676" s="1697"/>
      <c r="AF676" s="1697"/>
      <c r="AG676" s="1697"/>
      <c r="AH676" s="1697"/>
      <c r="AI676" s="1697"/>
      <c r="AJ676" s="1697"/>
      <c r="AK676" s="1697"/>
      <c r="AL676" s="1697"/>
      <c r="AM676" s="1697"/>
      <c r="AN676" s="1697"/>
      <c r="AO676" s="1697"/>
      <c r="AP676" s="1697"/>
      <c r="AQ676" s="1697"/>
      <c r="AR676" s="1697"/>
      <c r="AS676" s="1697"/>
      <c r="AT676" s="1697"/>
      <c r="AU676" s="1697"/>
      <c r="AV676" s="1697"/>
      <c r="AW676" s="1697"/>
      <c r="AX676" s="1697"/>
      <c r="AY676" s="1697"/>
      <c r="AZ676" s="1697"/>
      <c r="BA676" s="1697"/>
      <c r="BB676" s="1697"/>
      <c r="BC676" s="1697"/>
      <c r="BD676" s="1697"/>
      <c r="BE676" s="1697"/>
      <c r="BF676" s="1697"/>
      <c r="BG676" s="1697"/>
      <c r="BH676" s="1697"/>
      <c r="BI676" s="1697"/>
      <c r="BJ676" s="1697"/>
      <c r="BK676" s="1697"/>
      <c r="BL676" s="1697"/>
      <c r="BM676" s="1697"/>
      <c r="BN676" s="1697"/>
      <c r="BO676" s="1697"/>
      <c r="BP676" s="1697"/>
      <c r="BQ676" s="1697"/>
      <c r="BR676" s="1697"/>
      <c r="BS676" s="1697"/>
      <c r="BT676" s="1697"/>
      <c r="BU676" s="1697"/>
      <c r="BV676" s="1697"/>
      <c r="BW676" s="1697"/>
      <c r="BX676" s="1697"/>
      <c r="BY676" s="1697"/>
      <c r="BZ676" s="1697"/>
      <c r="CA676" s="1697"/>
      <c r="CB676" s="1697"/>
      <c r="CC676" s="1697"/>
      <c r="CD676" s="1697"/>
      <c r="CE676" s="1697"/>
      <c r="CF676" s="1697"/>
      <c r="CG676" s="1697"/>
      <c r="CH676" s="1697"/>
      <c r="CI676" s="1697"/>
      <c r="CJ676" s="1697"/>
      <c r="CK676" s="1697"/>
      <c r="CL676" s="1697"/>
      <c r="CM676" s="1697"/>
      <c r="CN676" s="1697"/>
      <c r="CO676" s="1697"/>
      <c r="CP676" s="1697"/>
      <c r="CQ676" s="1697"/>
      <c r="CR676" s="1697"/>
      <c r="CS676" s="1697"/>
      <c r="CT676" s="1697"/>
      <c r="CU676" s="1697"/>
      <c r="CV676" s="1697"/>
      <c r="CW676" s="1697"/>
      <c r="CX676" s="1697"/>
      <c r="CY676" s="1697"/>
      <c r="CZ676" s="1697"/>
      <c r="DA676" s="1697"/>
      <c r="DB676" s="1697"/>
      <c r="DC676" s="1697"/>
      <c r="DD676" s="1697"/>
      <c r="DE676" s="1697"/>
      <c r="DF676" s="1697"/>
      <c r="DG676" s="1697"/>
      <c r="DH676" s="1697"/>
      <c r="DI676" s="1697"/>
      <c r="DJ676" s="1697"/>
      <c r="DK676" s="1697"/>
      <c r="DL676" s="1697"/>
      <c r="DM676" s="1697"/>
      <c r="DN676" s="1697"/>
      <c r="DO676" s="1697"/>
      <c r="DP676" s="1697"/>
      <c r="DQ676" s="1697"/>
      <c r="DR676" s="1697"/>
      <c r="DS676" s="1697"/>
      <c r="DT676" s="1697"/>
      <c r="DU676" s="1697"/>
      <c r="DV676" s="1697"/>
      <c r="DW676" s="1697"/>
      <c r="DX676" s="1697"/>
      <c r="DY676" s="1697"/>
      <c r="DZ676" s="1697"/>
      <c r="EA676" s="1697"/>
      <c r="EB676" s="1697"/>
      <c r="EC676" s="1697"/>
      <c r="ED676" s="1697"/>
      <c r="EE676" s="1697"/>
      <c r="EF676" s="1697"/>
      <c r="EG676" s="1697"/>
      <c r="EH676" s="1697"/>
      <c r="EI676" s="1697"/>
      <c r="EJ676" s="1697"/>
      <c r="EK676" s="1697"/>
      <c r="EL676" s="1697"/>
      <c r="EM676" s="1697"/>
      <c r="EN676" s="1697"/>
      <c r="EO676" s="1697"/>
      <c r="EP676" s="1697"/>
      <c r="EQ676" s="1697"/>
      <c r="ER676" s="1697"/>
      <c r="ES676" s="1697"/>
      <c r="ET676" s="1697"/>
      <c r="EU676" s="1697"/>
      <c r="EV676" s="1697"/>
      <c r="EW676" s="1697"/>
      <c r="EX676" s="1697"/>
      <c r="EY676" s="1697"/>
      <c r="EZ676" s="1697"/>
      <c r="FA676" s="1697"/>
      <c r="FB676" s="1697"/>
      <c r="FC676" s="1697"/>
      <c r="FD676" s="1697"/>
      <c r="FE676" s="1697"/>
      <c r="FF676" s="1697"/>
      <c r="FG676" s="1697"/>
      <c r="FH676" s="1697"/>
      <c r="FI676" s="1697"/>
    </row>
    <row r="677" spans="1:165">
      <c r="A677" s="1697"/>
      <c r="B677" s="1697"/>
      <c r="C677" s="1697"/>
      <c r="D677" s="1697"/>
      <c r="E677" s="1697"/>
      <c r="F677" s="1697"/>
      <c r="G677" s="1697"/>
      <c r="H677" s="1697"/>
      <c r="I677" s="1697"/>
      <c r="J677" s="1697"/>
      <c r="K677" s="1697"/>
      <c r="L677" s="1697"/>
      <c r="M677" s="1697"/>
      <c r="N677" s="1697"/>
      <c r="O677" s="1697"/>
      <c r="P677" s="1697"/>
      <c r="Q677" s="1697"/>
      <c r="R677" s="1697"/>
      <c r="S677" s="1697"/>
      <c r="T677" s="1697"/>
      <c r="U677" s="1697"/>
      <c r="V677" s="1697"/>
      <c r="W677" s="1697"/>
      <c r="X677" s="1697"/>
      <c r="Y677" s="1697"/>
      <c r="Z677" s="1697"/>
      <c r="AA677" s="1697"/>
      <c r="AB677" s="1697"/>
      <c r="AC677" s="1697"/>
      <c r="AD677" s="1697"/>
      <c r="AE677" s="1697"/>
      <c r="AF677" s="1697"/>
      <c r="AG677" s="1697"/>
      <c r="AH677" s="1697"/>
      <c r="AI677" s="1697"/>
      <c r="AJ677" s="1697"/>
      <c r="AK677" s="1697"/>
      <c r="AL677" s="1697"/>
      <c r="AM677" s="1697"/>
      <c r="AN677" s="1697"/>
      <c r="AO677" s="1697"/>
      <c r="AP677" s="1697"/>
      <c r="AQ677" s="1697"/>
      <c r="AR677" s="1697"/>
      <c r="AS677" s="1697"/>
      <c r="AT677" s="1697"/>
      <c r="AU677" s="1697"/>
      <c r="AV677" s="1697"/>
      <c r="AW677" s="1697"/>
      <c r="AX677" s="1697"/>
      <c r="AY677" s="1697"/>
      <c r="AZ677" s="1697"/>
      <c r="BA677" s="1697"/>
      <c r="BB677" s="1697"/>
      <c r="BC677" s="1697"/>
      <c r="BD677" s="1697"/>
      <c r="BE677" s="1697"/>
      <c r="BF677" s="1697"/>
      <c r="BG677" s="1697"/>
      <c r="BH677" s="1697"/>
      <c r="BI677" s="1697"/>
      <c r="BJ677" s="1697"/>
      <c r="BK677" s="1697"/>
      <c r="BL677" s="1697"/>
      <c r="BM677" s="1697"/>
      <c r="BN677" s="1697"/>
      <c r="BO677" s="1697"/>
      <c r="BP677" s="1697"/>
      <c r="BQ677" s="1697"/>
      <c r="BR677" s="1697"/>
      <c r="BS677" s="1697"/>
      <c r="BT677" s="1697"/>
      <c r="BU677" s="1697"/>
      <c r="BV677" s="1697"/>
      <c r="BW677" s="1697"/>
      <c r="BX677" s="1697"/>
      <c r="BY677" s="1697"/>
      <c r="BZ677" s="1697"/>
      <c r="CA677" s="1697"/>
      <c r="CB677" s="1697"/>
      <c r="CC677" s="1697"/>
      <c r="CD677" s="1697"/>
      <c r="CE677" s="1697"/>
      <c r="CF677" s="1697"/>
      <c r="CG677" s="1697"/>
      <c r="CH677" s="1697"/>
      <c r="CI677" s="1697"/>
      <c r="CJ677" s="1697"/>
      <c r="CK677" s="1697"/>
      <c r="CL677" s="1697"/>
      <c r="CM677" s="1697"/>
      <c r="CN677" s="1697"/>
      <c r="CO677" s="1697"/>
      <c r="CP677" s="1697"/>
      <c r="CQ677" s="1697"/>
      <c r="CR677" s="1697"/>
      <c r="CS677" s="1697"/>
      <c r="CT677" s="1697"/>
      <c r="CU677" s="1697"/>
      <c r="CV677" s="1697"/>
      <c r="CW677" s="1697"/>
      <c r="CX677" s="1697"/>
      <c r="CY677" s="1697"/>
      <c r="CZ677" s="1697"/>
      <c r="DA677" s="1697"/>
      <c r="DB677" s="1697"/>
      <c r="DC677" s="1697"/>
      <c r="DD677" s="1697"/>
      <c r="DE677" s="1697"/>
      <c r="DF677" s="1697"/>
      <c r="DG677" s="1697"/>
      <c r="DH677" s="1697"/>
      <c r="DI677" s="1697"/>
      <c r="DJ677" s="1697"/>
      <c r="DK677" s="1697"/>
      <c r="DL677" s="1697"/>
      <c r="DM677" s="1697"/>
      <c r="DN677" s="1697"/>
      <c r="DO677" s="1697"/>
      <c r="DP677" s="1697"/>
      <c r="DQ677" s="1697"/>
      <c r="DR677" s="1697"/>
      <c r="DS677" s="1697"/>
      <c r="DT677" s="1697"/>
      <c r="DU677" s="1697"/>
      <c r="DV677" s="1697"/>
      <c r="DW677" s="1697"/>
      <c r="DX677" s="1697"/>
      <c r="DY677" s="1697"/>
      <c r="DZ677" s="1697"/>
      <c r="EA677" s="1697"/>
      <c r="EB677" s="1697"/>
      <c r="EC677" s="1697"/>
      <c r="ED677" s="1697"/>
      <c r="EE677" s="1697"/>
      <c r="EF677" s="1697"/>
      <c r="EG677" s="1697"/>
      <c r="EH677" s="1697"/>
      <c r="EI677" s="1697"/>
      <c r="EJ677" s="1697"/>
      <c r="EK677" s="1697"/>
      <c r="EL677" s="1697"/>
      <c r="EM677" s="1697"/>
      <c r="EN677" s="1697"/>
      <c r="EO677" s="1697"/>
      <c r="EP677" s="1697"/>
      <c r="EQ677" s="1697"/>
      <c r="ER677" s="1697"/>
      <c r="ES677" s="1697"/>
      <c r="ET677" s="1697"/>
      <c r="EU677" s="1697"/>
      <c r="EV677" s="1697"/>
      <c r="EW677" s="1697"/>
      <c r="EX677" s="1697"/>
      <c r="EY677" s="1697"/>
      <c r="EZ677" s="1697"/>
      <c r="FA677" s="1697"/>
      <c r="FB677" s="1697"/>
      <c r="FC677" s="1697"/>
      <c r="FD677" s="1697"/>
      <c r="FE677" s="1697"/>
      <c r="FF677" s="1697"/>
      <c r="FG677" s="1697"/>
      <c r="FH677" s="1697"/>
      <c r="FI677" s="1697"/>
    </row>
    <row r="678" spans="1:165">
      <c r="A678" s="1697"/>
      <c r="B678" s="1697"/>
      <c r="C678" s="1697"/>
      <c r="D678" s="1697"/>
      <c r="E678" s="1697"/>
      <c r="F678" s="1697"/>
      <c r="G678" s="1697"/>
      <c r="H678" s="1697"/>
      <c r="I678" s="1697"/>
      <c r="J678" s="1697"/>
      <c r="K678" s="1697"/>
      <c r="L678" s="1697"/>
      <c r="M678" s="1697"/>
      <c r="N678" s="1697"/>
      <c r="O678" s="1697"/>
      <c r="P678" s="1697"/>
      <c r="Q678" s="1697"/>
      <c r="R678" s="1697"/>
      <c r="S678" s="1697"/>
      <c r="T678" s="1697"/>
      <c r="U678" s="1697"/>
      <c r="V678" s="1697"/>
      <c r="W678" s="1697"/>
      <c r="X678" s="1697"/>
      <c r="Y678" s="1697"/>
      <c r="Z678" s="1697"/>
      <c r="AA678" s="1697"/>
      <c r="AB678" s="1697"/>
      <c r="AC678" s="1697"/>
      <c r="AD678" s="1697"/>
      <c r="AE678" s="1697"/>
      <c r="AF678" s="1697"/>
      <c r="AG678" s="1697"/>
      <c r="AH678" s="1697"/>
      <c r="AI678" s="1697"/>
      <c r="AJ678" s="1697"/>
      <c r="AK678" s="1697"/>
      <c r="AL678" s="1697"/>
      <c r="AM678" s="1697"/>
      <c r="AN678" s="1697"/>
      <c r="AO678" s="1697"/>
      <c r="AP678" s="1697"/>
      <c r="AQ678" s="1697"/>
      <c r="AR678" s="1697"/>
      <c r="AS678" s="1697"/>
      <c r="AT678" s="1697"/>
      <c r="AU678" s="1697"/>
      <c r="AV678" s="1697"/>
      <c r="AW678" s="1697"/>
      <c r="AX678" s="1697"/>
      <c r="AY678" s="1697"/>
      <c r="AZ678" s="1697"/>
      <c r="BA678" s="1697"/>
      <c r="BB678" s="1697"/>
      <c r="BC678" s="1697"/>
      <c r="BD678" s="1697"/>
      <c r="BE678" s="1697"/>
      <c r="BF678" s="1697"/>
      <c r="BG678" s="1697"/>
      <c r="BH678" s="1697"/>
      <c r="BI678" s="1697"/>
      <c r="BJ678" s="1697"/>
      <c r="BK678" s="1697"/>
      <c r="BL678" s="1697"/>
      <c r="BM678" s="1697"/>
      <c r="BN678" s="1697"/>
      <c r="BO678" s="1697"/>
      <c r="BP678" s="1697"/>
      <c r="BQ678" s="1697"/>
      <c r="BR678" s="1697"/>
      <c r="BS678" s="1697"/>
      <c r="BT678" s="1697"/>
      <c r="BU678" s="1697"/>
      <c r="BV678" s="1697"/>
      <c r="BW678" s="1697"/>
      <c r="BX678" s="1697"/>
      <c r="BY678" s="1697"/>
      <c r="BZ678" s="1697"/>
      <c r="CA678" s="1697"/>
      <c r="CB678" s="1697"/>
      <c r="CC678" s="1697"/>
      <c r="CD678" s="1697"/>
      <c r="CE678" s="1697"/>
      <c r="CF678" s="1697"/>
      <c r="CG678" s="1697"/>
      <c r="CH678" s="1697"/>
      <c r="CI678" s="1697"/>
      <c r="CJ678" s="1697"/>
      <c r="CK678" s="1697"/>
      <c r="CL678" s="1697"/>
      <c r="CM678" s="1697"/>
      <c r="CN678" s="1697"/>
      <c r="CO678" s="1697"/>
      <c r="CP678" s="1697"/>
      <c r="CQ678" s="1697"/>
      <c r="CR678" s="1697"/>
      <c r="CS678" s="1697"/>
      <c r="CT678" s="1697"/>
      <c r="CU678" s="1697"/>
      <c r="CV678" s="1697"/>
      <c r="CW678" s="1697"/>
      <c r="CX678" s="1697"/>
      <c r="CY678" s="1697"/>
      <c r="CZ678" s="1697"/>
      <c r="DA678" s="1697"/>
      <c r="DB678" s="1697"/>
      <c r="DC678" s="1697"/>
      <c r="DD678" s="1697"/>
      <c r="DE678" s="1697"/>
      <c r="DF678" s="1697"/>
      <c r="DG678" s="1697"/>
      <c r="DH678" s="1697"/>
      <c r="DI678" s="1697"/>
      <c r="DJ678" s="1697"/>
      <c r="DK678" s="1697"/>
      <c r="DL678" s="1697"/>
      <c r="DM678" s="1697"/>
      <c r="DN678" s="1697"/>
      <c r="DO678" s="1697"/>
      <c r="DP678" s="1697"/>
      <c r="DQ678" s="1697"/>
      <c r="DR678" s="1697"/>
      <c r="DS678" s="1697"/>
      <c r="DT678" s="1697"/>
      <c r="DU678" s="1697"/>
      <c r="DV678" s="1697"/>
      <c r="DW678" s="1697"/>
      <c r="DX678" s="1697"/>
      <c r="DY678" s="1697"/>
      <c r="DZ678" s="1697"/>
      <c r="EA678" s="1697"/>
      <c r="EB678" s="1697"/>
      <c r="EC678" s="1697"/>
      <c r="ED678" s="1697"/>
      <c r="EE678" s="1697"/>
      <c r="EF678" s="1697"/>
      <c r="EG678" s="1697"/>
      <c r="EH678" s="1697"/>
      <c r="EI678" s="1697"/>
      <c r="EJ678" s="1697"/>
      <c r="EK678" s="1697"/>
      <c r="EL678" s="1697"/>
      <c r="EM678" s="1697"/>
      <c r="EN678" s="1697"/>
      <c r="EO678" s="1697"/>
      <c r="EP678" s="1697"/>
      <c r="EQ678" s="1697"/>
      <c r="ER678" s="1697"/>
      <c r="ES678" s="1697"/>
      <c r="ET678" s="1697"/>
      <c r="EU678" s="1697"/>
      <c r="EV678" s="1697"/>
      <c r="EW678" s="1697"/>
      <c r="EX678" s="1697"/>
      <c r="EY678" s="1697"/>
      <c r="EZ678" s="1697"/>
      <c r="FA678" s="1697"/>
      <c r="FB678" s="1697"/>
      <c r="FC678" s="1697"/>
      <c r="FD678" s="1697"/>
      <c r="FE678" s="1697"/>
      <c r="FF678" s="1697"/>
      <c r="FG678" s="1697"/>
      <c r="FH678" s="1697"/>
      <c r="FI678" s="1697"/>
    </row>
    <row r="679" spans="1:165">
      <c r="A679" s="1697"/>
      <c r="B679" s="1697"/>
      <c r="C679" s="1697"/>
      <c r="D679" s="1697"/>
      <c r="E679" s="1697"/>
      <c r="F679" s="1697"/>
      <c r="G679" s="1697"/>
      <c r="H679" s="1697"/>
      <c r="I679" s="1697"/>
      <c r="J679" s="1697"/>
      <c r="K679" s="1697"/>
      <c r="L679" s="1697"/>
      <c r="M679" s="1697"/>
      <c r="N679" s="1697"/>
      <c r="O679" s="1697"/>
      <c r="P679" s="1697"/>
      <c r="Q679" s="1697"/>
      <c r="R679" s="1697"/>
      <c r="S679" s="1697"/>
      <c r="T679" s="1697"/>
      <c r="U679" s="1697"/>
      <c r="V679" s="1697"/>
      <c r="W679" s="1697"/>
      <c r="X679" s="1697"/>
      <c r="Y679" s="1697"/>
      <c r="Z679" s="1697"/>
      <c r="AA679" s="1697"/>
      <c r="AB679" s="1697"/>
      <c r="AC679" s="1697"/>
      <c r="AD679" s="1697"/>
      <c r="AE679" s="1697"/>
      <c r="AF679" s="1697"/>
      <c r="AG679" s="1697"/>
      <c r="AH679" s="1697"/>
      <c r="AI679" s="1697"/>
      <c r="AJ679" s="1697"/>
      <c r="AK679" s="1697"/>
      <c r="AL679" s="1697"/>
      <c r="AM679" s="1697"/>
      <c r="AN679" s="1697"/>
      <c r="AO679" s="1697"/>
      <c r="AP679" s="1697"/>
      <c r="AQ679" s="1697"/>
      <c r="AR679" s="1697"/>
      <c r="AS679" s="1697"/>
      <c r="AT679" s="1697"/>
      <c r="AU679" s="1697"/>
      <c r="AV679" s="1697"/>
      <c r="AW679" s="1697"/>
      <c r="AX679" s="1697"/>
      <c r="AY679" s="1697"/>
      <c r="AZ679" s="1697"/>
      <c r="BA679" s="1697"/>
      <c r="BB679" s="1697"/>
      <c r="BC679" s="1697"/>
      <c r="BD679" s="1697"/>
      <c r="BE679" s="1697"/>
      <c r="BF679" s="1697"/>
      <c r="BG679" s="1697"/>
      <c r="BH679" s="1697"/>
      <c r="BI679" s="1697"/>
      <c r="BJ679" s="1697"/>
      <c r="BK679" s="1697"/>
      <c r="BL679" s="1697"/>
      <c r="BM679" s="1697"/>
      <c r="BN679" s="1697"/>
      <c r="BO679" s="1697"/>
      <c r="BP679" s="1697"/>
      <c r="BQ679" s="1697"/>
      <c r="BR679" s="1697"/>
      <c r="BS679" s="1697"/>
      <c r="BT679" s="1697"/>
      <c r="BU679" s="1697"/>
      <c r="BV679" s="1697"/>
      <c r="BW679" s="1697"/>
      <c r="BX679" s="1697"/>
      <c r="BY679" s="1697"/>
      <c r="BZ679" s="1697"/>
      <c r="CA679" s="1697"/>
      <c r="CB679" s="1697"/>
      <c r="CC679" s="1697"/>
      <c r="CD679" s="1697"/>
      <c r="CE679" s="1697"/>
      <c r="CF679" s="1697"/>
      <c r="CG679" s="1697"/>
      <c r="CH679" s="1697"/>
      <c r="CI679" s="1697"/>
      <c r="CJ679" s="1697"/>
      <c r="CK679" s="1697"/>
      <c r="CL679" s="1697"/>
      <c r="CM679" s="1697"/>
      <c r="CN679" s="1697"/>
      <c r="CO679" s="1697"/>
      <c r="CP679" s="1697"/>
      <c r="CQ679" s="1697"/>
      <c r="CR679" s="1697"/>
      <c r="CS679" s="1697"/>
      <c r="CT679" s="1697"/>
      <c r="CU679" s="1697"/>
      <c r="CV679" s="1697"/>
      <c r="CW679" s="1697"/>
      <c r="CX679" s="1697"/>
      <c r="CY679" s="1697"/>
      <c r="CZ679" s="1697"/>
      <c r="DA679" s="1697"/>
      <c r="DB679" s="1697"/>
      <c r="DC679" s="1697"/>
      <c r="DD679" s="1697"/>
      <c r="DE679" s="1697"/>
      <c r="DF679" s="1697"/>
      <c r="DG679" s="1697"/>
      <c r="DH679" s="1697"/>
      <c r="DI679" s="1697"/>
      <c r="DJ679" s="1697"/>
      <c r="DK679" s="1697"/>
      <c r="DL679" s="1697"/>
      <c r="DM679" s="1697"/>
      <c r="DN679" s="1697"/>
      <c r="DO679" s="1697"/>
      <c r="DP679" s="1697"/>
      <c r="DQ679" s="1697"/>
      <c r="DR679" s="1697"/>
      <c r="DS679" s="1697"/>
      <c r="DT679" s="1697"/>
      <c r="DU679" s="1697"/>
      <c r="DV679" s="1697"/>
      <c r="DW679" s="1697"/>
      <c r="DX679" s="1697"/>
      <c r="DY679" s="1697"/>
      <c r="DZ679" s="1697"/>
      <c r="EA679" s="1697"/>
      <c r="EB679" s="1697"/>
      <c r="EC679" s="1697"/>
      <c r="ED679" s="1697"/>
      <c r="EE679" s="1697"/>
      <c r="EF679" s="1697"/>
      <c r="EG679" s="1697"/>
      <c r="EH679" s="1697"/>
      <c r="EI679" s="1697"/>
      <c r="EJ679" s="1697"/>
      <c r="EK679" s="1697"/>
      <c r="EL679" s="1697"/>
      <c r="EM679" s="1697"/>
      <c r="EN679" s="1697"/>
      <c r="EO679" s="1697"/>
      <c r="EP679" s="1697"/>
      <c r="EQ679" s="1697"/>
      <c r="ER679" s="1697"/>
      <c r="ES679" s="1697"/>
      <c r="ET679" s="1697"/>
      <c r="EU679" s="1697"/>
      <c r="EV679" s="1697"/>
      <c r="EW679" s="1697"/>
      <c r="EX679" s="1697"/>
      <c r="EY679" s="1697"/>
      <c r="EZ679" s="1697"/>
      <c r="FA679" s="1697"/>
      <c r="FB679" s="1697"/>
      <c r="FC679" s="1697"/>
      <c r="FD679" s="1697"/>
      <c r="FE679" s="1697"/>
      <c r="FF679" s="1697"/>
      <c r="FG679" s="1697"/>
      <c r="FH679" s="1697"/>
      <c r="FI679" s="1697"/>
    </row>
    <row r="680" spans="1:165">
      <c r="A680" s="1697"/>
      <c r="B680" s="1697"/>
      <c r="C680" s="1697"/>
      <c r="D680" s="1697"/>
      <c r="E680" s="1697"/>
      <c r="F680" s="1697"/>
      <c r="G680" s="1697"/>
      <c r="H680" s="1697"/>
      <c r="I680" s="1697"/>
      <c r="J680" s="1697"/>
      <c r="K680" s="1697"/>
      <c r="L680" s="1697"/>
      <c r="M680" s="1697"/>
      <c r="N680" s="1697"/>
      <c r="O680" s="1697"/>
      <c r="P680" s="1697"/>
      <c r="Q680" s="1697"/>
      <c r="R680" s="1697"/>
      <c r="S680" s="1697"/>
      <c r="T680" s="1697"/>
      <c r="U680" s="1697"/>
      <c r="V680" s="1697"/>
      <c r="W680" s="1697"/>
      <c r="X680" s="1697"/>
      <c r="Y680" s="1697"/>
      <c r="Z680" s="1697"/>
      <c r="AA680" s="1697"/>
      <c r="AB680" s="1697"/>
      <c r="AC680" s="1697"/>
      <c r="AD680" s="1697"/>
      <c r="AE680" s="1697"/>
      <c r="AF680" s="1697"/>
      <c r="AG680" s="1697"/>
      <c r="AH680" s="1697"/>
      <c r="AI680" s="1697"/>
      <c r="AJ680" s="1697"/>
      <c r="AK680" s="1697"/>
      <c r="AL680" s="1697"/>
      <c r="AM680" s="1697"/>
      <c r="AN680" s="1697"/>
      <c r="AO680" s="1697"/>
      <c r="AP680" s="1697"/>
      <c r="AQ680" s="1697"/>
      <c r="AR680" s="1697"/>
      <c r="AS680" s="1697"/>
      <c r="AT680" s="1697"/>
      <c r="AU680" s="1697"/>
      <c r="AV680" s="1697"/>
      <c r="AW680" s="1697"/>
      <c r="AX680" s="1697"/>
      <c r="AY680" s="1697"/>
      <c r="AZ680" s="1697"/>
      <c r="BA680" s="1697"/>
      <c r="BB680" s="1697"/>
      <c r="BC680" s="1697"/>
      <c r="BD680" s="1697"/>
      <c r="BE680" s="1697"/>
      <c r="BF680" s="1697"/>
      <c r="BG680" s="1697"/>
      <c r="BH680" s="1697"/>
      <c r="BI680" s="1697"/>
      <c r="BJ680" s="1697"/>
      <c r="BK680" s="1697"/>
      <c r="BL680" s="1697"/>
      <c r="BM680" s="1697"/>
      <c r="BN680" s="1697"/>
      <c r="BO680" s="1697"/>
      <c r="BP680" s="1697"/>
      <c r="BQ680" s="1697"/>
      <c r="BR680" s="1697"/>
      <c r="BS680" s="1697"/>
      <c r="BT680" s="1697"/>
      <c r="BU680" s="1697"/>
      <c r="BV680" s="1697"/>
      <c r="BW680" s="1697"/>
      <c r="BX680" s="1697"/>
      <c r="BY680" s="1697"/>
      <c r="BZ680" s="1697"/>
      <c r="CA680" s="1697"/>
      <c r="CB680" s="1697"/>
      <c r="CC680" s="1697"/>
      <c r="CD680" s="1697"/>
      <c r="CE680" s="1697"/>
      <c r="CF680" s="1697"/>
      <c r="CG680" s="1697"/>
      <c r="CH680" s="1697"/>
      <c r="CI680" s="1697"/>
      <c r="CJ680" s="1697"/>
      <c r="CK680" s="1697"/>
      <c r="CL680" s="1697"/>
      <c r="CM680" s="1697"/>
      <c r="CN680" s="1697"/>
      <c r="CO680" s="1697"/>
      <c r="CP680" s="1697"/>
      <c r="CQ680" s="1697"/>
      <c r="CR680" s="1697"/>
      <c r="CS680" s="1697"/>
      <c r="CT680" s="1697"/>
      <c r="CU680" s="1697"/>
      <c r="CV680" s="1697"/>
      <c r="CW680" s="1697"/>
      <c r="CX680" s="1697"/>
      <c r="CY680" s="1697"/>
      <c r="CZ680" s="1697"/>
      <c r="DA680" s="1697"/>
      <c r="DB680" s="1697"/>
      <c r="DC680" s="1697"/>
      <c r="DD680" s="1697"/>
      <c r="DE680" s="1697"/>
      <c r="DF680" s="1697"/>
      <c r="DG680" s="1697"/>
      <c r="DH680" s="1697"/>
      <c r="DI680" s="1697"/>
      <c r="DJ680" s="1697"/>
      <c r="DK680" s="1697"/>
      <c r="DL680" s="1697"/>
      <c r="DM680" s="1697"/>
      <c r="DN680" s="1697"/>
      <c r="DO680" s="1697"/>
      <c r="DP680" s="1697"/>
      <c r="DQ680" s="1697"/>
      <c r="DR680" s="1697"/>
      <c r="DS680" s="1697"/>
      <c r="DT680" s="1697"/>
      <c r="DU680" s="1697"/>
      <c r="DV680" s="1697"/>
      <c r="DW680" s="1697"/>
      <c r="DX680" s="1697"/>
      <c r="DY680" s="1697"/>
      <c r="DZ680" s="1697"/>
      <c r="EA680" s="1697"/>
      <c r="EB680" s="1697"/>
      <c r="EC680" s="1697"/>
      <c r="ED680" s="1697"/>
      <c r="EE680" s="1697"/>
      <c r="EF680" s="1697"/>
      <c r="EG680" s="1697"/>
      <c r="EH680" s="1697"/>
      <c r="EI680" s="1697"/>
      <c r="EJ680" s="1697"/>
      <c r="EK680" s="1697"/>
      <c r="EL680" s="1697"/>
      <c r="EM680" s="1697"/>
      <c r="EN680" s="1697"/>
      <c r="EO680" s="1697"/>
      <c r="EP680" s="1697"/>
      <c r="EQ680" s="1697"/>
      <c r="ER680" s="1697"/>
      <c r="ES680" s="1697"/>
      <c r="ET680" s="1697"/>
      <c r="EU680" s="1697"/>
      <c r="EV680" s="1697"/>
      <c r="EW680" s="1697"/>
      <c r="EX680" s="1697"/>
      <c r="EY680" s="1697"/>
      <c r="EZ680" s="1697"/>
      <c r="FA680" s="1697"/>
      <c r="FB680" s="1697"/>
      <c r="FC680" s="1697"/>
      <c r="FD680" s="1697"/>
      <c r="FE680" s="1697"/>
      <c r="FF680" s="1697"/>
      <c r="FG680" s="1697"/>
      <c r="FH680" s="1697"/>
      <c r="FI680" s="1697"/>
    </row>
    <row r="681" spans="1:165">
      <c r="A681" s="1697"/>
      <c r="B681" s="1697"/>
      <c r="C681" s="1697"/>
      <c r="D681" s="1697"/>
      <c r="E681" s="1697"/>
      <c r="F681" s="1697"/>
      <c r="G681" s="1697"/>
      <c r="H681" s="1697"/>
      <c r="I681" s="1697"/>
      <c r="J681" s="1697"/>
      <c r="K681" s="1697"/>
      <c r="L681" s="1697"/>
      <c r="M681" s="1697"/>
      <c r="N681" s="1697"/>
      <c r="O681" s="1697"/>
      <c r="P681" s="1697"/>
      <c r="Q681" s="1697"/>
      <c r="R681" s="1697"/>
      <c r="S681" s="1697"/>
      <c r="T681" s="1697"/>
      <c r="U681" s="1697"/>
      <c r="V681" s="1697"/>
      <c r="W681" s="1697"/>
      <c r="X681" s="1697"/>
      <c r="Y681" s="1697"/>
      <c r="Z681" s="1697"/>
      <c r="AA681" s="1697"/>
      <c r="AB681" s="1697"/>
      <c r="AC681" s="1697"/>
      <c r="AD681" s="1697"/>
      <c r="AE681" s="1697"/>
      <c r="AF681" s="1697"/>
      <c r="AG681" s="1697"/>
      <c r="AH681" s="1697"/>
      <c r="AI681" s="1697"/>
      <c r="AJ681" s="1697"/>
      <c r="AK681" s="1697"/>
      <c r="AL681" s="1697"/>
      <c r="AM681" s="1697"/>
      <c r="AN681" s="1697"/>
      <c r="AO681" s="1697"/>
      <c r="AP681" s="1697"/>
      <c r="AQ681" s="1697"/>
      <c r="AR681" s="1697"/>
      <c r="AS681" s="1697"/>
      <c r="AT681" s="1697"/>
      <c r="AU681" s="1697"/>
      <c r="AV681" s="1697"/>
      <c r="AW681" s="1697"/>
      <c r="AX681" s="1697"/>
      <c r="AY681" s="1697"/>
      <c r="AZ681" s="1697"/>
      <c r="BA681" s="1697"/>
      <c r="BB681" s="1697"/>
      <c r="BC681" s="1697"/>
      <c r="BD681" s="1697"/>
      <c r="BE681" s="1697"/>
      <c r="BF681" s="1697"/>
      <c r="BG681" s="1697"/>
      <c r="BH681" s="1697"/>
      <c r="BI681" s="1697"/>
      <c r="BJ681" s="1697"/>
      <c r="BK681" s="1697"/>
      <c r="BL681" s="1697"/>
      <c r="BM681" s="1697"/>
      <c r="BN681" s="1697"/>
      <c r="BO681" s="1697"/>
      <c r="BP681" s="1697"/>
      <c r="BQ681" s="1697"/>
      <c r="BR681" s="1697"/>
      <c r="BS681" s="1697"/>
      <c r="BT681" s="1697"/>
      <c r="BU681" s="1697"/>
      <c r="BV681" s="1697"/>
      <c r="BW681" s="1697"/>
      <c r="BX681" s="1697"/>
      <c r="BY681" s="1697"/>
      <c r="BZ681" s="1697"/>
      <c r="CA681" s="1697"/>
      <c r="CB681" s="1697"/>
      <c r="CC681" s="1697"/>
      <c r="CD681" s="1697"/>
      <c r="CE681" s="1697"/>
      <c r="CF681" s="1697"/>
      <c r="CG681" s="1697"/>
      <c r="CH681" s="1697"/>
      <c r="CI681" s="1697"/>
      <c r="CJ681" s="1697"/>
      <c r="CK681" s="1697"/>
      <c r="CL681" s="1697"/>
      <c r="CM681" s="1697"/>
      <c r="CN681" s="1697"/>
      <c r="CO681" s="1697"/>
      <c r="CP681" s="1697"/>
      <c r="CQ681" s="1697"/>
      <c r="CR681" s="1697"/>
      <c r="CS681" s="1697"/>
      <c r="CT681" s="1697"/>
      <c r="CU681" s="1697"/>
      <c r="CV681" s="1697"/>
      <c r="CW681" s="1697"/>
      <c r="CX681" s="1697"/>
      <c r="CY681" s="1697"/>
      <c r="CZ681" s="1697"/>
      <c r="DA681" s="1697"/>
      <c r="DB681" s="1697"/>
      <c r="DC681" s="1697"/>
      <c r="DD681" s="1697"/>
      <c r="DE681" s="1697"/>
      <c r="DF681" s="1697"/>
      <c r="DG681" s="1697"/>
      <c r="DH681" s="1697"/>
      <c r="DI681" s="1697"/>
      <c r="DJ681" s="1697"/>
      <c r="DK681" s="1697"/>
      <c r="DL681" s="1697"/>
      <c r="DM681" s="1697"/>
      <c r="DN681" s="1697"/>
      <c r="DO681" s="1697"/>
      <c r="DP681" s="1697"/>
      <c r="DQ681" s="1697"/>
      <c r="DR681" s="1697"/>
      <c r="DS681" s="1697"/>
      <c r="DT681" s="1697"/>
      <c r="DU681" s="1697"/>
      <c r="DV681" s="1697"/>
      <c r="DW681" s="1697"/>
      <c r="DX681" s="1697"/>
      <c r="DY681" s="1697"/>
      <c r="DZ681" s="1697"/>
      <c r="EA681" s="1697"/>
      <c r="EB681" s="1697"/>
      <c r="EC681" s="1697"/>
      <c r="ED681" s="1697"/>
      <c r="EE681" s="1697"/>
      <c r="EF681" s="1697"/>
      <c r="EG681" s="1697"/>
      <c r="EH681" s="1697"/>
      <c r="EI681" s="1697"/>
      <c r="EJ681" s="1697"/>
      <c r="EK681" s="1697"/>
      <c r="EL681" s="1697"/>
      <c r="EM681" s="1697"/>
      <c r="EN681" s="1697"/>
      <c r="EO681" s="1697"/>
      <c r="EP681" s="1697"/>
      <c r="EQ681" s="1697"/>
      <c r="ER681" s="1697"/>
      <c r="ES681" s="1697"/>
      <c r="ET681" s="1697"/>
      <c r="EU681" s="1697"/>
      <c r="EV681" s="1697"/>
      <c r="EW681" s="1697"/>
      <c r="EX681" s="1697"/>
      <c r="EY681" s="1697"/>
      <c r="EZ681" s="1697"/>
      <c r="FA681" s="1697"/>
      <c r="FB681" s="1697"/>
      <c r="FC681" s="1697"/>
      <c r="FD681" s="1697"/>
      <c r="FE681" s="1697"/>
      <c r="FF681" s="1697"/>
      <c r="FG681" s="1697"/>
      <c r="FH681" s="1697"/>
      <c r="FI681" s="1697"/>
    </row>
    <row r="682" spans="1:165">
      <c r="A682" s="1697"/>
      <c r="B682" s="1697"/>
      <c r="C682" s="1697"/>
      <c r="D682" s="1697"/>
      <c r="E682" s="1697"/>
      <c r="F682" s="1697"/>
      <c r="G682" s="1697"/>
      <c r="H682" s="1697"/>
      <c r="I682" s="1697"/>
      <c r="J682" s="1697"/>
      <c r="K682" s="1697"/>
      <c r="L682" s="1697"/>
      <c r="M682" s="1697"/>
      <c r="N682" s="1697"/>
      <c r="O682" s="1697"/>
      <c r="P682" s="1697"/>
      <c r="Q682" s="1697"/>
      <c r="R682" s="1697"/>
      <c r="S682" s="1697"/>
      <c r="T682" s="1697"/>
      <c r="U682" s="1697"/>
      <c r="V682" s="1697"/>
      <c r="W682" s="1697"/>
      <c r="X682" s="1697"/>
      <c r="Y682" s="1697"/>
      <c r="Z682" s="1697"/>
      <c r="AA682" s="1697"/>
      <c r="AB682" s="1697"/>
      <c r="AC682" s="1697"/>
      <c r="AD682" s="1697"/>
      <c r="AE682" s="1697"/>
      <c r="AF682" s="1697"/>
      <c r="AG682" s="1697"/>
      <c r="AH682" s="1697"/>
      <c r="AI682" s="1697"/>
      <c r="AJ682" s="1697"/>
      <c r="AK682" s="1697"/>
      <c r="AL682" s="1697"/>
      <c r="AM682" s="1697"/>
      <c r="AN682" s="1697"/>
      <c r="AO682" s="1697"/>
      <c r="AP682" s="1697"/>
      <c r="AQ682" s="1697"/>
      <c r="AR682" s="1697"/>
      <c r="AS682" s="1697"/>
      <c r="AT682" s="1697"/>
      <c r="AU682" s="1697"/>
      <c r="AV682" s="1697"/>
      <c r="AW682" s="1697"/>
      <c r="AX682" s="1697"/>
      <c r="AY682" s="1697"/>
      <c r="AZ682" s="1697"/>
      <c r="BA682" s="1697"/>
      <c r="BB682" s="1697"/>
      <c r="BC682" s="1697"/>
      <c r="BD682" s="1697"/>
      <c r="BE682" s="1697"/>
      <c r="BF682" s="1697"/>
      <c r="BG682" s="1697"/>
      <c r="BH682" s="1697"/>
      <c r="BI682" s="1697"/>
      <c r="BJ682" s="1697"/>
      <c r="BK682" s="1697"/>
      <c r="BL682" s="1697"/>
      <c r="BM682" s="1697"/>
      <c r="BN682" s="1697"/>
      <c r="BO682" s="1697"/>
      <c r="BP682" s="1697"/>
      <c r="BQ682" s="1697"/>
      <c r="BR682" s="1697"/>
      <c r="BS682" s="1697"/>
      <c r="BT682" s="1697"/>
      <c r="BU682" s="1697"/>
      <c r="BV682" s="1697"/>
      <c r="BW682" s="1697"/>
      <c r="BX682" s="1697"/>
      <c r="BY682" s="1697"/>
      <c r="BZ682" s="1697"/>
      <c r="CA682" s="1697"/>
      <c r="CB682" s="1697"/>
      <c r="CC682" s="1697"/>
      <c r="CD682" s="1697"/>
      <c r="CE682" s="1697"/>
      <c r="CF682" s="1697"/>
      <c r="CG682" s="1697"/>
      <c r="CH682" s="1697"/>
      <c r="CI682" s="1697"/>
      <c r="CJ682" s="1697"/>
      <c r="CK682" s="1697"/>
      <c r="CL682" s="1697"/>
      <c r="CM682" s="1697"/>
      <c r="CN682" s="1697"/>
      <c r="CO682" s="1697"/>
      <c r="CP682" s="1697"/>
      <c r="CQ682" s="1697"/>
      <c r="CR682" s="1697"/>
      <c r="CS682" s="1697"/>
      <c r="CT682" s="1697"/>
      <c r="CU682" s="1697"/>
      <c r="CV682" s="1697"/>
      <c r="CW682" s="1697"/>
      <c r="CX682" s="1697"/>
      <c r="CY682" s="1697"/>
      <c r="CZ682" s="1697"/>
      <c r="DA682" s="1697"/>
      <c r="DB682" s="1697"/>
      <c r="DC682" s="1697"/>
      <c r="DD682" s="1697"/>
      <c r="DE682" s="1697"/>
      <c r="DF682" s="1697"/>
      <c r="DG682" s="1697"/>
      <c r="DH682" s="1697"/>
      <c r="DI682" s="1697"/>
      <c r="DJ682" s="1697"/>
      <c r="DK682" s="1697"/>
      <c r="DL682" s="1697"/>
      <c r="DM682" s="1697"/>
      <c r="DN682" s="1697"/>
      <c r="DO682" s="1697"/>
      <c r="DP682" s="1697"/>
      <c r="DQ682" s="1697"/>
      <c r="DR682" s="1697"/>
      <c r="DS682" s="1697"/>
      <c r="DT682" s="1697"/>
      <c r="DU682" s="1697"/>
      <c r="DV682" s="1697"/>
      <c r="DW682" s="1697"/>
      <c r="DX682" s="1697"/>
      <c r="DY682" s="1697"/>
      <c r="DZ682" s="1697"/>
      <c r="EA682" s="1697"/>
      <c r="EB682" s="1697"/>
      <c r="EC682" s="1697"/>
      <c r="ED682" s="1697"/>
      <c r="EE682" s="1697"/>
      <c r="EF682" s="1697"/>
      <c r="EG682" s="1697"/>
      <c r="EH682" s="1697"/>
      <c r="EI682" s="1697"/>
      <c r="EJ682" s="1697"/>
      <c r="EK682" s="1697"/>
      <c r="EL682" s="1697"/>
      <c r="EM682" s="1697"/>
      <c r="EN682" s="1697"/>
      <c r="EO682" s="1697"/>
      <c r="EP682" s="1697"/>
      <c r="EQ682" s="1697"/>
      <c r="ER682" s="1697"/>
      <c r="ES682" s="1697"/>
      <c r="ET682" s="1697"/>
      <c r="EU682" s="1697"/>
      <c r="EV682" s="1697"/>
      <c r="EW682" s="1697"/>
      <c r="EX682" s="1697"/>
      <c r="EY682" s="1697"/>
      <c r="EZ682" s="1697"/>
      <c r="FA682" s="1697"/>
      <c r="FB682" s="1697"/>
      <c r="FC682" s="1697"/>
      <c r="FD682" s="1697"/>
      <c r="FE682" s="1697"/>
      <c r="FF682" s="1697"/>
      <c r="FG682" s="1697"/>
      <c r="FH682" s="1697"/>
      <c r="FI682" s="1697"/>
    </row>
    <row r="683" spans="1:165">
      <c r="A683" s="1697"/>
      <c r="B683" s="1697"/>
      <c r="C683" s="1697"/>
      <c r="D683" s="1697"/>
      <c r="E683" s="1697"/>
      <c r="F683" s="1697"/>
      <c r="G683" s="1697"/>
      <c r="H683" s="1697"/>
      <c r="I683" s="1697"/>
      <c r="J683" s="1697"/>
      <c r="K683" s="1697"/>
      <c r="L683" s="1697"/>
      <c r="M683" s="1697"/>
      <c r="N683" s="1697"/>
      <c r="O683" s="1697"/>
      <c r="P683" s="1697"/>
      <c r="Q683" s="1697"/>
      <c r="R683" s="1697"/>
      <c r="S683" s="1697"/>
      <c r="T683" s="1697"/>
      <c r="U683" s="1697"/>
      <c r="V683" s="1697"/>
      <c r="W683" s="1697"/>
      <c r="X683" s="1697"/>
      <c r="Y683" s="1697"/>
      <c r="Z683" s="1697"/>
      <c r="AA683" s="1697"/>
      <c r="AB683" s="1697"/>
      <c r="AC683" s="1697"/>
      <c r="AD683" s="1697"/>
      <c r="AE683" s="1697"/>
      <c r="AF683" s="1697"/>
      <c r="AG683" s="1697"/>
      <c r="AH683" s="1697"/>
      <c r="AI683" s="1697"/>
      <c r="AJ683" s="1697"/>
      <c r="AK683" s="1697"/>
      <c r="AL683" s="1697"/>
      <c r="AM683" s="1697"/>
      <c r="AN683" s="1697"/>
      <c r="AO683" s="1697"/>
      <c r="AP683" s="1697"/>
      <c r="AQ683" s="1697"/>
      <c r="AR683" s="1697"/>
      <c r="AS683" s="1697"/>
      <c r="AT683" s="1697"/>
      <c r="AU683" s="1697"/>
      <c r="AV683" s="1697"/>
      <c r="AW683" s="1697"/>
      <c r="AX683" s="1697"/>
      <c r="AY683" s="1697"/>
      <c r="AZ683" s="1697"/>
      <c r="BA683" s="1697"/>
      <c r="BB683" s="1697"/>
      <c r="BC683" s="1697"/>
      <c r="BD683" s="1697"/>
      <c r="BE683" s="1697"/>
      <c r="BF683" s="1697"/>
      <c r="BG683" s="1697"/>
      <c r="BH683" s="1697"/>
      <c r="BI683" s="1697"/>
      <c r="BJ683" s="1697"/>
      <c r="BK683" s="1697"/>
      <c r="BL683" s="1697"/>
      <c r="BM683" s="1697"/>
      <c r="BN683" s="1697"/>
      <c r="BO683" s="1697"/>
      <c r="BP683" s="1697"/>
      <c r="BQ683" s="1697"/>
      <c r="BR683" s="1697"/>
      <c r="BS683" s="1697"/>
      <c r="BT683" s="1697"/>
      <c r="BU683" s="1697"/>
      <c r="BV683" s="1697"/>
      <c r="BW683" s="1697"/>
      <c r="BX683" s="1697"/>
      <c r="BY683" s="1697"/>
      <c r="BZ683" s="1697"/>
      <c r="CA683" s="1697"/>
      <c r="CB683" s="1697"/>
      <c r="CC683" s="1697"/>
      <c r="CD683" s="1697"/>
      <c r="CE683" s="1697"/>
      <c r="CF683" s="1697"/>
      <c r="CG683" s="1697"/>
      <c r="CH683" s="1697"/>
      <c r="CI683" s="1697"/>
      <c r="CJ683" s="1697"/>
      <c r="CK683" s="1697"/>
      <c r="CL683" s="1697"/>
      <c r="CM683" s="1697"/>
      <c r="CN683" s="1697"/>
      <c r="CO683" s="1697"/>
      <c r="CP683" s="1697"/>
      <c r="CQ683" s="1697"/>
      <c r="CR683" s="1697"/>
      <c r="CS683" s="1697"/>
      <c r="CT683" s="1697"/>
      <c r="CU683" s="1697"/>
      <c r="CV683" s="1697"/>
      <c r="CW683" s="1697"/>
      <c r="CX683" s="1697"/>
      <c r="CY683" s="1697"/>
      <c r="CZ683" s="1697"/>
      <c r="DA683" s="1697"/>
      <c r="DB683" s="1697"/>
      <c r="DC683" s="1697"/>
      <c r="DD683" s="1697"/>
      <c r="DE683" s="1697"/>
      <c r="DF683" s="1697"/>
      <c r="DG683" s="1697"/>
      <c r="DH683" s="1697"/>
      <c r="DI683" s="1697"/>
      <c r="DJ683" s="1697"/>
      <c r="DK683" s="1697"/>
      <c r="DL683" s="1697"/>
      <c r="DM683" s="1697"/>
      <c r="DN683" s="1697"/>
      <c r="DO683" s="1697"/>
      <c r="DP683" s="1697"/>
      <c r="DQ683" s="1697"/>
      <c r="DR683" s="1697"/>
      <c r="DS683" s="1697"/>
      <c r="DT683" s="1697"/>
      <c r="DU683" s="1697"/>
      <c r="DV683" s="1697"/>
      <c r="DW683" s="1697"/>
      <c r="DX683" s="1697"/>
      <c r="DY683" s="1697"/>
      <c r="DZ683" s="1697"/>
      <c r="EA683" s="1697"/>
      <c r="EB683" s="1697"/>
      <c r="EC683" s="1697"/>
      <c r="ED683" s="1697"/>
      <c r="EE683" s="1697"/>
      <c r="EF683" s="1697"/>
      <c r="EG683" s="1697"/>
      <c r="EH683" s="1697"/>
      <c r="EI683" s="1697"/>
      <c r="EJ683" s="1697"/>
      <c r="EK683" s="1697"/>
      <c r="EL683" s="1697"/>
      <c r="EM683" s="1697"/>
      <c r="EN683" s="1697"/>
      <c r="EO683" s="1697"/>
      <c r="EP683" s="1697"/>
      <c r="EQ683" s="1697"/>
      <c r="ER683" s="1697"/>
      <c r="ES683" s="1697"/>
      <c r="ET683" s="1697"/>
      <c r="EU683" s="1697"/>
      <c r="EV683" s="1697"/>
      <c r="EW683" s="1697"/>
      <c r="EX683" s="1697"/>
      <c r="EY683" s="1697"/>
      <c r="EZ683" s="1697"/>
      <c r="FA683" s="1697"/>
      <c r="FB683" s="1697"/>
      <c r="FC683" s="1697"/>
      <c r="FD683" s="1697"/>
      <c r="FE683" s="1697"/>
      <c r="FF683" s="1697"/>
      <c r="FG683" s="1697"/>
      <c r="FH683" s="1697"/>
      <c r="FI683" s="1697"/>
    </row>
    <row r="684" spans="1:165">
      <c r="A684" s="1697"/>
      <c r="B684" s="1697"/>
      <c r="C684" s="1697"/>
      <c r="D684" s="1697"/>
      <c r="E684" s="1697"/>
      <c r="F684" s="1697"/>
      <c r="G684" s="1697"/>
      <c r="H684" s="1697"/>
      <c r="I684" s="1697"/>
      <c r="J684" s="1697"/>
      <c r="K684" s="1697"/>
      <c r="L684" s="1697"/>
      <c r="M684" s="1697"/>
      <c r="N684" s="1697"/>
      <c r="O684" s="1697"/>
      <c r="P684" s="1697"/>
      <c r="Q684" s="1697"/>
      <c r="R684" s="1697"/>
      <c r="S684" s="1697"/>
      <c r="T684" s="1697"/>
      <c r="U684" s="1697"/>
      <c r="V684" s="1697"/>
      <c r="W684" s="1697"/>
      <c r="X684" s="1697"/>
      <c r="Y684" s="1697"/>
      <c r="Z684" s="1697"/>
      <c r="AA684" s="1697"/>
      <c r="AB684" s="1697"/>
      <c r="AC684" s="1697"/>
      <c r="AD684" s="1697"/>
      <c r="AE684" s="1697"/>
      <c r="AF684" s="1697"/>
      <c r="AG684" s="1697"/>
      <c r="AH684" s="1697"/>
      <c r="AI684" s="1697"/>
      <c r="AJ684" s="1697"/>
      <c r="AK684" s="1697"/>
      <c r="AL684" s="1697"/>
      <c r="AM684" s="1697"/>
      <c r="AN684" s="1697"/>
      <c r="AO684" s="1697"/>
      <c r="AP684" s="1697"/>
      <c r="AQ684" s="1697"/>
      <c r="AR684" s="1697"/>
      <c r="AS684" s="1697"/>
      <c r="AT684" s="1697"/>
      <c r="AU684" s="1697"/>
      <c r="AV684" s="1697"/>
      <c r="AW684" s="1697"/>
      <c r="AX684" s="1697"/>
      <c r="AY684" s="1697"/>
      <c r="AZ684" s="1697"/>
      <c r="BA684" s="1697"/>
      <c r="BB684" s="1697"/>
      <c r="BC684" s="1697"/>
      <c r="BD684" s="1697"/>
      <c r="BE684" s="1697"/>
      <c r="BF684" s="1697"/>
      <c r="BG684" s="1697"/>
      <c r="BH684" s="1697"/>
      <c r="BI684" s="1697"/>
      <c r="BJ684" s="1697"/>
      <c r="BK684" s="1697"/>
      <c r="BL684" s="1697"/>
      <c r="BM684" s="1697"/>
      <c r="BN684" s="1697"/>
      <c r="BO684" s="1697"/>
      <c r="BP684" s="1697"/>
      <c r="BQ684" s="1697"/>
      <c r="BR684" s="1697"/>
      <c r="BS684" s="1697"/>
      <c r="BT684" s="1697"/>
      <c r="BU684" s="1697"/>
      <c r="BV684" s="1697"/>
      <c r="BW684" s="1697"/>
      <c r="BX684" s="1697"/>
      <c r="BY684" s="1697"/>
      <c r="BZ684" s="1697"/>
      <c r="CA684" s="1697"/>
      <c r="CB684" s="1697"/>
      <c r="CC684" s="1697"/>
      <c r="CD684" s="1697"/>
      <c r="CE684" s="1697"/>
      <c r="CF684" s="1697"/>
      <c r="CG684" s="1697"/>
      <c r="CH684" s="1697"/>
      <c r="CI684" s="1697"/>
      <c r="CJ684" s="1697"/>
      <c r="CK684" s="1697"/>
      <c r="CL684" s="1697"/>
      <c r="CM684" s="1697"/>
      <c r="CN684" s="1697"/>
      <c r="CO684" s="1697"/>
      <c r="CP684" s="1697"/>
      <c r="CQ684" s="1697"/>
      <c r="CR684" s="1697"/>
      <c r="CS684" s="1697"/>
      <c r="CT684" s="1697"/>
      <c r="CU684" s="1697"/>
      <c r="CV684" s="1697"/>
      <c r="CW684" s="1697"/>
      <c r="CX684" s="1697"/>
      <c r="CY684" s="1697"/>
      <c r="CZ684" s="1697"/>
      <c r="DA684" s="1697"/>
      <c r="DB684" s="1697"/>
      <c r="DC684" s="1697"/>
      <c r="DD684" s="1697"/>
      <c r="DE684" s="1697"/>
      <c r="DF684" s="1697"/>
      <c r="DG684" s="1697"/>
      <c r="DH684" s="1697"/>
      <c r="DI684" s="1697"/>
      <c r="DJ684" s="1697"/>
      <c r="DK684" s="1697"/>
      <c r="DL684" s="1697"/>
      <c r="DM684" s="1697"/>
      <c r="DN684" s="1697"/>
      <c r="DO684" s="1697"/>
      <c r="DP684" s="1697"/>
      <c r="DQ684" s="1697"/>
      <c r="DR684" s="1697"/>
      <c r="DS684" s="1697"/>
      <c r="DT684" s="1697"/>
      <c r="DU684" s="1697"/>
      <c r="DV684" s="1697"/>
      <c r="DW684" s="1697"/>
      <c r="DX684" s="1697"/>
      <c r="DY684" s="1697"/>
      <c r="DZ684" s="1697"/>
      <c r="EA684" s="1697"/>
      <c r="EB684" s="1697"/>
      <c r="EC684" s="1697"/>
      <c r="ED684" s="1697"/>
      <c r="EE684" s="1697"/>
      <c r="EF684" s="1697"/>
      <c r="EG684" s="1697"/>
      <c r="EH684" s="1697"/>
      <c r="EI684" s="1697"/>
      <c r="EJ684" s="1697"/>
      <c r="EK684" s="1697"/>
      <c r="EL684" s="1697"/>
      <c r="EM684" s="1697"/>
      <c r="EN684" s="1697"/>
      <c r="EO684" s="1697"/>
      <c r="EP684" s="1697"/>
      <c r="EQ684" s="1697"/>
      <c r="ER684" s="1697"/>
      <c r="ES684" s="1697"/>
      <c r="ET684" s="1697"/>
      <c r="EU684" s="1697"/>
      <c r="EV684" s="1697"/>
      <c r="EW684" s="1697"/>
      <c r="EX684" s="1697"/>
      <c r="EY684" s="1697"/>
      <c r="EZ684" s="1697"/>
      <c r="FA684" s="1697"/>
      <c r="FB684" s="1697"/>
      <c r="FC684" s="1697"/>
      <c r="FD684" s="1697"/>
      <c r="FE684" s="1697"/>
      <c r="FF684" s="1697"/>
      <c r="FG684" s="1697"/>
      <c r="FH684" s="1697"/>
      <c r="FI684" s="1697"/>
    </row>
    <row r="685" spans="1:165">
      <c r="A685" s="1697"/>
      <c r="B685" s="1697"/>
      <c r="C685" s="1697"/>
      <c r="D685" s="1697"/>
      <c r="E685" s="1697"/>
      <c r="F685" s="1697"/>
      <c r="G685" s="1697"/>
      <c r="H685" s="1697"/>
      <c r="I685" s="1697"/>
      <c r="J685" s="1697"/>
      <c r="K685" s="1697"/>
      <c r="L685" s="1697"/>
      <c r="M685" s="1697"/>
      <c r="N685" s="1697"/>
      <c r="O685" s="1697"/>
      <c r="P685" s="1697"/>
      <c r="Q685" s="1697"/>
      <c r="R685" s="1697"/>
      <c r="S685" s="1697"/>
      <c r="T685" s="1697"/>
      <c r="U685" s="1697"/>
      <c r="V685" s="1697"/>
      <c r="W685" s="1697"/>
      <c r="X685" s="1697"/>
      <c r="Y685" s="1697"/>
      <c r="Z685" s="1697"/>
      <c r="AA685" s="1697"/>
      <c r="AB685" s="1697"/>
      <c r="AC685" s="1697"/>
      <c r="AD685" s="1697"/>
      <c r="AE685" s="1697"/>
      <c r="AF685" s="1697"/>
      <c r="AG685" s="1697"/>
      <c r="AH685" s="1697"/>
      <c r="AI685" s="1697"/>
      <c r="AJ685" s="1697"/>
      <c r="AK685" s="1697"/>
      <c r="AL685" s="1697"/>
      <c r="AM685" s="1697"/>
      <c r="AN685" s="1697"/>
      <c r="AO685" s="1697"/>
      <c r="AP685" s="1697"/>
      <c r="AQ685" s="1697"/>
      <c r="AR685" s="1697"/>
      <c r="AS685" s="1697"/>
      <c r="AT685" s="1697"/>
      <c r="AU685" s="1697"/>
      <c r="AV685" s="1697"/>
      <c r="AW685" s="1697"/>
      <c r="AX685" s="1697"/>
      <c r="AY685" s="1697"/>
      <c r="AZ685" s="1697"/>
      <c r="BA685" s="1697"/>
      <c r="BB685" s="1697"/>
      <c r="BC685" s="1697"/>
      <c r="BD685" s="1697"/>
      <c r="BE685" s="1697"/>
      <c r="BF685" s="1697"/>
      <c r="BG685" s="1697"/>
      <c r="BH685" s="1697"/>
      <c r="BI685" s="1697"/>
      <c r="BJ685" s="1697"/>
      <c r="BK685" s="1697"/>
      <c r="BL685" s="1697"/>
      <c r="BM685" s="1697"/>
      <c r="BN685" s="1697"/>
      <c r="BO685" s="1697"/>
      <c r="BP685" s="1697"/>
      <c r="BQ685" s="1697"/>
      <c r="BR685" s="1697"/>
      <c r="BS685" s="1697"/>
      <c r="BT685" s="1697"/>
      <c r="BU685" s="1697"/>
      <c r="BV685" s="1697"/>
      <c r="BW685" s="1697"/>
      <c r="BX685" s="1697"/>
      <c r="BY685" s="1697"/>
      <c r="BZ685" s="1697"/>
      <c r="CA685" s="1697"/>
      <c r="CB685" s="1697"/>
      <c r="CC685" s="1697"/>
      <c r="CD685" s="1697"/>
      <c r="CE685" s="1697"/>
      <c r="CF685" s="1697"/>
      <c r="CG685" s="1697"/>
      <c r="CH685" s="1697"/>
      <c r="CI685" s="1697"/>
      <c r="CJ685" s="1697"/>
      <c r="CK685" s="1697"/>
      <c r="CL685" s="1697"/>
      <c r="CM685" s="1697"/>
      <c r="CN685" s="1697"/>
      <c r="CO685" s="1697"/>
      <c r="CP685" s="1697"/>
      <c r="CQ685" s="1697"/>
      <c r="CR685" s="1697"/>
      <c r="CS685" s="1697"/>
      <c r="CT685" s="1697"/>
      <c r="CU685" s="1697"/>
      <c r="CV685" s="1697"/>
      <c r="CW685" s="1697"/>
      <c r="CX685" s="1697"/>
      <c r="CY685" s="1697"/>
      <c r="CZ685" s="1697"/>
      <c r="DA685" s="1697"/>
      <c r="DB685" s="1697"/>
      <c r="DC685" s="1697"/>
      <c r="DD685" s="1697"/>
      <c r="DE685" s="1697"/>
      <c r="DF685" s="1697"/>
      <c r="DG685" s="1697"/>
      <c r="DH685" s="1697"/>
      <c r="DI685" s="1697"/>
      <c r="DJ685" s="1697"/>
      <c r="DK685" s="1697"/>
      <c r="DL685" s="1697"/>
      <c r="DM685" s="1697"/>
      <c r="DN685" s="1697"/>
      <c r="DO685" s="1697"/>
      <c r="DP685" s="1697"/>
      <c r="DQ685" s="1697"/>
      <c r="DR685" s="1697"/>
      <c r="DS685" s="1697"/>
      <c r="DT685" s="1697"/>
      <c r="DU685" s="1697"/>
      <c r="DV685" s="1697"/>
      <c r="DW685" s="1697"/>
      <c r="DX685" s="1697"/>
      <c r="DY685" s="1697"/>
      <c r="DZ685" s="1697"/>
      <c r="EA685" s="1697"/>
      <c r="EB685" s="1697"/>
      <c r="EC685" s="1697"/>
      <c r="ED685" s="1697"/>
      <c r="EE685" s="1697"/>
      <c r="EF685" s="1697"/>
      <c r="EG685" s="1697"/>
      <c r="EH685" s="1697"/>
      <c r="EI685" s="1697"/>
      <c r="EJ685" s="1697"/>
      <c r="EK685" s="1697"/>
      <c r="EL685" s="1697"/>
      <c r="EM685" s="1697"/>
      <c r="EN685" s="1697"/>
      <c r="EO685" s="1697"/>
      <c r="EP685" s="1697"/>
      <c r="EQ685" s="1697"/>
      <c r="ER685" s="1697"/>
      <c r="ES685" s="1697"/>
      <c r="ET685" s="1697"/>
      <c r="EU685" s="1697"/>
      <c r="EV685" s="1697"/>
      <c r="EW685" s="1697"/>
      <c r="EX685" s="1697"/>
      <c r="EY685" s="1697"/>
      <c r="EZ685" s="1697"/>
      <c r="FA685" s="1697"/>
      <c r="FB685" s="1697"/>
      <c r="FC685" s="1697"/>
      <c r="FD685" s="1697"/>
      <c r="FE685" s="1697"/>
      <c r="FF685" s="1697"/>
      <c r="FG685" s="1697"/>
      <c r="FH685" s="1697"/>
      <c r="FI685" s="1697"/>
    </row>
    <row r="686" spans="1:165">
      <c r="A686" s="1697"/>
      <c r="B686" s="1697"/>
      <c r="C686" s="1697"/>
      <c r="D686" s="1697"/>
      <c r="E686" s="1697"/>
      <c r="F686" s="1697"/>
      <c r="G686" s="1697"/>
      <c r="H686" s="1697"/>
      <c r="I686" s="1697"/>
      <c r="J686" s="1697"/>
      <c r="K686" s="1697"/>
      <c r="L686" s="1697"/>
      <c r="M686" s="1697"/>
      <c r="N686" s="1697"/>
      <c r="O686" s="1697"/>
      <c r="P686" s="1697"/>
      <c r="Q686" s="1697"/>
      <c r="R686" s="1697"/>
      <c r="S686" s="1697"/>
      <c r="T686" s="1697"/>
      <c r="U686" s="1697"/>
      <c r="V686" s="1697"/>
      <c r="W686" s="1697"/>
      <c r="X686" s="1697"/>
      <c r="Y686" s="1697"/>
      <c r="Z686" s="1697"/>
      <c r="AA686" s="1697"/>
      <c r="AB686" s="1697"/>
      <c r="AC686" s="1697"/>
      <c r="AD686" s="1697"/>
      <c r="AE686" s="1697"/>
      <c r="AF686" s="1697"/>
      <c r="AG686" s="1697"/>
      <c r="AH686" s="1697"/>
      <c r="AI686" s="1697"/>
      <c r="AJ686" s="1697"/>
      <c r="AK686" s="1697"/>
      <c r="AL686" s="1697"/>
      <c r="AM686" s="1697"/>
      <c r="AN686" s="1697"/>
      <c r="AO686" s="1697"/>
      <c r="AP686" s="1697"/>
      <c r="AQ686" s="1697"/>
      <c r="AR686" s="1697"/>
      <c r="AS686" s="1697"/>
      <c r="AT686" s="1697"/>
      <c r="AU686" s="1697"/>
      <c r="AV686" s="1697"/>
      <c r="AW686" s="1697"/>
      <c r="AX686" s="1697"/>
      <c r="AY686" s="1697"/>
      <c r="AZ686" s="1697"/>
      <c r="BA686" s="1697"/>
      <c r="BB686" s="1697"/>
      <c r="BC686" s="1697"/>
      <c r="BD686" s="1697"/>
      <c r="BE686" s="1697"/>
      <c r="BF686" s="1697"/>
      <c r="BG686" s="1697"/>
      <c r="BH686" s="1697"/>
      <c r="BI686" s="1697"/>
      <c r="BJ686" s="1697"/>
      <c r="BK686" s="1697"/>
      <c r="BL686" s="1697"/>
      <c r="BM686" s="1697"/>
      <c r="BN686" s="1697"/>
      <c r="BO686" s="1697"/>
      <c r="BP686" s="1697"/>
      <c r="BQ686" s="1697"/>
      <c r="BR686" s="1697"/>
      <c r="BS686" s="1697"/>
      <c r="BT686" s="1697"/>
      <c r="BU686" s="1697"/>
      <c r="BV686" s="1697"/>
      <c r="BW686" s="1697"/>
      <c r="BX686" s="1697"/>
      <c r="BY686" s="1697"/>
      <c r="BZ686" s="1697"/>
      <c r="CA686" s="1697"/>
      <c r="CB686" s="1697"/>
      <c r="CC686" s="1697"/>
      <c r="CD686" s="1697"/>
      <c r="CE686" s="1697"/>
      <c r="CF686" s="1697"/>
      <c r="CG686" s="1697"/>
      <c r="CH686" s="1697"/>
      <c r="CI686" s="1697"/>
      <c r="CJ686" s="1697"/>
      <c r="CK686" s="1697"/>
      <c r="CL686" s="1697"/>
      <c r="CM686" s="1697"/>
      <c r="CN686" s="1697"/>
      <c r="CO686" s="1697"/>
      <c r="CP686" s="1697"/>
      <c r="CQ686" s="1697"/>
      <c r="CR686" s="1697"/>
      <c r="CS686" s="1697"/>
      <c r="CT686" s="1697"/>
      <c r="CU686" s="1697"/>
      <c r="CV686" s="1697"/>
      <c r="CW686" s="1697"/>
      <c r="CX686" s="1697"/>
      <c r="CY686" s="1697"/>
      <c r="CZ686" s="1697"/>
      <c r="DA686" s="1697"/>
      <c r="DB686" s="1697"/>
      <c r="DC686" s="1697"/>
      <c r="DD686" s="1697"/>
      <c r="DE686" s="1697"/>
      <c r="DF686" s="1697"/>
      <c r="DG686" s="1697"/>
      <c r="DH686" s="1697"/>
      <c r="DI686" s="1697"/>
      <c r="DJ686" s="1697"/>
      <c r="DK686" s="1697"/>
      <c r="DL686" s="1697"/>
      <c r="DM686" s="1697"/>
      <c r="DN686" s="1697"/>
      <c r="DO686" s="1697"/>
      <c r="DP686" s="1697"/>
      <c r="DQ686" s="1697"/>
      <c r="DR686" s="1697"/>
      <c r="DS686" s="1697"/>
      <c r="DT686" s="1697"/>
      <c r="DU686" s="1697"/>
      <c r="DV686" s="1697"/>
      <c r="DW686" s="1697"/>
      <c r="DX686" s="1697"/>
      <c r="DY686" s="1697"/>
      <c r="DZ686" s="1697"/>
      <c r="EA686" s="1697"/>
      <c r="EB686" s="1697"/>
      <c r="EC686" s="1697"/>
      <c r="ED686" s="1697"/>
      <c r="EE686" s="1697"/>
      <c r="EF686" s="1697"/>
      <c r="EG686" s="1697"/>
      <c r="EH686" s="1697"/>
      <c r="EI686" s="1697"/>
      <c r="EJ686" s="1697"/>
      <c r="EK686" s="1697"/>
      <c r="EL686" s="1697"/>
      <c r="EM686" s="1697"/>
      <c r="EN686" s="1697"/>
      <c r="EO686" s="1697"/>
      <c r="EP686" s="1697"/>
      <c r="EQ686" s="1697"/>
      <c r="ER686" s="1697"/>
      <c r="ES686" s="1697"/>
      <c r="ET686" s="1697"/>
      <c r="EU686" s="1697"/>
      <c r="EV686" s="1697"/>
      <c r="EW686" s="1697"/>
      <c r="EX686" s="1697"/>
      <c r="EY686" s="1697"/>
      <c r="EZ686" s="1697"/>
      <c r="FA686" s="1697"/>
      <c r="FB686" s="1697"/>
      <c r="FC686" s="1697"/>
      <c r="FD686" s="1697"/>
      <c r="FE686" s="1697"/>
      <c r="FF686" s="1697"/>
      <c r="FG686" s="1697"/>
      <c r="FH686" s="1697"/>
      <c r="FI686" s="1697"/>
    </row>
    <row r="687" spans="1:165">
      <c r="A687" s="1697"/>
      <c r="B687" s="1697"/>
      <c r="C687" s="1697"/>
      <c r="D687" s="1697"/>
      <c r="E687" s="1697"/>
      <c r="F687" s="1697"/>
      <c r="G687" s="1697"/>
      <c r="H687" s="1697"/>
      <c r="I687" s="1697"/>
      <c r="J687" s="1697"/>
      <c r="K687" s="1697"/>
      <c r="L687" s="1697"/>
      <c r="M687" s="1697"/>
      <c r="N687" s="1697"/>
      <c r="O687" s="1697"/>
      <c r="P687" s="1697"/>
      <c r="Q687" s="1697"/>
      <c r="R687" s="1697"/>
      <c r="S687" s="1697"/>
      <c r="T687" s="1697"/>
      <c r="U687" s="1697"/>
      <c r="V687" s="1697"/>
      <c r="W687" s="1697"/>
      <c r="X687" s="1697"/>
      <c r="Y687" s="1697"/>
      <c r="Z687" s="1697"/>
      <c r="AA687" s="1697"/>
      <c r="AB687" s="1697"/>
      <c r="AC687" s="1697"/>
      <c r="AD687" s="1697"/>
      <c r="AE687" s="1697"/>
      <c r="AF687" s="1697"/>
      <c r="AG687" s="1697"/>
      <c r="AH687" s="1697"/>
      <c r="AI687" s="1697"/>
      <c r="AJ687" s="1697"/>
      <c r="AK687" s="1697"/>
      <c r="AL687" s="1697"/>
      <c r="AM687" s="1697"/>
      <c r="AN687" s="1697"/>
      <c r="AO687" s="1697"/>
      <c r="AP687" s="1697"/>
      <c r="AQ687" s="1697"/>
      <c r="AR687" s="1697"/>
      <c r="AS687" s="1697"/>
      <c r="AT687" s="1697"/>
      <c r="AU687" s="1697"/>
      <c r="AV687" s="1697"/>
      <c r="AW687" s="1697"/>
      <c r="AX687" s="1697"/>
      <c r="AY687" s="1697"/>
      <c r="AZ687" s="1697"/>
      <c r="BA687" s="1697"/>
      <c r="BB687" s="1697"/>
      <c r="BC687" s="1697"/>
      <c r="BD687" s="1697"/>
      <c r="BE687" s="1697"/>
      <c r="BF687" s="1697"/>
      <c r="BG687" s="1697"/>
      <c r="BH687" s="1697"/>
      <c r="BI687" s="1697"/>
      <c r="BJ687" s="1697"/>
      <c r="BK687" s="1697"/>
      <c r="BL687" s="1697"/>
      <c r="BM687" s="1697"/>
      <c r="BN687" s="1697"/>
      <c r="BO687" s="1697"/>
      <c r="BP687" s="1697"/>
      <c r="BQ687" s="1697"/>
      <c r="BR687" s="1697"/>
      <c r="BS687" s="1697"/>
      <c r="BT687" s="1697"/>
      <c r="BU687" s="1697"/>
      <c r="BV687" s="1697"/>
      <c r="BW687" s="1697"/>
      <c r="BX687" s="1697"/>
      <c r="BY687" s="1697"/>
      <c r="BZ687" s="1697"/>
      <c r="CA687" s="1697"/>
      <c r="CB687" s="1697"/>
      <c r="CC687" s="1697"/>
      <c r="CD687" s="1697"/>
      <c r="CE687" s="1697"/>
      <c r="CF687" s="1697"/>
      <c r="CG687" s="1697"/>
      <c r="CH687" s="1697"/>
      <c r="CI687" s="1697"/>
      <c r="CJ687" s="1697"/>
      <c r="CK687" s="1697"/>
      <c r="CL687" s="1697"/>
      <c r="CM687" s="1697"/>
      <c r="CN687" s="1697"/>
      <c r="CO687" s="1697"/>
      <c r="CP687" s="1697"/>
      <c r="CQ687" s="1697"/>
      <c r="CR687" s="1697"/>
      <c r="CS687" s="1697"/>
      <c r="CT687" s="1697"/>
      <c r="CU687" s="1697"/>
      <c r="CV687" s="1697"/>
      <c r="CW687" s="1697"/>
      <c r="CX687" s="1697"/>
      <c r="CY687" s="1697"/>
      <c r="CZ687" s="1697"/>
      <c r="DA687" s="1697"/>
      <c r="DB687" s="1697"/>
      <c r="DC687" s="1697"/>
      <c r="DD687" s="1697"/>
      <c r="DE687" s="1697"/>
      <c r="DF687" s="1697"/>
      <c r="DG687" s="1697"/>
      <c r="DH687" s="1697"/>
      <c r="DI687" s="1697"/>
      <c r="DJ687" s="1697"/>
      <c r="DK687" s="1697"/>
      <c r="DL687" s="1697"/>
      <c r="DM687" s="1697"/>
      <c r="DN687" s="1697"/>
      <c r="DO687" s="1697"/>
      <c r="DP687" s="1697"/>
      <c r="DQ687" s="1697"/>
      <c r="DR687" s="1697"/>
      <c r="DS687" s="1697"/>
      <c r="DT687" s="1697"/>
      <c r="DU687" s="1697"/>
      <c r="DV687" s="1697"/>
      <c r="DW687" s="1697"/>
      <c r="DX687" s="1697"/>
      <c r="DY687" s="1697"/>
      <c r="DZ687" s="1697"/>
      <c r="EA687" s="1697"/>
      <c r="EB687" s="1697"/>
      <c r="EC687" s="1697"/>
      <c r="ED687" s="1697"/>
      <c r="EE687" s="1697"/>
      <c r="EF687" s="1697"/>
      <c r="EG687" s="1697"/>
      <c r="EH687" s="1697"/>
      <c r="EI687" s="1697"/>
      <c r="EJ687" s="1697"/>
      <c r="EK687" s="1697"/>
      <c r="EL687" s="1697"/>
      <c r="EM687" s="1697"/>
      <c r="EN687" s="1697"/>
      <c r="EO687" s="1697"/>
      <c r="EP687" s="1697"/>
      <c r="EQ687" s="1697"/>
      <c r="ER687" s="1697"/>
      <c r="ES687" s="1697"/>
      <c r="ET687" s="1697"/>
      <c r="EU687" s="1697"/>
      <c r="EV687" s="1697"/>
      <c r="EW687" s="1697"/>
      <c r="EX687" s="1697"/>
      <c r="EY687" s="1697"/>
      <c r="EZ687" s="1697"/>
      <c r="FA687" s="1697"/>
      <c r="FB687" s="1697"/>
      <c r="FC687" s="1697"/>
      <c r="FD687" s="1697"/>
      <c r="FE687" s="1697"/>
      <c r="FF687" s="1697"/>
      <c r="FG687" s="1697"/>
      <c r="FH687" s="1697"/>
      <c r="FI687" s="1697"/>
    </row>
    <row r="688" spans="1:165">
      <c r="A688" s="1697"/>
      <c r="B688" s="1697"/>
      <c r="C688" s="1697"/>
      <c r="D688" s="1697"/>
      <c r="E688" s="1697"/>
      <c r="F688" s="1697"/>
      <c r="G688" s="1697"/>
      <c r="H688" s="1697"/>
      <c r="I688" s="1697"/>
      <c r="J688" s="1697"/>
      <c r="K688" s="1697"/>
      <c r="L688" s="1697"/>
      <c r="M688" s="1697"/>
      <c r="N688" s="1697"/>
      <c r="O688" s="1697"/>
      <c r="P688" s="1697"/>
      <c r="Q688" s="1697"/>
      <c r="R688" s="1697"/>
      <c r="S688" s="1697"/>
      <c r="T688" s="1697"/>
      <c r="U688" s="1697"/>
      <c r="V688" s="1697"/>
      <c r="W688" s="1697"/>
      <c r="X688" s="1697"/>
      <c r="Y688" s="1697"/>
      <c r="Z688" s="1697"/>
      <c r="AA688" s="1697"/>
      <c r="AB688" s="1697"/>
      <c r="AC688" s="1697"/>
      <c r="AD688" s="1697"/>
      <c r="AE688" s="1697"/>
      <c r="AF688" s="1697"/>
      <c r="AG688" s="1697"/>
      <c r="AH688" s="1697"/>
      <c r="AI688" s="1697"/>
      <c r="AJ688" s="1697"/>
      <c r="AK688" s="1697"/>
      <c r="AL688" s="1697"/>
      <c r="AM688" s="1697"/>
      <c r="AN688" s="1697"/>
      <c r="AO688" s="1697"/>
      <c r="AP688" s="1697"/>
      <c r="AQ688" s="1697"/>
      <c r="AR688" s="1697"/>
      <c r="AS688" s="1697"/>
      <c r="AT688" s="1697"/>
      <c r="AU688" s="1697"/>
      <c r="AV688" s="1697"/>
      <c r="AW688" s="1697"/>
      <c r="AX688" s="1697"/>
      <c r="AY688" s="1697"/>
      <c r="AZ688" s="1697"/>
      <c r="BA688" s="1697"/>
      <c r="BB688" s="1697"/>
      <c r="BC688" s="1697"/>
      <c r="BD688" s="1697"/>
      <c r="BE688" s="1697"/>
      <c r="BF688" s="1697"/>
      <c r="BG688" s="1697"/>
      <c r="BH688" s="1697"/>
      <c r="BI688" s="1697"/>
      <c r="BJ688" s="1697"/>
      <c r="BK688" s="1697"/>
      <c r="BL688" s="1697"/>
      <c r="BM688" s="1697"/>
      <c r="BN688" s="1697"/>
      <c r="BO688" s="1697"/>
      <c r="BP688" s="1697"/>
      <c r="BQ688" s="1697"/>
      <c r="BR688" s="1697"/>
      <c r="BS688" s="1697"/>
      <c r="BT688" s="1697"/>
      <c r="BU688" s="1697"/>
      <c r="BV688" s="1697"/>
      <c r="BW688" s="1697"/>
      <c r="BX688" s="1697"/>
      <c r="BY688" s="1697"/>
      <c r="BZ688" s="1697"/>
      <c r="CA688" s="1697"/>
      <c r="CB688" s="1697"/>
      <c r="CC688" s="1697"/>
      <c r="CD688" s="1697"/>
      <c r="CE688" s="1697"/>
      <c r="CF688" s="1697"/>
      <c r="CG688" s="1697"/>
      <c r="CH688" s="1697"/>
      <c r="CI688" s="1697"/>
      <c r="CJ688" s="1697"/>
      <c r="CK688" s="1697"/>
      <c r="CL688" s="1697"/>
      <c r="CM688" s="1697"/>
      <c r="CN688" s="1697"/>
      <c r="CO688" s="1697"/>
      <c r="CP688" s="1697"/>
      <c r="CQ688" s="1697"/>
      <c r="CR688" s="1697"/>
      <c r="CS688" s="1697"/>
      <c r="CT688" s="1697"/>
      <c r="CU688" s="1697"/>
      <c r="CV688" s="1697"/>
      <c r="CW688" s="1697"/>
      <c r="CX688" s="1697"/>
      <c r="CY688" s="1697"/>
      <c r="CZ688" s="1697"/>
      <c r="DA688" s="1697"/>
      <c r="DB688" s="1697"/>
      <c r="DC688" s="1697"/>
      <c r="DD688" s="1697"/>
      <c r="DE688" s="1697"/>
      <c r="DF688" s="1697"/>
      <c r="DG688" s="1697"/>
      <c r="DH688" s="1697"/>
      <c r="DI688" s="1697"/>
      <c r="DJ688" s="1697"/>
      <c r="DK688" s="1697"/>
      <c r="DL688" s="1697"/>
      <c r="DM688" s="1697"/>
      <c r="DN688" s="1697"/>
      <c r="DO688" s="1697"/>
      <c r="DP688" s="1697"/>
      <c r="DQ688" s="1697"/>
      <c r="DR688" s="1697"/>
      <c r="DS688" s="1697"/>
      <c r="DT688" s="1697"/>
      <c r="DU688" s="1697"/>
      <c r="DV688" s="1697"/>
      <c r="DW688" s="1697"/>
      <c r="DX688" s="1697"/>
      <c r="DY688" s="1697"/>
      <c r="DZ688" s="1697"/>
      <c r="EA688" s="1697"/>
      <c r="EB688" s="1697"/>
      <c r="EC688" s="1697"/>
      <c r="ED688" s="1697"/>
      <c r="EE688" s="1697"/>
      <c r="EF688" s="1697"/>
      <c r="EG688" s="1697"/>
      <c r="EH688" s="1697"/>
      <c r="EI688" s="1697"/>
      <c r="EJ688" s="1697"/>
      <c r="EK688" s="1697"/>
      <c r="EL688" s="1697"/>
      <c r="EM688" s="1697"/>
      <c r="EN688" s="1697"/>
      <c r="EO688" s="1697"/>
      <c r="EP688" s="1697"/>
      <c r="EQ688" s="1697"/>
      <c r="ER688" s="1697"/>
      <c r="ES688" s="1697"/>
      <c r="ET688" s="1697"/>
      <c r="EU688" s="1697"/>
      <c r="EV688" s="1697"/>
      <c r="EW688" s="1697"/>
      <c r="EX688" s="1697"/>
      <c r="EY688" s="1697"/>
      <c r="EZ688" s="1697"/>
      <c r="FA688" s="1697"/>
      <c r="FB688" s="1697"/>
      <c r="FC688" s="1697"/>
      <c r="FD688" s="1697"/>
      <c r="FE688" s="1697"/>
      <c r="FF688" s="1697"/>
      <c r="FG688" s="1697"/>
      <c r="FH688" s="1697"/>
      <c r="FI688" s="1697"/>
    </row>
    <row r="689" spans="1:165">
      <c r="A689" s="1697"/>
      <c r="B689" s="1697"/>
      <c r="C689" s="1697"/>
      <c r="D689" s="1697"/>
      <c r="E689" s="1697"/>
      <c r="F689" s="1697"/>
      <c r="G689" s="1697"/>
      <c r="H689" s="1697"/>
      <c r="I689" s="1697"/>
      <c r="J689" s="1697"/>
      <c r="K689" s="1697"/>
      <c r="L689" s="1697"/>
      <c r="M689" s="1697"/>
      <c r="N689" s="1697"/>
      <c r="O689" s="1697"/>
      <c r="P689" s="1697"/>
      <c r="Q689" s="1697"/>
      <c r="R689" s="1697"/>
      <c r="S689" s="1697"/>
      <c r="T689" s="1697"/>
      <c r="U689" s="1697"/>
      <c r="V689" s="1697"/>
      <c r="W689" s="1697"/>
      <c r="X689" s="1697"/>
      <c r="Y689" s="1697"/>
      <c r="Z689" s="1697"/>
      <c r="AA689" s="1697"/>
      <c r="AB689" s="1697"/>
      <c r="AC689" s="1697"/>
      <c r="AD689" s="1697"/>
      <c r="AE689" s="1697"/>
      <c r="AF689" s="1697"/>
      <c r="AG689" s="1697"/>
      <c r="AH689" s="1697"/>
      <c r="AI689" s="1697"/>
      <c r="AJ689" s="1697"/>
      <c r="AK689" s="1697"/>
      <c r="AL689" s="1697"/>
      <c r="AM689" s="1697"/>
      <c r="AN689" s="1697"/>
      <c r="AO689" s="1697"/>
      <c r="AP689" s="1697"/>
      <c r="AQ689" s="1697"/>
      <c r="AR689" s="1697"/>
      <c r="AS689" s="1697"/>
      <c r="AT689" s="1697"/>
      <c r="AU689" s="1697"/>
      <c r="AV689" s="1697"/>
      <c r="AW689" s="1697"/>
      <c r="AX689" s="1697"/>
      <c r="AY689" s="1697"/>
      <c r="AZ689" s="1697"/>
      <c r="BA689" s="1697"/>
      <c r="BB689" s="1697"/>
      <c r="BC689" s="1697"/>
      <c r="BD689" s="1697"/>
      <c r="BE689" s="1697"/>
      <c r="BF689" s="1697"/>
      <c r="BG689" s="1697"/>
      <c r="BH689" s="1697"/>
      <c r="BI689" s="1697"/>
      <c r="BJ689" s="1697"/>
      <c r="BK689" s="1697"/>
      <c r="BL689" s="1697"/>
      <c r="BM689" s="1697"/>
      <c r="BN689" s="1697"/>
      <c r="BO689" s="1697"/>
      <c r="BP689" s="1697"/>
      <c r="BQ689" s="1697"/>
      <c r="BR689" s="1697"/>
      <c r="BS689" s="1697"/>
      <c r="BT689" s="1697"/>
      <c r="BU689" s="1697"/>
      <c r="BV689" s="1697"/>
      <c r="BW689" s="1697"/>
      <c r="BX689" s="1697"/>
      <c r="BY689" s="1697"/>
      <c r="BZ689" s="1697"/>
      <c r="CA689" s="1697"/>
      <c r="CB689" s="1697"/>
      <c r="CC689" s="1697"/>
      <c r="CD689" s="1697"/>
      <c r="CE689" s="1697"/>
      <c r="CF689" s="1697"/>
      <c r="CG689" s="1697"/>
      <c r="CH689" s="1697"/>
      <c r="CI689" s="1697"/>
      <c r="CJ689" s="1697"/>
      <c r="CK689" s="1697"/>
      <c r="CL689" s="1697"/>
      <c r="CM689" s="1697"/>
      <c r="CN689" s="1697"/>
      <c r="CO689" s="1697"/>
      <c r="CP689" s="1697"/>
      <c r="CQ689" s="1697"/>
      <c r="CR689" s="1697"/>
      <c r="CS689" s="1697"/>
      <c r="CT689" s="1697"/>
      <c r="CU689" s="1697"/>
      <c r="CV689" s="1697"/>
      <c r="CW689" s="1697"/>
      <c r="CX689" s="1697"/>
      <c r="CY689" s="1697"/>
      <c r="CZ689" s="1697"/>
      <c r="DA689" s="1697"/>
      <c r="DB689" s="1697"/>
      <c r="DC689" s="1697"/>
      <c r="DD689" s="1697"/>
      <c r="DE689" s="1697"/>
      <c r="DF689" s="1697"/>
      <c r="DG689" s="1697"/>
      <c r="DH689" s="1697"/>
      <c r="DI689" s="1697"/>
      <c r="DJ689" s="1697"/>
      <c r="DK689" s="1697"/>
      <c r="DL689" s="1697"/>
      <c r="DM689" s="1697"/>
      <c r="DN689" s="1697"/>
      <c r="DO689" s="1697"/>
      <c r="DP689" s="1697"/>
      <c r="DQ689" s="1697"/>
      <c r="DR689" s="1697"/>
      <c r="DS689" s="1697"/>
      <c r="DT689" s="1697"/>
      <c r="DU689" s="1697"/>
      <c r="DV689" s="1697"/>
      <c r="DW689" s="1697"/>
      <c r="DX689" s="1697"/>
      <c r="DY689" s="1697"/>
      <c r="DZ689" s="1697"/>
      <c r="EA689" s="1697"/>
      <c r="EB689" s="1697"/>
      <c r="EC689" s="1697"/>
      <c r="ED689" s="1697"/>
      <c r="EE689" s="1697"/>
      <c r="EF689" s="1697"/>
      <c r="EG689" s="1697"/>
      <c r="EH689" s="1697"/>
      <c r="EI689" s="1697"/>
      <c r="EJ689" s="1697"/>
      <c r="EK689" s="1697"/>
      <c r="EL689" s="1697"/>
      <c r="EM689" s="1697"/>
      <c r="EN689" s="1697"/>
      <c r="EO689" s="1697"/>
      <c r="EP689" s="1697"/>
      <c r="EQ689" s="1697"/>
      <c r="ER689" s="1697"/>
      <c r="ES689" s="1697"/>
      <c r="ET689" s="1697"/>
      <c r="EU689" s="1697"/>
      <c r="EV689" s="1697"/>
      <c r="EW689" s="1697"/>
      <c r="EX689" s="1697"/>
      <c r="EY689" s="1697"/>
      <c r="EZ689" s="1697"/>
      <c r="FA689" s="1697"/>
      <c r="FB689" s="1697"/>
      <c r="FC689" s="1697"/>
      <c r="FD689" s="1697"/>
      <c r="FE689" s="1697"/>
      <c r="FF689" s="1697"/>
      <c r="FG689" s="1697"/>
      <c r="FH689" s="1697"/>
      <c r="FI689" s="1697"/>
    </row>
    <row r="690" spans="1:165">
      <c r="A690" s="1697"/>
      <c r="B690" s="1697"/>
      <c r="C690" s="1697"/>
      <c r="D690" s="1697"/>
      <c r="E690" s="1697"/>
      <c r="F690" s="1697"/>
      <c r="G690" s="1697"/>
      <c r="H690" s="1697"/>
      <c r="I690" s="1697"/>
      <c r="J690" s="1697"/>
      <c r="K690" s="1697"/>
      <c r="L690" s="1697"/>
      <c r="M690" s="1697"/>
      <c r="N690" s="1697"/>
      <c r="O690" s="1697"/>
      <c r="P690" s="1697"/>
      <c r="Q690" s="1697"/>
      <c r="R690" s="1697"/>
      <c r="S690" s="1697"/>
      <c r="T690" s="1697"/>
      <c r="U690" s="1697"/>
      <c r="V690" s="1697"/>
      <c r="W690" s="1697"/>
      <c r="X690" s="1697"/>
      <c r="Y690" s="1697"/>
      <c r="Z690" s="1697"/>
      <c r="AA690" s="1697"/>
      <c r="AB690" s="1697"/>
      <c r="AC690" s="1697"/>
      <c r="AD690" s="1697"/>
      <c r="AE690" s="1697"/>
      <c r="AF690" s="1697"/>
      <c r="AG690" s="1697"/>
      <c r="AH690" s="1697"/>
      <c r="AI690" s="1697"/>
      <c r="AJ690" s="1697"/>
      <c r="AK690" s="1697"/>
      <c r="AL690" s="1697"/>
      <c r="AM690" s="1697"/>
      <c r="AN690" s="1697"/>
      <c r="AO690" s="1697"/>
      <c r="AP690" s="1697"/>
      <c r="AQ690" s="1697"/>
      <c r="AR690" s="1697"/>
      <c r="AS690" s="1697"/>
      <c r="AT690" s="1697"/>
      <c r="AU690" s="1697"/>
      <c r="AV690" s="1697"/>
      <c r="AW690" s="1697"/>
      <c r="AX690" s="1697"/>
      <c r="AY690" s="1697"/>
      <c r="AZ690" s="1697"/>
      <c r="BA690" s="1697"/>
      <c r="BB690" s="1697"/>
      <c r="BC690" s="1697"/>
      <c r="BD690" s="1697"/>
      <c r="BE690" s="1697"/>
      <c r="BF690" s="1697"/>
      <c r="BG690" s="1697"/>
      <c r="BH690" s="1697"/>
      <c r="BI690" s="1697"/>
      <c r="BJ690" s="1697"/>
      <c r="BK690" s="1697"/>
      <c r="BL690" s="1697"/>
      <c r="BM690" s="1697"/>
      <c r="BN690" s="1697"/>
      <c r="BO690" s="1697"/>
      <c r="BP690" s="1697"/>
      <c r="BQ690" s="1697"/>
      <c r="BR690" s="1697"/>
      <c r="BS690" s="1697"/>
      <c r="BT690" s="1697"/>
      <c r="BU690" s="1697"/>
      <c r="BV690" s="1697"/>
      <c r="BW690" s="1697"/>
      <c r="BX690" s="1697"/>
      <c r="BY690" s="1697"/>
      <c r="BZ690" s="1697"/>
      <c r="CA690" s="1697"/>
      <c r="CB690" s="1697"/>
      <c r="CC690" s="1697"/>
      <c r="CD690" s="1697"/>
      <c r="CE690" s="1697"/>
      <c r="CF690" s="1697"/>
      <c r="CG690" s="1697"/>
      <c r="CH690" s="1697"/>
      <c r="CI690" s="1697"/>
      <c r="CJ690" s="1697"/>
      <c r="CK690" s="1697"/>
      <c r="CL690" s="1697"/>
      <c r="CM690" s="1697"/>
      <c r="CN690" s="1697"/>
      <c r="CO690" s="1697"/>
      <c r="CP690" s="1697"/>
      <c r="CQ690" s="1697"/>
      <c r="CR690" s="1697"/>
      <c r="CS690" s="1697"/>
      <c r="CT690" s="1697"/>
      <c r="CU690" s="1697"/>
      <c r="CV690" s="1697"/>
      <c r="CW690" s="1697"/>
      <c r="CX690" s="1697"/>
      <c r="CY690" s="1697"/>
      <c r="CZ690" s="1697"/>
      <c r="DA690" s="1697"/>
      <c r="DB690" s="1697"/>
      <c r="DC690" s="1697"/>
      <c r="DD690" s="1697"/>
      <c r="DE690" s="1697"/>
      <c r="DF690" s="1697"/>
      <c r="DG690" s="1697"/>
      <c r="DH690" s="1697"/>
      <c r="DI690" s="1697"/>
      <c r="DJ690" s="1697"/>
      <c r="DK690" s="1697"/>
      <c r="DL690" s="1697"/>
      <c r="DM690" s="1697"/>
      <c r="DN690" s="1697"/>
      <c r="DO690" s="1697"/>
      <c r="DP690" s="1697"/>
      <c r="DQ690" s="1697"/>
      <c r="DR690" s="1697"/>
      <c r="DS690" s="1697"/>
      <c r="DT690" s="1697"/>
      <c r="DU690" s="1697"/>
      <c r="DV690" s="1697"/>
      <c r="DW690" s="1697"/>
      <c r="DX690" s="1697"/>
      <c r="DY690" s="1697"/>
      <c r="DZ690" s="1697"/>
      <c r="EA690" s="1697"/>
      <c r="EB690" s="1697"/>
      <c r="EC690" s="1697"/>
      <c r="ED690" s="1697"/>
      <c r="EE690" s="1697"/>
      <c r="EF690" s="1697"/>
      <c r="EG690" s="1697"/>
      <c r="EH690" s="1697"/>
      <c r="EI690" s="1697"/>
      <c r="EJ690" s="1697"/>
      <c r="EK690" s="1697"/>
      <c r="EL690" s="1697"/>
      <c r="EM690" s="1697"/>
      <c r="EN690" s="1697"/>
      <c r="EO690" s="1697"/>
      <c r="EP690" s="1697"/>
      <c r="EQ690" s="1697"/>
      <c r="ER690" s="1697"/>
      <c r="ES690" s="1697"/>
      <c r="ET690" s="1697"/>
      <c r="EU690" s="1697"/>
      <c r="EV690" s="1697"/>
      <c r="EW690" s="1697"/>
      <c r="EX690" s="1697"/>
      <c r="EY690" s="1697"/>
      <c r="EZ690" s="1697"/>
      <c r="FA690" s="1697"/>
      <c r="FB690" s="1697"/>
      <c r="FC690" s="1697"/>
      <c r="FD690" s="1697"/>
      <c r="FE690" s="1697"/>
      <c r="FF690" s="1697"/>
      <c r="FG690" s="1697"/>
      <c r="FH690" s="1697"/>
      <c r="FI690" s="1697"/>
    </row>
    <row r="691" spans="1:165">
      <c r="A691" s="1697"/>
      <c r="B691" s="1697"/>
      <c r="C691" s="1697"/>
      <c r="D691" s="1697"/>
      <c r="E691" s="1697"/>
      <c r="F691" s="1697"/>
      <c r="G691" s="1697"/>
      <c r="H691" s="1697"/>
      <c r="I691" s="1697"/>
      <c r="J691" s="1697"/>
      <c r="K691" s="1697"/>
      <c r="L691" s="1697"/>
      <c r="M691" s="1697"/>
      <c r="N691" s="1697"/>
      <c r="O691" s="1697"/>
      <c r="P691" s="1697"/>
      <c r="Q691" s="1697"/>
      <c r="R691" s="1697"/>
      <c r="S691" s="1697"/>
      <c r="T691" s="1697"/>
      <c r="U691" s="1697"/>
      <c r="V691" s="1697"/>
      <c r="W691" s="1697"/>
      <c r="X691" s="1697"/>
      <c r="Y691" s="1697"/>
      <c r="Z691" s="1697"/>
      <c r="AA691" s="1697"/>
      <c r="AB691" s="1697"/>
      <c r="AC691" s="1697"/>
      <c r="AD691" s="1697"/>
      <c r="AE691" s="1697"/>
      <c r="AF691" s="1697"/>
      <c r="AG691" s="1697"/>
      <c r="AH691" s="1697"/>
      <c r="AI691" s="1697"/>
      <c r="AJ691" s="1697"/>
      <c r="AK691" s="1697"/>
      <c r="AL691" s="1697"/>
      <c r="AM691" s="1697"/>
      <c r="AN691" s="1697"/>
      <c r="AO691" s="1697"/>
      <c r="AP691" s="1697"/>
      <c r="AQ691" s="1697"/>
      <c r="AR691" s="1697"/>
      <c r="AS691" s="1697"/>
      <c r="AT691" s="1697"/>
      <c r="AU691" s="1697"/>
      <c r="AV691" s="1697"/>
      <c r="AW691" s="1697"/>
      <c r="AX691" s="1697"/>
      <c r="AY691" s="1697"/>
      <c r="AZ691" s="1697"/>
      <c r="BA691" s="1697"/>
      <c r="BB691" s="1697"/>
      <c r="BC691" s="1697"/>
      <c r="BD691" s="1697"/>
      <c r="BE691" s="1697"/>
      <c r="BF691" s="1697"/>
      <c r="BG691" s="1697"/>
      <c r="BH691" s="1697"/>
      <c r="BI691" s="1697"/>
      <c r="BJ691" s="1697"/>
      <c r="BK691" s="1697"/>
      <c r="BL691" s="1697"/>
      <c r="BM691" s="1697"/>
      <c r="BN691" s="1697"/>
      <c r="BO691" s="1697"/>
      <c r="BP691" s="1697"/>
      <c r="BQ691" s="1697"/>
      <c r="BR691" s="1697"/>
      <c r="BS691" s="1697"/>
      <c r="BT691" s="1697"/>
      <c r="BU691" s="1697"/>
      <c r="BV691" s="1697"/>
      <c r="BW691" s="1697"/>
      <c r="BX691" s="1697"/>
      <c r="BY691" s="1697"/>
      <c r="BZ691" s="1697"/>
      <c r="CA691" s="1697"/>
      <c r="CB691" s="1697"/>
      <c r="CC691" s="1697"/>
      <c r="CD691" s="1697"/>
      <c r="CE691" s="1697"/>
      <c r="CF691" s="1697"/>
      <c r="CG691" s="1697"/>
      <c r="CH691" s="1697"/>
      <c r="CI691" s="1697"/>
      <c r="CJ691" s="1697"/>
      <c r="CK691" s="1697"/>
      <c r="CL691" s="1697"/>
      <c r="CM691" s="1697"/>
      <c r="CN691" s="1697"/>
      <c r="CO691" s="1697"/>
      <c r="CP691" s="1697"/>
      <c r="CQ691" s="1697"/>
      <c r="CR691" s="1697"/>
      <c r="CS691" s="1697"/>
      <c r="CT691" s="1697"/>
      <c r="CU691" s="1697"/>
      <c r="CV691" s="1697"/>
      <c r="CW691" s="1697"/>
      <c r="CX691" s="1697"/>
      <c r="CY691" s="1697"/>
      <c r="CZ691" s="1697"/>
      <c r="DA691" s="1697"/>
      <c r="DB691" s="1697"/>
      <c r="DC691" s="1697"/>
      <c r="DD691" s="1697"/>
      <c r="DE691" s="1697"/>
      <c r="DF691" s="1697"/>
      <c r="DG691" s="1697"/>
      <c r="DH691" s="1697"/>
      <c r="DI691" s="1697"/>
      <c r="DJ691" s="1697"/>
      <c r="DK691" s="1697"/>
      <c r="DL691" s="1697"/>
      <c r="DM691" s="1697"/>
      <c r="DN691" s="1697"/>
      <c r="DO691" s="1697"/>
      <c r="DP691" s="1697"/>
      <c r="DQ691" s="1697"/>
      <c r="DR691" s="1697"/>
      <c r="DS691" s="1697"/>
      <c r="DT691" s="1697"/>
      <c r="DU691" s="1697"/>
      <c r="DV691" s="1697"/>
      <c r="DW691" s="1697"/>
      <c r="DX691" s="1697"/>
      <c r="DY691" s="1697"/>
      <c r="DZ691" s="1697"/>
      <c r="EA691" s="1697"/>
      <c r="EB691" s="1697"/>
      <c r="EC691" s="1697"/>
      <c r="ED691" s="1697"/>
      <c r="EE691" s="1697"/>
      <c r="EF691" s="1697"/>
      <c r="EG691" s="1697"/>
      <c r="EH691" s="1697"/>
      <c r="EI691" s="1697"/>
      <c r="EJ691" s="1697"/>
      <c r="EK691" s="1697"/>
      <c r="EL691" s="1697"/>
      <c r="EM691" s="1697"/>
      <c r="EN691" s="1697"/>
      <c r="EO691" s="1697"/>
      <c r="EP691" s="1697"/>
      <c r="EQ691" s="1697"/>
      <c r="ER691" s="1697"/>
      <c r="ES691" s="1697"/>
      <c r="ET691" s="1697"/>
      <c r="EU691" s="1697"/>
      <c r="EV691" s="1697"/>
      <c r="EW691" s="1697"/>
      <c r="EX691" s="1697"/>
      <c r="EY691" s="1697"/>
      <c r="EZ691" s="1697"/>
      <c r="FA691" s="1697"/>
      <c r="FB691" s="1697"/>
      <c r="FC691" s="1697"/>
      <c r="FD691" s="1697"/>
      <c r="FE691" s="1697"/>
      <c r="FF691" s="1697"/>
      <c r="FG691" s="1697"/>
      <c r="FH691" s="1697"/>
      <c r="FI691" s="1697"/>
    </row>
    <row r="692" spans="1:165">
      <c r="A692" s="1697"/>
      <c r="B692" s="1697"/>
      <c r="C692" s="1697"/>
      <c r="D692" s="1697"/>
      <c r="E692" s="1697"/>
      <c r="F692" s="1697"/>
      <c r="G692" s="1697"/>
      <c r="H692" s="1697"/>
      <c r="I692" s="1697"/>
      <c r="J692" s="1697"/>
      <c r="K692" s="1697"/>
      <c r="L692" s="1697"/>
      <c r="M692" s="1697"/>
      <c r="N692" s="1697"/>
      <c r="O692" s="1697"/>
      <c r="P692" s="1697"/>
      <c r="Q692" s="1697"/>
      <c r="R692" s="1697"/>
      <c r="S692" s="1697"/>
      <c r="T692" s="1697"/>
      <c r="U692" s="1697"/>
      <c r="V692" s="1697"/>
      <c r="W692" s="1697"/>
      <c r="X692" s="1697"/>
      <c r="Y692" s="1697"/>
      <c r="Z692" s="1697"/>
      <c r="AA692" s="1697"/>
      <c r="AB692" s="1697"/>
      <c r="AC692" s="1697"/>
      <c r="AD692" s="1697"/>
      <c r="AE692" s="1697"/>
      <c r="AF692" s="1697"/>
      <c r="AG692" s="1697"/>
      <c r="AH692" s="1697"/>
      <c r="AI692" s="1697"/>
      <c r="AJ692" s="1697"/>
      <c r="AK692" s="1697"/>
      <c r="AL692" s="1697"/>
      <c r="AM692" s="1697"/>
      <c r="AN692" s="1697"/>
      <c r="AO692" s="1697"/>
      <c r="AP692" s="1697"/>
      <c r="AQ692" s="1697"/>
      <c r="AR692" s="1697"/>
      <c r="AS692" s="1697"/>
      <c r="AT692" s="1697"/>
      <c r="AU692" s="1697"/>
      <c r="AV692" s="1697"/>
      <c r="AW692" s="1697"/>
      <c r="AX692" s="1697"/>
      <c r="AY692" s="1697"/>
      <c r="AZ692" s="1697"/>
      <c r="BA692" s="1697"/>
      <c r="BB692" s="1697"/>
      <c r="BC692" s="1697"/>
      <c r="BD692" s="1697"/>
      <c r="BE692" s="1697"/>
      <c r="BF692" s="1697"/>
      <c r="BG692" s="1697"/>
      <c r="BH692" s="1697"/>
      <c r="BI692" s="1697"/>
      <c r="BJ692" s="1697"/>
      <c r="BK692" s="1697"/>
      <c r="BL692" s="1697"/>
      <c r="BM692" s="1697"/>
      <c r="BN692" s="1697"/>
      <c r="BO692" s="1697"/>
      <c r="BP692" s="1697"/>
      <c r="BQ692" s="1697"/>
      <c r="BR692" s="1697"/>
      <c r="BS692" s="1697"/>
      <c r="BT692" s="1697"/>
      <c r="BU692" s="1697"/>
      <c r="BV692" s="1697"/>
      <c r="BW692" s="1697"/>
      <c r="BX692" s="1697"/>
      <c r="BY692" s="1697"/>
      <c r="BZ692" s="1697"/>
      <c r="CA692" s="1697"/>
      <c r="CB692" s="1697"/>
      <c r="CC692" s="1697"/>
      <c r="CD692" s="1697"/>
      <c r="CE692" s="1697"/>
      <c r="CF692" s="1697"/>
      <c r="CG692" s="1697"/>
      <c r="CH692" s="1697"/>
      <c r="CI692" s="1697"/>
      <c r="CJ692" s="1697"/>
      <c r="CK692" s="1697"/>
      <c r="CL692" s="1697"/>
      <c r="CM692" s="1697"/>
      <c r="CN692" s="1697"/>
      <c r="CO692" s="1697"/>
      <c r="CP692" s="1697"/>
      <c r="CQ692" s="1697"/>
      <c r="CR692" s="1697"/>
      <c r="CS692" s="1697"/>
      <c r="CT692" s="1697"/>
      <c r="CU692" s="1697"/>
      <c r="CV692" s="1697"/>
      <c r="CW692" s="1697"/>
      <c r="CX692" s="1697"/>
      <c r="CY692" s="1697"/>
      <c r="CZ692" s="1697"/>
      <c r="DA692" s="1697"/>
      <c r="DB692" s="1697"/>
      <c r="DC692" s="1697"/>
      <c r="DD692" s="1697"/>
      <c r="DE692" s="1697"/>
      <c r="DF692" s="1697"/>
      <c r="DG692" s="1697"/>
      <c r="DH692" s="1697"/>
      <c r="DI692" s="1697"/>
      <c r="DJ692" s="1697"/>
      <c r="DK692" s="1697"/>
      <c r="DL692" s="1697"/>
      <c r="DM692" s="1697"/>
      <c r="DN692" s="1697"/>
      <c r="DO692" s="1697"/>
      <c r="DP692" s="1697"/>
      <c r="DQ692" s="1697"/>
      <c r="DR692" s="1697"/>
      <c r="DS692" s="1697"/>
      <c r="DT692" s="1697"/>
      <c r="DU692" s="1697"/>
      <c r="DV692" s="1697"/>
      <c r="DW692" s="1697"/>
      <c r="DX692" s="1697"/>
      <c r="DY692" s="1697"/>
      <c r="DZ692" s="1697"/>
      <c r="EA692" s="1697"/>
      <c r="EB692" s="1697"/>
      <c r="EC692" s="1697"/>
      <c r="ED692" s="1697"/>
      <c r="EE692" s="1697"/>
      <c r="EF692" s="1697"/>
      <c r="EG692" s="1697"/>
      <c r="EH692" s="1697"/>
      <c r="EI692" s="1697"/>
      <c r="EJ692" s="1697"/>
      <c r="EK692" s="1697"/>
      <c r="EL692" s="1697"/>
      <c r="EM692" s="1697"/>
      <c r="EN692" s="1697"/>
      <c r="EO692" s="1697"/>
      <c r="EP692" s="1697"/>
      <c r="EQ692" s="1697"/>
      <c r="ER692" s="1697"/>
      <c r="ES692" s="1697"/>
      <c r="ET692" s="1697"/>
      <c r="EU692" s="1697"/>
      <c r="EV692" s="1697"/>
      <c r="EW692" s="1697"/>
      <c r="EX692" s="1697"/>
      <c r="EY692" s="1697"/>
      <c r="EZ692" s="1697"/>
      <c r="FA692" s="1697"/>
      <c r="FB692" s="1697"/>
      <c r="FC692" s="1697"/>
      <c r="FD692" s="1697"/>
      <c r="FE692" s="1697"/>
      <c r="FF692" s="1697"/>
      <c r="FG692" s="1697"/>
      <c r="FH692" s="1697"/>
      <c r="FI692" s="1697"/>
    </row>
    <row r="693" spans="1:165">
      <c r="A693" s="1697"/>
      <c r="B693" s="1697"/>
      <c r="C693" s="1697"/>
      <c r="D693" s="1697"/>
      <c r="E693" s="1697"/>
      <c r="F693" s="1697"/>
      <c r="G693" s="1697"/>
      <c r="H693" s="1697"/>
      <c r="I693" s="1697"/>
      <c r="J693" s="1697"/>
      <c r="K693" s="1697"/>
      <c r="L693" s="1697"/>
      <c r="M693" s="1697"/>
      <c r="N693" s="1697"/>
      <c r="O693" s="1697"/>
      <c r="P693" s="1697"/>
      <c r="Q693" s="1697"/>
      <c r="R693" s="1697"/>
      <c r="S693" s="1697"/>
      <c r="T693" s="1697"/>
      <c r="U693" s="1697"/>
      <c r="V693" s="1697"/>
      <c r="W693" s="1697"/>
      <c r="X693" s="1697"/>
      <c r="Y693" s="1697"/>
      <c r="Z693" s="1697"/>
      <c r="AA693" s="1697"/>
      <c r="AB693" s="1697"/>
      <c r="AC693" s="1697"/>
      <c r="AD693" s="1697"/>
      <c r="AE693" s="1697"/>
      <c r="AF693" s="1697"/>
      <c r="AG693" s="1697"/>
      <c r="AH693" s="1697"/>
      <c r="AI693" s="1697"/>
      <c r="AJ693" s="1697"/>
      <c r="AK693" s="1697"/>
      <c r="AL693" s="1697"/>
      <c r="AM693" s="1697"/>
      <c r="AN693" s="1697"/>
      <c r="AO693" s="1697"/>
      <c r="AP693" s="1697"/>
      <c r="AQ693" s="1697"/>
      <c r="AR693" s="1697"/>
      <c r="AS693" s="1697"/>
      <c r="AT693" s="1697"/>
      <c r="AU693" s="1697"/>
      <c r="AV693" s="1697"/>
      <c r="AW693" s="1697"/>
      <c r="AX693" s="1697"/>
      <c r="AY693" s="1697"/>
      <c r="AZ693" s="1697"/>
      <c r="BA693" s="1697"/>
      <c r="BB693" s="1697"/>
      <c r="BC693" s="1697"/>
      <c r="BD693" s="1697"/>
      <c r="BE693" s="1697"/>
      <c r="BF693" s="1697"/>
      <c r="BG693" s="1697"/>
      <c r="BH693" s="1697"/>
      <c r="BI693" s="1697"/>
      <c r="BJ693" s="1697"/>
      <c r="BK693" s="1697"/>
      <c r="BL693" s="1697"/>
      <c r="BM693" s="1697"/>
      <c r="BN693" s="1697"/>
      <c r="BO693" s="1697"/>
      <c r="BP693" s="1697"/>
      <c r="BQ693" s="1697"/>
      <c r="BR693" s="1697"/>
      <c r="BS693" s="1697"/>
      <c r="BT693" s="1697"/>
      <c r="BU693" s="1697"/>
      <c r="BV693" s="1697"/>
      <c r="BW693" s="1697"/>
      <c r="BX693" s="1697"/>
      <c r="BY693" s="1697"/>
      <c r="BZ693" s="1697"/>
      <c r="CA693" s="1697"/>
      <c r="CB693" s="1697"/>
      <c r="CC693" s="1697"/>
      <c r="CD693" s="1697"/>
      <c r="CE693" s="1697"/>
      <c r="CF693" s="1697"/>
      <c r="CG693" s="1697"/>
      <c r="CH693" s="1697"/>
      <c r="CI693" s="1697"/>
      <c r="CJ693" s="1697"/>
      <c r="CK693" s="1697"/>
      <c r="CL693" s="1697"/>
      <c r="CM693" s="1697"/>
      <c r="CN693" s="1697"/>
      <c r="CO693" s="1697"/>
      <c r="CP693" s="1697"/>
      <c r="CQ693" s="1697"/>
      <c r="CR693" s="1697"/>
      <c r="CS693" s="1697"/>
      <c r="CT693" s="1697"/>
      <c r="CU693" s="1697"/>
      <c r="CV693" s="1697"/>
      <c r="CW693" s="1697"/>
      <c r="CX693" s="1697"/>
      <c r="CY693" s="1697"/>
      <c r="CZ693" s="1697"/>
      <c r="DA693" s="1697"/>
      <c r="DB693" s="1697"/>
      <c r="DC693" s="1697"/>
      <c r="DD693" s="1697"/>
      <c r="DE693" s="1697"/>
      <c r="DF693" s="1697"/>
      <c r="DG693" s="1697"/>
      <c r="DH693" s="1697"/>
      <c r="DI693" s="1697"/>
      <c r="DJ693" s="1697"/>
      <c r="DK693" s="1697"/>
      <c r="DL693" s="1697"/>
      <c r="DM693" s="1697"/>
      <c r="DN693" s="1697"/>
      <c r="DO693" s="1697"/>
      <c r="DP693" s="1697"/>
      <c r="DQ693" s="1697"/>
      <c r="DR693" s="1697"/>
      <c r="DS693" s="1697"/>
      <c r="DT693" s="1697"/>
      <c r="DU693" s="1697"/>
      <c r="DV693" s="1697"/>
      <c r="DW693" s="1697"/>
      <c r="DX693" s="1697"/>
      <c r="DY693" s="1697"/>
      <c r="DZ693" s="1697"/>
      <c r="EA693" s="1697"/>
      <c r="EB693" s="1697"/>
      <c r="EC693" s="1697"/>
      <c r="ED693" s="1697"/>
      <c r="EE693" s="1697"/>
      <c r="EF693" s="1697"/>
      <c r="EG693" s="1697"/>
      <c r="EH693" s="1697"/>
      <c r="EI693" s="1697"/>
      <c r="EJ693" s="1697"/>
      <c r="EK693" s="1697"/>
      <c r="EL693" s="1697"/>
      <c r="EM693" s="1697"/>
      <c r="EN693" s="1697"/>
      <c r="EO693" s="1697"/>
      <c r="EP693" s="1697"/>
      <c r="EQ693" s="1697"/>
      <c r="ER693" s="1697"/>
      <c r="ES693" s="1697"/>
      <c r="ET693" s="1697"/>
      <c r="EU693" s="1697"/>
      <c r="EV693" s="1697"/>
      <c r="EW693" s="1697"/>
      <c r="EX693" s="1697"/>
      <c r="EY693" s="1697"/>
      <c r="EZ693" s="1697"/>
      <c r="FA693" s="1697"/>
      <c r="FB693" s="1697"/>
      <c r="FC693" s="1697"/>
      <c r="FD693" s="1697"/>
      <c r="FE693" s="1697"/>
      <c r="FF693" s="1697"/>
      <c r="FG693" s="1697"/>
      <c r="FH693" s="1697"/>
      <c r="FI693" s="1697"/>
    </row>
    <row r="694" spans="1:165">
      <c r="A694" s="1697"/>
      <c r="B694" s="1697"/>
      <c r="C694" s="1697"/>
      <c r="D694" s="1697"/>
      <c r="E694" s="1697"/>
      <c r="F694" s="1697"/>
      <c r="G694" s="1697"/>
      <c r="H694" s="1697"/>
      <c r="I694" s="1697"/>
      <c r="J694" s="1697"/>
      <c r="K694" s="1697"/>
      <c r="L694" s="1697"/>
      <c r="M694" s="1697"/>
      <c r="N694" s="1697"/>
      <c r="O694" s="1697"/>
      <c r="P694" s="1697"/>
      <c r="Q694" s="1697"/>
      <c r="R694" s="1697"/>
      <c r="S694" s="1697"/>
      <c r="T694" s="1697"/>
      <c r="U694" s="1697"/>
      <c r="V694" s="1697"/>
      <c r="W694" s="1697"/>
      <c r="X694" s="1697"/>
      <c r="Y694" s="1697"/>
      <c r="Z694" s="1697"/>
      <c r="AA694" s="1697"/>
      <c r="AB694" s="1697"/>
      <c r="AC694" s="1697"/>
      <c r="AD694" s="1697"/>
      <c r="AE694" s="1697"/>
      <c r="AF694" s="1697"/>
      <c r="AG694" s="1697"/>
      <c r="AH694" s="1697"/>
      <c r="AI694" s="1697"/>
      <c r="AJ694" s="1697"/>
      <c r="AK694" s="1697"/>
      <c r="AL694" s="1697"/>
      <c r="AM694" s="1697"/>
      <c r="AN694" s="1697"/>
      <c r="AO694" s="1697"/>
      <c r="AP694" s="1697"/>
      <c r="AQ694" s="1697"/>
      <c r="AR694" s="1697"/>
      <c r="AS694" s="1697"/>
      <c r="AT694" s="1697"/>
      <c r="AU694" s="1697"/>
      <c r="AV694" s="1697"/>
      <c r="AW694" s="1697"/>
      <c r="AX694" s="1697"/>
      <c r="AY694" s="1697"/>
      <c r="AZ694" s="1697"/>
      <c r="BA694" s="1697"/>
      <c r="BB694" s="1697"/>
      <c r="BC694" s="1697"/>
      <c r="BD694" s="1697"/>
      <c r="BE694" s="1697"/>
      <c r="BF694" s="1697"/>
      <c r="BG694" s="1697"/>
      <c r="BH694" s="1697"/>
      <c r="BI694" s="1697"/>
      <c r="BJ694" s="1697"/>
      <c r="BK694" s="1697"/>
      <c r="BL694" s="1697"/>
      <c r="BM694" s="1697"/>
      <c r="BN694" s="1697"/>
      <c r="BO694" s="1697"/>
      <c r="BP694" s="1697"/>
      <c r="BQ694" s="1697"/>
      <c r="BR694" s="1697"/>
      <c r="BS694" s="1697"/>
      <c r="BT694" s="1697"/>
      <c r="BU694" s="1697"/>
      <c r="BV694" s="1697"/>
      <c r="BW694" s="1697"/>
      <c r="BX694" s="1697"/>
      <c r="BY694" s="1697"/>
      <c r="BZ694" s="1697"/>
      <c r="CA694" s="1697"/>
      <c r="CB694" s="1697"/>
      <c r="CC694" s="1697"/>
      <c r="CD694" s="1697"/>
      <c r="CE694" s="1697"/>
      <c r="CF694" s="1697"/>
      <c r="CG694" s="1697"/>
      <c r="CH694" s="1697"/>
      <c r="CI694" s="1697"/>
      <c r="CJ694" s="1697"/>
      <c r="CK694" s="1697"/>
      <c r="CL694" s="1697"/>
      <c r="CM694" s="1697"/>
      <c r="CN694" s="1697"/>
      <c r="CO694" s="1697"/>
      <c r="CP694" s="1697"/>
      <c r="CQ694" s="1697"/>
      <c r="CR694" s="1697"/>
      <c r="CS694" s="1697"/>
      <c r="CT694" s="1697"/>
      <c r="CU694" s="1697"/>
      <c r="CV694" s="1697"/>
      <c r="CW694" s="1697"/>
      <c r="CX694" s="1697"/>
      <c r="CY694" s="1697"/>
      <c r="CZ694" s="1697"/>
      <c r="DA694" s="1697"/>
      <c r="DB694" s="1697"/>
      <c r="DC694" s="1697"/>
      <c r="DD694" s="1697"/>
      <c r="DE694" s="1697"/>
      <c r="DF694" s="1697"/>
      <c r="DG694" s="1697"/>
      <c r="DH694" s="1697"/>
      <c r="DI694" s="1697"/>
      <c r="DJ694" s="1697"/>
      <c r="DK694" s="1697"/>
      <c r="DL694" s="1697"/>
      <c r="DM694" s="1697"/>
      <c r="DN694" s="1697"/>
      <c r="DO694" s="1697"/>
      <c r="DP694" s="1697"/>
      <c r="DQ694" s="1697"/>
      <c r="DR694" s="1697"/>
      <c r="DS694" s="1697"/>
      <c r="DT694" s="1697"/>
      <c r="DU694" s="1697"/>
      <c r="DV694" s="1697"/>
      <c r="DW694" s="1697"/>
      <c r="DX694" s="1697"/>
      <c r="DY694" s="1697"/>
      <c r="DZ694" s="1697"/>
      <c r="EA694" s="1697"/>
      <c r="EB694" s="1697"/>
      <c r="EC694" s="1697"/>
      <c r="ED694" s="1697"/>
      <c r="EE694" s="1697"/>
      <c r="EF694" s="1697"/>
      <c r="EG694" s="1697"/>
      <c r="EH694" s="1697"/>
      <c r="EI694" s="1697"/>
      <c r="EJ694" s="1697"/>
      <c r="EK694" s="1697"/>
      <c r="EL694" s="1697"/>
      <c r="EM694" s="1697"/>
      <c r="EN694" s="1697"/>
      <c r="EO694" s="1697"/>
      <c r="EP694" s="1697"/>
      <c r="EQ694" s="1697"/>
      <c r="ER694" s="1697"/>
      <c r="ES694" s="1697"/>
      <c r="ET694" s="1697"/>
      <c r="EU694" s="1697"/>
      <c r="EV694" s="1697"/>
      <c r="EW694" s="1697"/>
      <c r="EX694" s="1697"/>
      <c r="EY694" s="1697"/>
      <c r="EZ694" s="1697"/>
      <c r="FA694" s="1697"/>
      <c r="FB694" s="1697"/>
      <c r="FC694" s="1697"/>
      <c r="FD694" s="1697"/>
      <c r="FE694" s="1697"/>
      <c r="FF694" s="1697"/>
      <c r="FG694" s="1697"/>
      <c r="FH694" s="1697"/>
      <c r="FI694" s="1697"/>
    </row>
    <row r="695" spans="1:165">
      <c r="A695" s="1697"/>
      <c r="B695" s="1697"/>
      <c r="C695" s="1697"/>
      <c r="D695" s="1697"/>
      <c r="E695" s="1697"/>
      <c r="F695" s="1697"/>
      <c r="G695" s="1697"/>
      <c r="H695" s="1697"/>
      <c r="I695" s="1697"/>
      <c r="J695" s="1697"/>
      <c r="K695" s="1697"/>
      <c r="L695" s="1697"/>
      <c r="M695" s="1697"/>
      <c r="N695" s="1697"/>
      <c r="O695" s="1697"/>
      <c r="P695" s="1697"/>
      <c r="Q695" s="1697"/>
      <c r="R695" s="1697"/>
      <c r="S695" s="1697"/>
      <c r="T695" s="1697"/>
      <c r="U695" s="1697"/>
      <c r="V695" s="1697"/>
      <c r="W695" s="1697"/>
      <c r="X695" s="1697"/>
      <c r="Y695" s="1697"/>
      <c r="Z695" s="1697"/>
      <c r="AA695" s="1697"/>
      <c r="AB695" s="1697"/>
      <c r="AC695" s="1697"/>
      <c r="AD695" s="1697"/>
      <c r="AE695" s="1697"/>
      <c r="AF695" s="1697"/>
      <c r="AG695" s="1697"/>
      <c r="AH695" s="1697"/>
      <c r="AI695" s="1697"/>
      <c r="AJ695" s="1697"/>
      <c r="AK695" s="1697"/>
      <c r="AL695" s="1697"/>
      <c r="AM695" s="1697"/>
      <c r="AN695" s="1697"/>
      <c r="AO695" s="1697"/>
      <c r="AP695" s="1697"/>
      <c r="AQ695" s="1697"/>
      <c r="AR695" s="1697"/>
      <c r="AS695" s="1697"/>
      <c r="AT695" s="1697"/>
      <c r="AU695" s="1697"/>
      <c r="AV695" s="1697"/>
      <c r="AW695" s="1697"/>
      <c r="AX695" s="1697"/>
      <c r="AY695" s="1697"/>
      <c r="AZ695" s="1697"/>
      <c r="BA695" s="1697"/>
      <c r="BB695" s="1697"/>
      <c r="BC695" s="1697"/>
      <c r="BD695" s="1697"/>
      <c r="BE695" s="1697"/>
      <c r="BF695" s="1697"/>
      <c r="BG695" s="1697"/>
      <c r="BH695" s="1697"/>
      <c r="BI695" s="1697"/>
      <c r="BJ695" s="1697"/>
      <c r="BK695" s="1697"/>
      <c r="BL695" s="1697"/>
      <c r="BM695" s="1697"/>
      <c r="BN695" s="1697"/>
      <c r="BO695" s="1697"/>
      <c r="BP695" s="1697"/>
      <c r="BQ695" s="1697"/>
      <c r="BR695" s="1697"/>
      <c r="BS695" s="1697"/>
      <c r="BT695" s="1697"/>
      <c r="BU695" s="1697"/>
      <c r="BV695" s="1697"/>
      <c r="BW695" s="1697"/>
      <c r="BX695" s="1697"/>
      <c r="BY695" s="1697"/>
      <c r="BZ695" s="1697"/>
      <c r="CA695" s="1697"/>
      <c r="CB695" s="1697"/>
      <c r="CC695" s="1697"/>
      <c r="CD695" s="1697"/>
      <c r="CE695" s="1697"/>
      <c r="CF695" s="1697"/>
      <c r="CG695" s="1697"/>
      <c r="CH695" s="1697"/>
      <c r="CI695" s="1697"/>
      <c r="CJ695" s="1697"/>
      <c r="CK695" s="1697"/>
      <c r="CL695" s="1697"/>
      <c r="CM695" s="1697"/>
      <c r="CN695" s="1697"/>
      <c r="CO695" s="1697"/>
      <c r="CP695" s="1697"/>
      <c r="CQ695" s="1697"/>
      <c r="CR695" s="1697"/>
      <c r="CS695" s="1697"/>
      <c r="CT695" s="1697"/>
      <c r="CU695" s="1697"/>
      <c r="CV695" s="1697"/>
      <c r="CW695" s="1697"/>
      <c r="CX695" s="1697"/>
      <c r="CY695" s="1697"/>
      <c r="CZ695" s="1697"/>
      <c r="DA695" s="1697"/>
      <c r="DB695" s="1697"/>
      <c r="DC695" s="1697"/>
      <c r="DD695" s="1697"/>
      <c r="DE695" s="1697"/>
      <c r="DF695" s="1697"/>
      <c r="DG695" s="1697"/>
      <c r="DH695" s="1697"/>
      <c r="DI695" s="1697"/>
      <c r="DJ695" s="1697"/>
      <c r="DK695" s="1697"/>
      <c r="DL695" s="1697"/>
      <c r="DM695" s="1697"/>
      <c r="DN695" s="1697"/>
      <c r="DO695" s="1697"/>
      <c r="DP695" s="1697"/>
      <c r="DQ695" s="1697"/>
      <c r="DR695" s="1697"/>
      <c r="DS695" s="1697"/>
      <c r="DT695" s="1697"/>
      <c r="DU695" s="1697"/>
      <c r="DV695" s="1697"/>
      <c r="DW695" s="1697"/>
      <c r="DX695" s="1697"/>
      <c r="DY695" s="1697"/>
      <c r="DZ695" s="1697"/>
      <c r="EA695" s="1697"/>
      <c r="EB695" s="1697"/>
      <c r="EC695" s="1697"/>
      <c r="ED695" s="1697"/>
      <c r="EE695" s="1697"/>
      <c r="EF695" s="1697"/>
      <c r="EG695" s="1697"/>
      <c r="EH695" s="1697"/>
      <c r="EI695" s="1697"/>
      <c r="EJ695" s="1697"/>
      <c r="EK695" s="1697"/>
      <c r="EL695" s="1697"/>
      <c r="EM695" s="1697"/>
      <c r="EN695" s="1697"/>
      <c r="EO695" s="1697"/>
      <c r="EP695" s="1697"/>
      <c r="EQ695" s="1697"/>
      <c r="ER695" s="1697"/>
      <c r="ES695" s="1697"/>
      <c r="ET695" s="1697"/>
      <c r="EU695" s="1697"/>
      <c r="EV695" s="1697"/>
      <c r="EW695" s="1697"/>
      <c r="EX695" s="1697"/>
      <c r="EY695" s="1697"/>
      <c r="EZ695" s="1697"/>
      <c r="FA695" s="1697"/>
      <c r="FB695" s="1697"/>
      <c r="FC695" s="1697"/>
      <c r="FD695" s="1697"/>
      <c r="FE695" s="1697"/>
      <c r="FF695" s="1697"/>
      <c r="FG695" s="1697"/>
      <c r="FH695" s="1697"/>
      <c r="FI695" s="1697"/>
    </row>
    <row r="696" spans="1:165">
      <c r="A696" s="1697"/>
      <c r="B696" s="1697"/>
      <c r="C696" s="1697"/>
      <c r="D696" s="1697"/>
      <c r="E696" s="1697"/>
      <c r="F696" s="1697"/>
      <c r="G696" s="1697"/>
      <c r="H696" s="1697"/>
      <c r="I696" s="1697"/>
      <c r="J696" s="1697"/>
      <c r="K696" s="1697"/>
      <c r="L696" s="1697"/>
      <c r="M696" s="1697"/>
      <c r="N696" s="1697"/>
      <c r="O696" s="1697"/>
      <c r="P696" s="1697"/>
      <c r="Q696" s="1697"/>
      <c r="R696" s="1697"/>
      <c r="S696" s="1697"/>
      <c r="T696" s="1697"/>
      <c r="U696" s="1697"/>
      <c r="V696" s="1697"/>
      <c r="W696" s="1697"/>
      <c r="X696" s="1697"/>
      <c r="Y696" s="1697"/>
      <c r="Z696" s="1697"/>
      <c r="AA696" s="1697"/>
      <c r="AB696" s="1697"/>
      <c r="AC696" s="1697"/>
      <c r="AD696" s="1697"/>
      <c r="AE696" s="1697"/>
      <c r="AF696" s="1697"/>
      <c r="AG696" s="1697"/>
      <c r="AH696" s="1697"/>
      <c r="AI696" s="1697"/>
      <c r="AJ696" s="1697"/>
      <c r="AK696" s="1697"/>
      <c r="AL696" s="1697"/>
      <c r="AM696" s="1697"/>
      <c r="AN696" s="1697"/>
      <c r="AO696" s="1697"/>
      <c r="AP696" s="1697"/>
      <c r="AQ696" s="1697"/>
      <c r="AR696" s="1697"/>
      <c r="AS696" s="1697"/>
      <c r="AT696" s="1697"/>
      <c r="AU696" s="1697"/>
      <c r="AV696" s="1697"/>
      <c r="AW696" s="1697"/>
      <c r="AX696" s="1697"/>
      <c r="AY696" s="1697"/>
      <c r="AZ696" s="1697"/>
      <c r="BA696" s="1697"/>
      <c r="BB696" s="1697"/>
      <c r="BC696" s="1697"/>
      <c r="BD696" s="1697"/>
      <c r="BE696" s="1697"/>
      <c r="BF696" s="1697"/>
      <c r="BG696" s="1697"/>
      <c r="BH696" s="1697"/>
      <c r="BI696" s="1697"/>
      <c r="BJ696" s="1697"/>
      <c r="BK696" s="1697"/>
      <c r="BL696" s="1697"/>
      <c r="BM696" s="1697"/>
      <c r="BN696" s="1697"/>
      <c r="BO696" s="1697"/>
      <c r="BP696" s="1697"/>
      <c r="BQ696" s="1697"/>
      <c r="BR696" s="1697"/>
      <c r="BS696" s="1697"/>
      <c r="BT696" s="1697"/>
      <c r="BU696" s="1697"/>
      <c r="BV696" s="1697"/>
      <c r="BW696" s="1697"/>
      <c r="BX696" s="1697"/>
      <c r="BY696" s="1697"/>
      <c r="BZ696" s="1697"/>
      <c r="CA696" s="1697"/>
      <c r="CB696" s="1697"/>
      <c r="CC696" s="1697"/>
      <c r="CD696" s="1697"/>
      <c r="CE696" s="1697"/>
      <c r="CF696" s="1697"/>
      <c r="CG696" s="1697"/>
      <c r="CH696" s="1697"/>
      <c r="CI696" s="1697"/>
      <c r="CJ696" s="1697"/>
      <c r="CK696" s="1697"/>
      <c r="CL696" s="1697"/>
      <c r="CM696" s="1697"/>
      <c r="CN696" s="1697"/>
      <c r="CO696" s="1697"/>
      <c r="CP696" s="1697"/>
      <c r="CQ696" s="1697"/>
      <c r="CR696" s="1697"/>
      <c r="CS696" s="1697"/>
      <c r="CT696" s="1697"/>
      <c r="CU696" s="1697"/>
      <c r="CV696" s="1697"/>
      <c r="CW696" s="1697"/>
      <c r="CX696" s="1697"/>
      <c r="CY696" s="1697"/>
      <c r="CZ696" s="1697"/>
      <c r="DA696" s="1697"/>
      <c r="DB696" s="1697"/>
      <c r="DC696" s="1697"/>
      <c r="DD696" s="1697"/>
      <c r="DE696" s="1697"/>
      <c r="DF696" s="1697"/>
      <c r="DG696" s="1697"/>
      <c r="DH696" s="1697"/>
      <c r="DI696" s="1697"/>
      <c r="DJ696" s="1697"/>
      <c r="DK696" s="1697"/>
      <c r="DL696" s="1697"/>
      <c r="DM696" s="1697"/>
      <c r="DN696" s="1697"/>
      <c r="DO696" s="1697"/>
      <c r="DP696" s="1697"/>
      <c r="DQ696" s="1697"/>
      <c r="DR696" s="1697"/>
      <c r="DS696" s="1697"/>
      <c r="DT696" s="1697"/>
      <c r="DU696" s="1697"/>
      <c r="DV696" s="1697"/>
      <c r="DW696" s="1697"/>
      <c r="DX696" s="1697"/>
      <c r="DY696" s="1697"/>
      <c r="DZ696" s="1697"/>
      <c r="EA696" s="1697"/>
      <c r="EB696" s="1697"/>
      <c r="EC696" s="1697"/>
      <c r="ED696" s="1697"/>
      <c r="EE696" s="1697"/>
      <c r="EF696" s="1697"/>
      <c r="EG696" s="1697"/>
      <c r="EH696" s="1697"/>
      <c r="EI696" s="1697"/>
      <c r="EJ696" s="1697"/>
      <c r="EK696" s="1697"/>
      <c r="EL696" s="1697"/>
      <c r="EM696" s="1697"/>
      <c r="EN696" s="1697"/>
      <c r="EO696" s="1697"/>
      <c r="EP696" s="1697"/>
      <c r="EQ696" s="1697"/>
      <c r="ER696" s="1697"/>
      <c r="ES696" s="1697"/>
      <c r="ET696" s="1697"/>
      <c r="EU696" s="1697"/>
      <c r="EV696" s="1697"/>
      <c r="EW696" s="1697"/>
      <c r="EX696" s="1697"/>
      <c r="EY696" s="1697"/>
      <c r="EZ696" s="1697"/>
      <c r="FA696" s="1697"/>
      <c r="FB696" s="1697"/>
      <c r="FC696" s="1697"/>
      <c r="FD696" s="1697"/>
      <c r="FE696" s="1697"/>
      <c r="FF696" s="1697"/>
      <c r="FG696" s="1697"/>
      <c r="FH696" s="1697"/>
      <c r="FI696" s="1697"/>
    </row>
    <row r="697" spans="1:165">
      <c r="A697" s="1697"/>
      <c r="B697" s="1697"/>
      <c r="C697" s="1697"/>
      <c r="D697" s="1697"/>
      <c r="E697" s="1697"/>
      <c r="F697" s="1697"/>
      <c r="G697" s="1697"/>
      <c r="H697" s="1697"/>
      <c r="I697" s="1697"/>
      <c r="J697" s="1697"/>
      <c r="K697" s="1697"/>
      <c r="L697" s="1697"/>
      <c r="M697" s="1697"/>
      <c r="N697" s="1697"/>
      <c r="O697" s="1697"/>
      <c r="P697" s="1697"/>
      <c r="Q697" s="1697"/>
      <c r="R697" s="1697"/>
      <c r="S697" s="1697"/>
      <c r="T697" s="1697"/>
      <c r="U697" s="1697"/>
      <c r="V697" s="1697"/>
      <c r="W697" s="1697"/>
      <c r="X697" s="1697"/>
      <c r="Y697" s="1697"/>
      <c r="Z697" s="1697"/>
      <c r="AA697" s="1697"/>
      <c r="AB697" s="1697"/>
      <c r="AC697" s="1697"/>
      <c r="AD697" s="1697"/>
      <c r="AE697" s="1697"/>
      <c r="AF697" s="1697"/>
      <c r="AG697" s="1697"/>
      <c r="AH697" s="1697"/>
      <c r="AI697" s="1697"/>
      <c r="AJ697" s="1697"/>
      <c r="AK697" s="1697"/>
      <c r="AL697" s="1697"/>
      <c r="AM697" s="1697"/>
      <c r="AN697" s="1697"/>
      <c r="AO697" s="1697"/>
      <c r="AP697" s="1697"/>
      <c r="AQ697" s="1697"/>
      <c r="AR697" s="1697"/>
      <c r="AS697" s="1697"/>
      <c r="AT697" s="1697"/>
      <c r="AU697" s="1697"/>
      <c r="AV697" s="1697"/>
      <c r="AW697" s="1697"/>
      <c r="AX697" s="1697"/>
      <c r="AY697" s="1697"/>
      <c r="AZ697" s="1697"/>
      <c r="BA697" s="1697"/>
      <c r="BB697" s="1697"/>
      <c r="BC697" s="1697"/>
      <c r="BD697" s="1697"/>
      <c r="BE697" s="1697"/>
      <c r="BF697" s="1697"/>
      <c r="BG697" s="1697"/>
      <c r="BH697" s="1697"/>
      <c r="BI697" s="1697"/>
      <c r="BJ697" s="1697"/>
      <c r="BK697" s="1697"/>
      <c r="BL697" s="1697"/>
      <c r="BM697" s="1697"/>
      <c r="BN697" s="1697"/>
      <c r="BO697" s="1697"/>
      <c r="BP697" s="1697"/>
      <c r="BQ697" s="1697"/>
      <c r="BR697" s="1697"/>
      <c r="BS697" s="1697"/>
      <c r="BT697" s="1697"/>
      <c r="BU697" s="1697"/>
      <c r="BV697" s="1697"/>
      <c r="BW697" s="1697"/>
      <c r="BX697" s="1697"/>
      <c r="BY697" s="1697"/>
      <c r="BZ697" s="1697"/>
      <c r="CA697" s="1697"/>
      <c r="CB697" s="1697"/>
      <c r="CC697" s="1697"/>
      <c r="CD697" s="1697"/>
      <c r="CE697" s="1697"/>
      <c r="CF697" s="1697"/>
      <c r="CG697" s="1697"/>
      <c r="CH697" s="1697"/>
      <c r="CI697" s="1697"/>
      <c r="CJ697" s="1697"/>
      <c r="CK697" s="1697"/>
      <c r="CL697" s="1697"/>
      <c r="CM697" s="1697"/>
      <c r="CN697" s="1697"/>
      <c r="CO697" s="1697"/>
      <c r="CP697" s="1697"/>
      <c r="CQ697" s="1697"/>
      <c r="CR697" s="1697"/>
      <c r="CS697" s="1697"/>
      <c r="CT697" s="1697"/>
      <c r="CU697" s="1697"/>
      <c r="CV697" s="1697"/>
      <c r="CW697" s="1697"/>
      <c r="CX697" s="1697"/>
      <c r="CY697" s="1697"/>
      <c r="CZ697" s="1697"/>
      <c r="DA697" s="1697"/>
      <c r="DB697" s="1697"/>
      <c r="DC697" s="1697"/>
      <c r="DD697" s="1697"/>
      <c r="DE697" s="1697"/>
      <c r="DF697" s="1697"/>
      <c r="DG697" s="1697"/>
      <c r="DH697" s="1697"/>
      <c r="DI697" s="1697"/>
      <c r="DJ697" s="1697"/>
      <c r="DK697" s="1697"/>
      <c r="DL697" s="1697"/>
      <c r="DM697" s="1697"/>
      <c r="DN697" s="1697"/>
      <c r="DO697" s="1697"/>
      <c r="DP697" s="1697"/>
      <c r="DQ697" s="1697"/>
      <c r="DR697" s="1697"/>
      <c r="DS697" s="1697"/>
      <c r="DT697" s="1697"/>
      <c r="DU697" s="1697"/>
      <c r="DV697" s="1697"/>
      <c r="DW697" s="1697"/>
      <c r="DX697" s="1697"/>
      <c r="DY697" s="1697"/>
      <c r="DZ697" s="1697"/>
      <c r="EA697" s="1697"/>
      <c r="EB697" s="1697"/>
      <c r="EC697" s="1697"/>
      <c r="ED697" s="1697"/>
      <c r="EE697" s="1697"/>
      <c r="EF697" s="1697"/>
      <c r="EG697" s="1697"/>
      <c r="EH697" s="1697"/>
      <c r="EI697" s="1697"/>
      <c r="EJ697" s="1697"/>
      <c r="EK697" s="1697"/>
      <c r="EL697" s="1697"/>
      <c r="EM697" s="1697"/>
      <c r="EN697" s="1697"/>
      <c r="EO697" s="1697"/>
      <c r="EP697" s="1697"/>
      <c r="EQ697" s="1697"/>
      <c r="ER697" s="1697"/>
      <c r="ES697" s="1697"/>
      <c r="ET697" s="1697"/>
      <c r="EU697" s="1697"/>
      <c r="EV697" s="1697"/>
      <c r="EW697" s="1697"/>
      <c r="EX697" s="1697"/>
      <c r="EY697" s="1697"/>
      <c r="EZ697" s="1697"/>
      <c r="FA697" s="1697"/>
      <c r="FB697" s="1697"/>
      <c r="FC697" s="1697"/>
      <c r="FD697" s="1697"/>
      <c r="FE697" s="1697"/>
      <c r="FF697" s="1697"/>
      <c r="FG697" s="1697"/>
      <c r="FH697" s="1697"/>
      <c r="FI697" s="1697"/>
    </row>
    <row r="698" spans="1:165">
      <c r="A698" s="1697"/>
      <c r="B698" s="1697"/>
      <c r="C698" s="1697"/>
      <c r="D698" s="1697"/>
      <c r="E698" s="1697"/>
      <c r="F698" s="1697"/>
      <c r="G698" s="1697"/>
      <c r="H698" s="1697"/>
      <c r="I698" s="1697"/>
      <c r="J698" s="1697"/>
      <c r="K698" s="1697"/>
      <c r="L698" s="1697"/>
      <c r="M698" s="1697"/>
      <c r="N698" s="1697"/>
      <c r="O698" s="1697"/>
      <c r="P698" s="1697"/>
      <c r="Q698" s="1697"/>
      <c r="R698" s="1697"/>
      <c r="S698" s="1697"/>
      <c r="T698" s="1697"/>
      <c r="U698" s="1697"/>
      <c r="V698" s="1697"/>
      <c r="W698" s="1697"/>
      <c r="X698" s="1697"/>
      <c r="Y698" s="1697"/>
      <c r="Z698" s="1697"/>
      <c r="AA698" s="1697"/>
      <c r="AB698" s="1697"/>
      <c r="AC698" s="1697"/>
      <c r="AD698" s="1697"/>
      <c r="AE698" s="1697"/>
      <c r="AF698" s="1697"/>
      <c r="AG698" s="1697"/>
      <c r="AH698" s="1697"/>
      <c r="AI698" s="1697"/>
      <c r="AJ698" s="1697"/>
      <c r="AK698" s="1697"/>
      <c r="AL698" s="1697"/>
      <c r="AM698" s="1697"/>
      <c r="AN698" s="1697"/>
      <c r="AO698" s="1697"/>
      <c r="AP698" s="1697"/>
      <c r="AQ698" s="1697"/>
      <c r="AR698" s="1697"/>
      <c r="AS698" s="1697"/>
      <c r="AT698" s="1697"/>
      <c r="AU698" s="1697"/>
      <c r="AV698" s="1697"/>
      <c r="AW698" s="1697"/>
      <c r="AX698" s="1697"/>
      <c r="AY698" s="1697"/>
      <c r="AZ698" s="1697"/>
      <c r="BA698" s="1697"/>
      <c r="BB698" s="1697"/>
      <c r="BC698" s="1697"/>
      <c r="BD698" s="1697"/>
      <c r="BE698" s="1697"/>
      <c r="BF698" s="1697"/>
      <c r="BG698" s="1697"/>
      <c r="BH698" s="1697"/>
      <c r="BI698" s="1697"/>
      <c r="BJ698" s="1697"/>
      <c r="BK698" s="1697"/>
      <c r="BL698" s="1697"/>
      <c r="BM698" s="1697"/>
      <c r="BN698" s="1697"/>
      <c r="BO698" s="1697"/>
      <c r="BP698" s="1697"/>
      <c r="BQ698" s="1697"/>
      <c r="BR698" s="1697"/>
      <c r="BS698" s="1697"/>
      <c r="BT698" s="1697"/>
      <c r="BU698" s="1697"/>
      <c r="BV698" s="1697"/>
      <c r="BW698" s="1697"/>
      <c r="BX698" s="1697"/>
      <c r="BY698" s="1697"/>
      <c r="BZ698" s="1697"/>
      <c r="CA698" s="1697"/>
      <c r="CB698" s="1697"/>
      <c r="CC698" s="1697"/>
      <c r="CD698" s="1697"/>
      <c r="CE698" s="1697"/>
      <c r="CF698" s="1697"/>
      <c r="CG698" s="1697"/>
      <c r="CH698" s="1697"/>
      <c r="CI698" s="1697"/>
      <c r="CJ698" s="1697"/>
      <c r="CK698" s="1697"/>
      <c r="CL698" s="1697"/>
      <c r="CM698" s="1697"/>
      <c r="CN698" s="1697"/>
      <c r="CO698" s="1697"/>
      <c r="CP698" s="1697"/>
      <c r="CQ698" s="1697"/>
      <c r="CR698" s="1697"/>
      <c r="CS698" s="1697"/>
      <c r="CT698" s="1697"/>
      <c r="CU698" s="1697"/>
      <c r="CV698" s="1697"/>
      <c r="CW698" s="1697"/>
      <c r="CX698" s="1697"/>
      <c r="CY698" s="1697"/>
      <c r="CZ698" s="1697"/>
      <c r="DA698" s="1697"/>
      <c r="DB698" s="1697"/>
      <c r="DC698" s="1697"/>
      <c r="DD698" s="1697"/>
      <c r="DE698" s="1697"/>
      <c r="DF698" s="1697"/>
      <c r="DG698" s="1697"/>
      <c r="DH698" s="1697"/>
      <c r="DI698" s="1697"/>
      <c r="DJ698" s="1697"/>
      <c r="DK698" s="1697"/>
      <c r="DL698" s="1697"/>
      <c r="DM698" s="1697"/>
      <c r="DN698" s="1697"/>
      <c r="DO698" s="1697"/>
      <c r="DP698" s="1697"/>
      <c r="DQ698" s="1697"/>
      <c r="DR698" s="1697"/>
      <c r="DS698" s="1697"/>
      <c r="DT698" s="1697"/>
      <c r="DU698" s="1697"/>
      <c r="DV698" s="1697"/>
      <c r="DW698" s="1697"/>
      <c r="DX698" s="1697"/>
      <c r="DY698" s="1697"/>
      <c r="DZ698" s="1697"/>
      <c r="EA698" s="1697"/>
      <c r="EB698" s="1697"/>
      <c r="EC698" s="1697"/>
      <c r="ED698" s="1697"/>
      <c r="EE698" s="1697"/>
      <c r="EF698" s="1697"/>
      <c r="EG698" s="1697"/>
      <c r="EH698" s="1697"/>
      <c r="EI698" s="1697"/>
      <c r="EJ698" s="1697"/>
      <c r="EK698" s="1697"/>
      <c r="EL698" s="1697"/>
      <c r="EM698" s="1697"/>
      <c r="EN698" s="1697"/>
      <c r="EO698" s="1697"/>
      <c r="EP698" s="1697"/>
      <c r="EQ698" s="1697"/>
      <c r="ER698" s="1697"/>
      <c r="ES698" s="1697"/>
      <c r="ET698" s="1697"/>
      <c r="EU698" s="1697"/>
      <c r="EV698" s="1697"/>
      <c r="EW698" s="1697"/>
      <c r="EX698" s="1697"/>
      <c r="EY698" s="1697"/>
      <c r="EZ698" s="1697"/>
      <c r="FA698" s="1697"/>
      <c r="FB698" s="1697"/>
      <c r="FC698" s="1697"/>
      <c r="FD698" s="1697"/>
      <c r="FE698" s="1697"/>
      <c r="FF698" s="1697"/>
      <c r="FG698" s="1697"/>
      <c r="FH698" s="1697"/>
      <c r="FI698" s="1697"/>
    </row>
    <row r="699" spans="1:165">
      <c r="A699" s="1697"/>
      <c r="B699" s="1697"/>
      <c r="C699" s="1697"/>
      <c r="D699" s="1697"/>
      <c r="E699" s="1697"/>
      <c r="F699" s="1697"/>
      <c r="G699" s="1697"/>
      <c r="H699" s="1697"/>
      <c r="I699" s="1697"/>
      <c r="J699" s="1697"/>
      <c r="K699" s="1697"/>
      <c r="L699" s="1697"/>
      <c r="M699" s="1697"/>
      <c r="N699" s="1697"/>
      <c r="O699" s="1697"/>
      <c r="P699" s="1697"/>
      <c r="Q699" s="1697"/>
      <c r="R699" s="1697"/>
      <c r="S699" s="1697"/>
      <c r="T699" s="1697"/>
      <c r="U699" s="1697"/>
      <c r="V699" s="1697"/>
      <c r="W699" s="1697"/>
      <c r="X699" s="1697"/>
      <c r="Y699" s="1697"/>
      <c r="Z699" s="1697"/>
      <c r="AA699" s="1697"/>
      <c r="AB699" s="1697"/>
      <c r="AC699" s="1697"/>
      <c r="AD699" s="1697"/>
      <c r="AE699" s="1697"/>
      <c r="AF699" s="1697"/>
      <c r="AG699" s="1697"/>
      <c r="AH699" s="1697"/>
      <c r="AI699" s="1697"/>
      <c r="AJ699" s="1697"/>
      <c r="AK699" s="1697"/>
      <c r="AL699" s="1697"/>
      <c r="AM699" s="1697"/>
      <c r="AN699" s="1697"/>
      <c r="AO699" s="1697"/>
      <c r="AP699" s="1697"/>
      <c r="AQ699" s="1697"/>
      <c r="AR699" s="1697"/>
      <c r="AS699" s="1697"/>
      <c r="AT699" s="1697"/>
      <c r="AU699" s="1697"/>
      <c r="AV699" s="1697"/>
      <c r="AW699" s="1697"/>
      <c r="AX699" s="1697"/>
      <c r="AY699" s="1697"/>
      <c r="AZ699" s="1697"/>
      <c r="BA699" s="1697"/>
      <c r="BB699" s="1697"/>
      <c r="BC699" s="1697"/>
      <c r="BD699" s="1697"/>
      <c r="BE699" s="1697"/>
      <c r="BF699" s="1697"/>
      <c r="BG699" s="1697"/>
      <c r="BH699" s="1697"/>
      <c r="BI699" s="1697"/>
      <c r="BJ699" s="1697"/>
      <c r="BK699" s="1697"/>
      <c r="BL699" s="1697"/>
      <c r="BM699" s="1697"/>
      <c r="BN699" s="1697"/>
      <c r="BO699" s="1697"/>
      <c r="BP699" s="1697"/>
      <c r="BQ699" s="1697"/>
      <c r="BR699" s="1697"/>
      <c r="BS699" s="1697"/>
      <c r="BT699" s="1697"/>
      <c r="BU699" s="1697"/>
      <c r="BV699" s="1697"/>
      <c r="BW699" s="1697"/>
      <c r="BX699" s="1697"/>
      <c r="BY699" s="1697"/>
      <c r="BZ699" s="1697"/>
      <c r="CA699" s="1697"/>
      <c r="CB699" s="1697"/>
      <c r="CC699" s="1697"/>
      <c r="CD699" s="1697"/>
      <c r="CE699" s="1697"/>
      <c r="CF699" s="1697"/>
      <c r="CG699" s="1697"/>
      <c r="CH699" s="1697"/>
      <c r="CI699" s="1697"/>
      <c r="CJ699" s="1697"/>
      <c r="CK699" s="1697"/>
      <c r="CL699" s="1697"/>
      <c r="CM699" s="1697"/>
      <c r="CN699" s="1697"/>
      <c r="CO699" s="1697"/>
      <c r="CP699" s="1697"/>
      <c r="CQ699" s="1697"/>
      <c r="CR699" s="1697"/>
      <c r="CS699" s="1697"/>
      <c r="CT699" s="1697"/>
      <c r="CU699" s="1697"/>
      <c r="CV699" s="1697"/>
      <c r="CW699" s="1697"/>
      <c r="CX699" s="1697"/>
      <c r="CY699" s="1697"/>
      <c r="CZ699" s="1697"/>
      <c r="DA699" s="1697"/>
      <c r="DB699" s="1697"/>
      <c r="DC699" s="1697"/>
      <c r="DD699" s="1697"/>
      <c r="DE699" s="1697"/>
      <c r="DF699" s="1697"/>
      <c r="DG699" s="1697"/>
      <c r="DH699" s="1697"/>
      <c r="DI699" s="1697"/>
      <c r="DJ699" s="1697"/>
      <c r="DK699" s="1697"/>
      <c r="DL699" s="1697"/>
      <c r="DM699" s="1697"/>
      <c r="DN699" s="1697"/>
      <c r="DO699" s="1697"/>
      <c r="DP699" s="1697"/>
      <c r="DQ699" s="1697"/>
      <c r="DR699" s="1697"/>
      <c r="DS699" s="1697"/>
      <c r="DT699" s="1697"/>
      <c r="DU699" s="1697"/>
      <c r="DV699" s="1697"/>
      <c r="DW699" s="1697"/>
      <c r="DX699" s="1697"/>
      <c r="DY699" s="1697"/>
      <c r="DZ699" s="1697"/>
      <c r="EA699" s="1697"/>
      <c r="EB699" s="1697"/>
      <c r="EC699" s="1697"/>
      <c r="ED699" s="1697"/>
      <c r="EE699" s="1697"/>
      <c r="EF699" s="1697"/>
      <c r="EG699" s="1697"/>
      <c r="EH699" s="1697"/>
      <c r="EI699" s="1697"/>
      <c r="EJ699" s="1697"/>
      <c r="EK699" s="1697"/>
      <c r="EL699" s="1697"/>
      <c r="EM699" s="1697"/>
      <c r="EN699" s="1697"/>
      <c r="EO699" s="1697"/>
      <c r="EP699" s="1697"/>
      <c r="EQ699" s="1697"/>
      <c r="ER699" s="1697"/>
      <c r="ES699" s="1697"/>
      <c r="ET699" s="1697"/>
      <c r="EU699" s="1697"/>
      <c r="EV699" s="1697"/>
      <c r="EW699" s="1697"/>
      <c r="EX699" s="1697"/>
      <c r="EY699" s="1697"/>
      <c r="EZ699" s="1697"/>
      <c r="FA699" s="1697"/>
      <c r="FB699" s="1697"/>
      <c r="FC699" s="1697"/>
      <c r="FD699" s="1697"/>
      <c r="FE699" s="1697"/>
      <c r="FF699" s="1697"/>
      <c r="FG699" s="1697"/>
      <c r="FH699" s="1697"/>
      <c r="FI699" s="1697"/>
    </row>
    <row r="700" spans="1:165">
      <c r="A700" s="1697"/>
      <c r="B700" s="1697"/>
      <c r="C700" s="1697"/>
      <c r="D700" s="1697"/>
      <c r="E700" s="1697"/>
      <c r="F700" s="1697"/>
      <c r="G700" s="1697"/>
      <c r="H700" s="1697"/>
      <c r="I700" s="1697"/>
      <c r="J700" s="1697"/>
      <c r="K700" s="1697"/>
      <c r="L700" s="1697"/>
      <c r="M700" s="1697"/>
      <c r="N700" s="1697"/>
      <c r="O700" s="1697"/>
      <c r="P700" s="1697"/>
      <c r="Q700" s="1697"/>
      <c r="R700" s="1697"/>
      <c r="S700" s="1697"/>
      <c r="T700" s="1697"/>
      <c r="U700" s="1697"/>
      <c r="V700" s="1697"/>
      <c r="W700" s="1697"/>
      <c r="X700" s="1697"/>
      <c r="Y700" s="1697"/>
      <c r="Z700" s="1697"/>
      <c r="AA700" s="1697"/>
      <c r="AB700" s="1697"/>
      <c r="AC700" s="1697"/>
      <c r="AD700" s="1697"/>
      <c r="AE700" s="1697"/>
      <c r="AF700" s="1697"/>
      <c r="AG700" s="1697"/>
      <c r="AH700" s="1697"/>
      <c r="AI700" s="1697"/>
      <c r="AJ700" s="1697"/>
      <c r="AK700" s="1697"/>
      <c r="AL700" s="1697"/>
      <c r="AM700" s="1697"/>
      <c r="AN700" s="1697"/>
      <c r="AO700" s="1697"/>
      <c r="AP700" s="1697"/>
      <c r="AQ700" s="1697"/>
      <c r="AR700" s="1697"/>
      <c r="AS700" s="1697"/>
      <c r="AT700" s="1697"/>
      <c r="AU700" s="1697"/>
      <c r="AV700" s="1697"/>
      <c r="AW700" s="1697"/>
      <c r="AX700" s="1697"/>
      <c r="AY700" s="1697"/>
      <c r="AZ700" s="1697"/>
      <c r="BA700" s="1697"/>
      <c r="BB700" s="1697"/>
      <c r="BC700" s="1697"/>
      <c r="BD700" s="1697"/>
      <c r="BE700" s="1697"/>
      <c r="BF700" s="1697"/>
      <c r="BG700" s="1697"/>
      <c r="BH700" s="1697"/>
      <c r="BI700" s="1697"/>
      <c r="BJ700" s="1697"/>
      <c r="BK700" s="1697"/>
      <c r="BL700" s="1697"/>
      <c r="BM700" s="1697"/>
      <c r="BN700" s="1697"/>
      <c r="BO700" s="1697"/>
      <c r="BP700" s="1697"/>
      <c r="BQ700" s="1697"/>
      <c r="BR700" s="1697"/>
      <c r="BS700" s="1697"/>
      <c r="BT700" s="1697"/>
      <c r="BU700" s="1697"/>
      <c r="BV700" s="1697"/>
      <c r="BW700" s="1697"/>
      <c r="BX700" s="1697"/>
      <c r="BY700" s="1697"/>
      <c r="BZ700" s="1697"/>
      <c r="CA700" s="1697"/>
      <c r="CB700" s="1697"/>
      <c r="CC700" s="1697"/>
      <c r="CD700" s="1697"/>
      <c r="CE700" s="1697"/>
      <c r="CF700" s="1697"/>
      <c r="CG700" s="1697"/>
      <c r="CH700" s="1697"/>
      <c r="CI700" s="1697"/>
      <c r="CJ700" s="1697"/>
      <c r="CK700" s="1697"/>
      <c r="CL700" s="1697"/>
      <c r="CM700" s="1697"/>
      <c r="CN700" s="1697"/>
      <c r="CO700" s="1697"/>
      <c r="CP700" s="1697"/>
      <c r="CQ700" s="1697"/>
      <c r="CR700" s="1697"/>
      <c r="CS700" s="1697"/>
      <c r="CT700" s="1697"/>
      <c r="CU700" s="1697"/>
      <c r="CV700" s="1697"/>
      <c r="CW700" s="1697"/>
      <c r="CX700" s="1697"/>
      <c r="CY700" s="1697"/>
      <c r="CZ700" s="1697"/>
      <c r="DA700" s="1697"/>
      <c r="DB700" s="1697"/>
      <c r="DC700" s="1697"/>
      <c r="DD700" s="1697"/>
      <c r="DE700" s="1697"/>
      <c r="DF700" s="1697"/>
      <c r="DG700" s="1697"/>
      <c r="DH700" s="1697"/>
      <c r="DI700" s="1697"/>
      <c r="DJ700" s="1697"/>
      <c r="DK700" s="1697"/>
      <c r="DL700" s="1697"/>
      <c r="DM700" s="1697"/>
      <c r="DN700" s="1697"/>
      <c r="DO700" s="1697"/>
      <c r="DP700" s="1697"/>
      <c r="DQ700" s="1697"/>
      <c r="DR700" s="1697"/>
      <c r="DS700" s="1697"/>
      <c r="DT700" s="1697"/>
      <c r="DU700" s="1697"/>
      <c r="DV700" s="1697"/>
      <c r="DW700" s="1697"/>
      <c r="DX700" s="1697"/>
      <c r="DY700" s="1697"/>
      <c r="DZ700" s="1697"/>
      <c r="EA700" s="1697"/>
      <c r="EB700" s="1697"/>
      <c r="EC700" s="1697"/>
      <c r="ED700" s="1697"/>
      <c r="EE700" s="1697"/>
      <c r="EF700" s="1697"/>
      <c r="EG700" s="1697"/>
      <c r="EH700" s="1697"/>
      <c r="EI700" s="1697"/>
      <c r="EJ700" s="1697"/>
      <c r="EK700" s="1697"/>
      <c r="EL700" s="1697"/>
      <c r="EM700" s="1697"/>
      <c r="EN700" s="1697"/>
      <c r="EO700" s="1697"/>
      <c r="EP700" s="1697"/>
      <c r="EQ700" s="1697"/>
      <c r="ER700" s="1697"/>
      <c r="ES700" s="1697"/>
      <c r="ET700" s="1697"/>
      <c r="EU700" s="1697"/>
      <c r="EV700" s="1697"/>
      <c r="EW700" s="1697"/>
      <c r="EX700" s="1697"/>
      <c r="EY700" s="1697"/>
      <c r="EZ700" s="1697"/>
      <c r="FA700" s="1697"/>
      <c r="FB700" s="1697"/>
      <c r="FC700" s="1697"/>
      <c r="FD700" s="1697"/>
      <c r="FE700" s="1697"/>
      <c r="FF700" s="1697"/>
      <c r="FG700" s="1697"/>
      <c r="FH700" s="1697"/>
      <c r="FI700" s="1697"/>
    </row>
    <row r="701" spans="1:165">
      <c r="A701" s="1697"/>
      <c r="B701" s="1697"/>
      <c r="C701" s="1697"/>
      <c r="D701" s="1697"/>
      <c r="E701" s="1697"/>
      <c r="F701" s="1697"/>
      <c r="G701" s="1697"/>
      <c r="H701" s="1697"/>
      <c r="I701" s="1697"/>
      <c r="J701" s="1697"/>
      <c r="K701" s="1697"/>
      <c r="L701" s="1697"/>
      <c r="M701" s="1697"/>
      <c r="N701" s="1697"/>
      <c r="O701" s="1697"/>
      <c r="P701" s="1697"/>
      <c r="Q701" s="1697"/>
      <c r="R701" s="1697"/>
      <c r="S701" s="1697"/>
      <c r="T701" s="1697"/>
      <c r="U701" s="1697"/>
      <c r="V701" s="1697"/>
      <c r="W701" s="1697"/>
      <c r="X701" s="1697"/>
      <c r="Y701" s="1697"/>
      <c r="Z701" s="1697"/>
      <c r="AA701" s="1697"/>
      <c r="AB701" s="1697"/>
      <c r="AC701" s="1697"/>
      <c r="AD701" s="1697"/>
      <c r="AE701" s="1697"/>
      <c r="AF701" s="1697"/>
      <c r="AG701" s="1697"/>
      <c r="AH701" s="1697"/>
      <c r="AI701" s="1697"/>
      <c r="AJ701" s="1697"/>
      <c r="AK701" s="1697"/>
      <c r="AL701" s="1697"/>
      <c r="AM701" s="1697"/>
      <c r="AN701" s="1697"/>
      <c r="AO701" s="1697"/>
      <c r="AP701" s="1697"/>
      <c r="AQ701" s="1697"/>
      <c r="AR701" s="1697"/>
      <c r="AS701" s="1697"/>
      <c r="AT701" s="1697"/>
      <c r="AU701" s="1697"/>
      <c r="AV701" s="1697"/>
      <c r="AW701" s="1697"/>
      <c r="AX701" s="1697"/>
      <c r="AY701" s="1697"/>
      <c r="AZ701" s="1697"/>
      <c r="BA701" s="1697"/>
      <c r="BB701" s="1697"/>
      <c r="BC701" s="1697"/>
      <c r="BD701" s="1697"/>
      <c r="BE701" s="1697"/>
      <c r="BF701" s="1697"/>
      <c r="BG701" s="1697"/>
      <c r="BH701" s="1697"/>
      <c r="BI701" s="1697"/>
      <c r="BJ701" s="1697"/>
      <c r="BK701" s="1697"/>
      <c r="BL701" s="1697"/>
      <c r="BM701" s="1697"/>
      <c r="BN701" s="1697"/>
      <c r="BO701" s="1697"/>
      <c r="BP701" s="1697"/>
      <c r="BQ701" s="1697"/>
      <c r="BR701" s="1697"/>
      <c r="BS701" s="1697"/>
      <c r="BT701" s="1697"/>
      <c r="BU701" s="1697"/>
      <c r="BV701" s="1697"/>
      <c r="BW701" s="1697"/>
      <c r="BX701" s="1697"/>
      <c r="BY701" s="1697"/>
      <c r="BZ701" s="1697"/>
      <c r="CA701" s="1697"/>
      <c r="CB701" s="1697"/>
      <c r="CC701" s="1697"/>
      <c r="CD701" s="1697"/>
      <c r="CE701" s="1697"/>
      <c r="CF701" s="1697"/>
      <c r="CG701" s="1697"/>
      <c r="CH701" s="1697"/>
      <c r="CI701" s="1697"/>
      <c r="CJ701" s="1697"/>
      <c r="CK701" s="1697"/>
      <c r="CL701" s="1697"/>
      <c r="CM701" s="1697"/>
      <c r="CN701" s="1697"/>
      <c r="CO701" s="1697"/>
      <c r="CP701" s="1697"/>
      <c r="CQ701" s="1697"/>
      <c r="CR701" s="1697"/>
      <c r="CS701" s="1697"/>
      <c r="CT701" s="1697"/>
      <c r="CU701" s="1697"/>
      <c r="CV701" s="1697"/>
      <c r="CW701" s="1697"/>
      <c r="CX701" s="1697"/>
      <c r="CY701" s="1697"/>
      <c r="CZ701" s="1697"/>
      <c r="DA701" s="1697"/>
      <c r="DB701" s="1697"/>
      <c r="DC701" s="1697"/>
      <c r="DD701" s="1697"/>
      <c r="DE701" s="1697"/>
      <c r="DF701" s="1697"/>
      <c r="DG701" s="1697"/>
      <c r="DH701" s="1697"/>
      <c r="DI701" s="1697"/>
      <c r="DJ701" s="1697"/>
      <c r="DK701" s="1697"/>
      <c r="DL701" s="1697"/>
      <c r="DM701" s="1697"/>
      <c r="DN701" s="1697"/>
      <c r="DO701" s="1697"/>
      <c r="DP701" s="1697"/>
      <c r="DQ701" s="1697"/>
      <c r="DR701" s="1697"/>
      <c r="DS701" s="1697"/>
      <c r="DT701" s="1697"/>
      <c r="DU701" s="1697"/>
      <c r="DV701" s="1697"/>
      <c r="DW701" s="1697"/>
      <c r="DX701" s="1697"/>
      <c r="DY701" s="1697"/>
      <c r="DZ701" s="1697"/>
      <c r="EA701" s="1697"/>
      <c r="EB701" s="1697"/>
      <c r="EC701" s="1697"/>
      <c r="ED701" s="1697"/>
      <c r="EE701" s="1697"/>
      <c r="EF701" s="1697"/>
      <c r="EG701" s="1697"/>
      <c r="EH701" s="1697"/>
      <c r="EI701" s="1697"/>
      <c r="EJ701" s="1697"/>
      <c r="EK701" s="1697"/>
      <c r="EL701" s="1697"/>
      <c r="EM701" s="1697"/>
      <c r="EN701" s="1697"/>
      <c r="EO701" s="1697"/>
      <c r="EP701" s="1697"/>
      <c r="EQ701" s="1697"/>
      <c r="ER701" s="1697"/>
      <c r="ES701" s="1697"/>
      <c r="ET701" s="1697"/>
      <c r="EU701" s="1697"/>
      <c r="EV701" s="1697"/>
      <c r="EW701" s="1697"/>
      <c r="EX701" s="1697"/>
      <c r="EY701" s="1697"/>
      <c r="EZ701" s="1697"/>
      <c r="FA701" s="1697"/>
      <c r="FB701" s="1697"/>
      <c r="FC701" s="1697"/>
      <c r="FD701" s="1697"/>
      <c r="FE701" s="1697"/>
      <c r="FF701" s="1697"/>
      <c r="FG701" s="1697"/>
      <c r="FH701" s="1697"/>
      <c r="FI701" s="1697"/>
    </row>
    <row r="702" spans="1:165">
      <c r="A702" s="1697"/>
      <c r="B702" s="1697"/>
      <c r="C702" s="1697"/>
      <c r="D702" s="1697"/>
      <c r="E702" s="1697"/>
      <c r="F702" s="1697"/>
      <c r="G702" s="1697"/>
      <c r="H702" s="1697"/>
      <c r="I702" s="1697"/>
      <c r="J702" s="1697"/>
      <c r="K702" s="1697"/>
      <c r="L702" s="1697"/>
      <c r="M702" s="1697"/>
      <c r="N702" s="1697"/>
      <c r="O702" s="1697"/>
      <c r="P702" s="1697"/>
      <c r="Q702" s="1697"/>
      <c r="R702" s="1697"/>
      <c r="S702" s="1697"/>
      <c r="T702" s="1697"/>
      <c r="U702" s="1697"/>
      <c r="V702" s="1697"/>
      <c r="W702" s="1697"/>
      <c r="X702" s="1697"/>
      <c r="Y702" s="1697"/>
      <c r="Z702" s="1697"/>
      <c r="AA702" s="1697"/>
      <c r="AB702" s="1697"/>
      <c r="AC702" s="1697"/>
      <c r="AD702" s="1697"/>
      <c r="AE702" s="1697"/>
      <c r="AF702" s="1697"/>
      <c r="AG702" s="1697"/>
      <c r="AH702" s="1697"/>
      <c r="AI702" s="1697"/>
      <c r="AJ702" s="1697"/>
      <c r="AK702" s="1697"/>
      <c r="AL702" s="1697"/>
      <c r="AM702" s="1697"/>
      <c r="AN702" s="1697"/>
      <c r="AO702" s="1697"/>
      <c r="AP702" s="1697"/>
      <c r="AQ702" s="1697"/>
      <c r="AR702" s="1697"/>
      <c r="AS702" s="1697"/>
      <c r="AT702" s="1697"/>
      <c r="AU702" s="1697"/>
      <c r="AV702" s="1697"/>
      <c r="AW702" s="1697"/>
      <c r="AX702" s="1697"/>
      <c r="AY702" s="1697"/>
      <c r="AZ702" s="1697"/>
      <c r="BA702" s="1697"/>
      <c r="BB702" s="1697"/>
      <c r="BC702" s="1697"/>
      <c r="BD702" s="1697"/>
      <c r="BE702" s="1697"/>
      <c r="BF702" s="1697"/>
      <c r="BG702" s="1697"/>
      <c r="BH702" s="1697"/>
      <c r="BI702" s="1697"/>
      <c r="BJ702" s="1697"/>
      <c r="BK702" s="1697"/>
      <c r="BL702" s="1697"/>
      <c r="BM702" s="1697"/>
      <c r="BN702" s="1697"/>
      <c r="BO702" s="1697"/>
      <c r="BP702" s="1697"/>
      <c r="BQ702" s="1697"/>
      <c r="BR702" s="1697"/>
      <c r="BS702" s="1697"/>
      <c r="BT702" s="1697"/>
      <c r="BU702" s="1697"/>
      <c r="BV702" s="1697"/>
      <c r="BW702" s="1697"/>
      <c r="BX702" s="1697"/>
      <c r="BY702" s="1697"/>
      <c r="BZ702" s="1697"/>
      <c r="CA702" s="1697"/>
      <c r="CB702" s="1697"/>
      <c r="CC702" s="1697"/>
      <c r="CD702" s="1697"/>
      <c r="CE702" s="1697"/>
      <c r="CF702" s="1697"/>
      <c r="CG702" s="1697"/>
      <c r="CH702" s="1697"/>
      <c r="CI702" s="1697"/>
      <c r="CJ702" s="1697"/>
      <c r="CK702" s="1697"/>
      <c r="CL702" s="1697"/>
      <c r="CM702" s="1697"/>
      <c r="CN702" s="1697"/>
      <c r="CO702" s="1697"/>
      <c r="CP702" s="1697"/>
      <c r="CQ702" s="1697"/>
      <c r="CR702" s="1697"/>
      <c r="CS702" s="1697"/>
      <c r="CT702" s="1697"/>
      <c r="CU702" s="1697"/>
      <c r="CV702" s="1697"/>
      <c r="CW702" s="1697"/>
      <c r="CX702" s="1697"/>
      <c r="CY702" s="1697"/>
      <c r="CZ702" s="1697"/>
      <c r="DA702" s="1697"/>
      <c r="DB702" s="1697"/>
      <c r="DC702" s="1697"/>
      <c r="DD702" s="1697"/>
      <c r="DE702" s="1697"/>
      <c r="DF702" s="1697"/>
      <c r="DG702" s="1697"/>
      <c r="DH702" s="1697"/>
      <c r="DI702" s="1697"/>
      <c r="DJ702" s="1697"/>
      <c r="DK702" s="1697"/>
      <c r="DL702" s="1697"/>
      <c r="DM702" s="1697"/>
      <c r="DN702" s="1697"/>
      <c r="DO702" s="1697"/>
      <c r="DP702" s="1697"/>
      <c r="DQ702" s="1697"/>
      <c r="DR702" s="1697"/>
      <c r="DS702" s="1697"/>
      <c r="DT702" s="1697"/>
      <c r="DU702" s="1697"/>
      <c r="DV702" s="1697"/>
      <c r="DW702" s="1697"/>
      <c r="DX702" s="1697"/>
      <c r="DY702" s="1697"/>
      <c r="DZ702" s="1697"/>
      <c r="EA702" s="1697"/>
      <c r="EB702" s="1697"/>
      <c r="EC702" s="1697"/>
      <c r="ED702" s="1697"/>
      <c r="EE702" s="1697"/>
      <c r="EF702" s="1697"/>
      <c r="EG702" s="1697"/>
      <c r="EH702" s="1697"/>
      <c r="EI702" s="1697"/>
      <c r="EJ702" s="1697"/>
      <c r="EK702" s="1697"/>
      <c r="EL702" s="1697"/>
      <c r="EM702" s="1697"/>
      <c r="EN702" s="1697"/>
      <c r="EO702" s="1697"/>
      <c r="EP702" s="1697"/>
      <c r="EQ702" s="1697"/>
      <c r="ER702" s="1697"/>
      <c r="ES702" s="1697"/>
      <c r="ET702" s="1697"/>
      <c r="EU702" s="1697"/>
      <c r="EV702" s="1697"/>
      <c r="EW702" s="1697"/>
      <c r="EX702" s="1697"/>
      <c r="EY702" s="1697"/>
      <c r="EZ702" s="1697"/>
      <c r="FA702" s="1697"/>
      <c r="FB702" s="1697"/>
      <c r="FC702" s="1697"/>
      <c r="FD702" s="1697"/>
      <c r="FE702" s="1697"/>
      <c r="FF702" s="1697"/>
      <c r="FG702" s="1697"/>
      <c r="FH702" s="1697"/>
      <c r="FI702" s="1697"/>
    </row>
    <row r="703" spans="1:165">
      <c r="A703" s="1697"/>
      <c r="B703" s="1697"/>
      <c r="C703" s="1697"/>
      <c r="D703" s="1697"/>
      <c r="E703" s="1697"/>
      <c r="F703" s="1697"/>
      <c r="G703" s="1697"/>
      <c r="H703" s="1697"/>
      <c r="I703" s="1697"/>
      <c r="J703" s="1697"/>
      <c r="K703" s="1697"/>
      <c r="L703" s="1697"/>
      <c r="M703" s="1697"/>
      <c r="N703" s="1697"/>
      <c r="O703" s="1697"/>
      <c r="P703" s="1697"/>
      <c r="Q703" s="1697"/>
      <c r="R703" s="1697"/>
      <c r="S703" s="1697"/>
      <c r="T703" s="1697"/>
      <c r="U703" s="1697"/>
      <c r="V703" s="1697"/>
      <c r="W703" s="1697"/>
      <c r="X703" s="1697"/>
      <c r="Y703" s="1697"/>
      <c r="Z703" s="1697"/>
      <c r="AA703" s="1697"/>
      <c r="AB703" s="1697"/>
      <c r="AC703" s="1697"/>
      <c r="AD703" s="1697"/>
      <c r="AE703" s="1697"/>
      <c r="AF703" s="1697"/>
      <c r="AG703" s="1697"/>
      <c r="AH703" s="1697"/>
      <c r="AI703" s="1697"/>
      <c r="AJ703" s="1697"/>
      <c r="AK703" s="1697"/>
      <c r="AL703" s="1697"/>
      <c r="AM703" s="1697"/>
      <c r="AN703" s="1697"/>
      <c r="AO703" s="1697"/>
      <c r="AP703" s="1697"/>
      <c r="AQ703" s="1697"/>
      <c r="AR703" s="1697"/>
      <c r="AS703" s="1697"/>
      <c r="AT703" s="1697"/>
      <c r="AU703" s="1697"/>
      <c r="AV703" s="1697"/>
      <c r="AW703" s="1697"/>
      <c r="AX703" s="1697"/>
      <c r="AY703" s="1697"/>
      <c r="AZ703" s="1697"/>
      <c r="BA703" s="1697"/>
      <c r="BB703" s="1697"/>
      <c r="BC703" s="1697"/>
      <c r="BD703" s="1697"/>
      <c r="BE703" s="1697"/>
      <c r="BF703" s="1697"/>
      <c r="BG703" s="1697"/>
      <c r="BH703" s="1697"/>
      <c r="BI703" s="1697"/>
      <c r="BJ703" s="1697"/>
      <c r="BK703" s="1697"/>
      <c r="BL703" s="1697"/>
      <c r="BM703" s="1697"/>
      <c r="BN703" s="1697"/>
      <c r="BO703" s="1697"/>
      <c r="BP703" s="1697"/>
      <c r="BQ703" s="1697"/>
      <c r="BR703" s="1697"/>
      <c r="BS703" s="1697"/>
      <c r="BT703" s="1697"/>
      <c r="BU703" s="1697"/>
      <c r="BV703" s="1697"/>
      <c r="BW703" s="1697"/>
      <c r="BX703" s="1697"/>
      <c r="BY703" s="1697"/>
      <c r="BZ703" s="1697"/>
      <c r="CA703" s="1697"/>
      <c r="CB703" s="1697"/>
      <c r="CC703" s="1697"/>
      <c r="CD703" s="1697"/>
      <c r="CE703" s="1697"/>
      <c r="CF703" s="1697"/>
      <c r="CG703" s="1697"/>
      <c r="CH703" s="1697"/>
      <c r="CI703" s="1697"/>
      <c r="CJ703" s="1697"/>
      <c r="CK703" s="1697"/>
      <c r="CL703" s="1697"/>
      <c r="CM703" s="1697"/>
      <c r="CN703" s="1697"/>
      <c r="CO703" s="1697"/>
      <c r="CP703" s="1697"/>
      <c r="CQ703" s="1697"/>
      <c r="CR703" s="1697"/>
      <c r="CS703" s="1697"/>
      <c r="CT703" s="1697"/>
      <c r="CU703" s="1697"/>
      <c r="CV703" s="1697"/>
      <c r="CW703" s="1697"/>
      <c r="CX703" s="1697"/>
      <c r="CY703" s="1697"/>
      <c r="CZ703" s="1697"/>
      <c r="DA703" s="1697"/>
      <c r="DB703" s="1697"/>
      <c r="DC703" s="1697"/>
      <c r="DD703" s="1697"/>
      <c r="DE703" s="1697"/>
      <c r="DF703" s="1697"/>
      <c r="DG703" s="1697"/>
      <c r="DH703" s="1697"/>
      <c r="DI703" s="1697"/>
      <c r="DJ703" s="1697"/>
      <c r="DK703" s="1697"/>
      <c r="DL703" s="1697"/>
      <c r="DM703" s="1697"/>
      <c r="DN703" s="1697"/>
      <c r="DO703" s="1697"/>
      <c r="DP703" s="1697"/>
      <c r="DQ703" s="1697"/>
      <c r="DR703" s="1697"/>
      <c r="DS703" s="1697"/>
      <c r="DT703" s="1697"/>
      <c r="DU703" s="1697"/>
      <c r="DV703" s="1697"/>
      <c r="DW703" s="1697"/>
      <c r="DX703" s="1697"/>
      <c r="DY703" s="1697"/>
      <c r="DZ703" s="1697"/>
      <c r="EA703" s="1697"/>
      <c r="EB703" s="1697"/>
      <c r="EC703" s="1697"/>
      <c r="ED703" s="1697"/>
      <c r="EE703" s="1697"/>
      <c r="EF703" s="1697"/>
      <c r="EG703" s="1697"/>
      <c r="EH703" s="1697"/>
      <c r="EI703" s="1697"/>
      <c r="EJ703" s="1697"/>
      <c r="EK703" s="1697"/>
      <c r="EL703" s="1697"/>
      <c r="EM703" s="1697"/>
      <c r="EN703" s="1697"/>
      <c r="EO703" s="1697"/>
      <c r="EP703" s="1697"/>
      <c r="EQ703" s="1697"/>
      <c r="ER703" s="1697"/>
      <c r="ES703" s="1697"/>
      <c r="ET703" s="1697"/>
      <c r="EU703" s="1697"/>
      <c r="EV703" s="1697"/>
      <c r="EW703" s="1697"/>
      <c r="EX703" s="1697"/>
      <c r="EY703" s="1697"/>
      <c r="EZ703" s="1697"/>
      <c r="FA703" s="1697"/>
      <c r="FB703" s="1697"/>
      <c r="FC703" s="1697"/>
      <c r="FD703" s="1697"/>
      <c r="FE703" s="1697"/>
      <c r="FF703" s="1697"/>
      <c r="FG703" s="1697"/>
      <c r="FH703" s="1697"/>
      <c r="FI703" s="1697"/>
    </row>
    <row r="704" spans="1:165">
      <c r="A704" s="1697"/>
      <c r="B704" s="1697"/>
      <c r="C704" s="1697"/>
      <c r="D704" s="1697"/>
      <c r="E704" s="1697"/>
      <c r="F704" s="1697"/>
      <c r="G704" s="1697"/>
      <c r="H704" s="1697"/>
      <c r="I704" s="1697"/>
      <c r="J704" s="1697"/>
      <c r="K704" s="1697"/>
      <c r="L704" s="1697"/>
      <c r="M704" s="1697"/>
      <c r="N704" s="1697"/>
      <c r="O704" s="1697"/>
      <c r="P704" s="1697"/>
      <c r="Q704" s="1697"/>
      <c r="R704" s="1697"/>
      <c r="S704" s="1697"/>
      <c r="T704" s="1697"/>
      <c r="U704" s="1697"/>
      <c r="V704" s="1697"/>
      <c r="W704" s="1697"/>
      <c r="X704" s="1697"/>
      <c r="Y704" s="1697"/>
      <c r="Z704" s="1697"/>
      <c r="AA704" s="1697"/>
      <c r="AB704" s="1697"/>
      <c r="AC704" s="1697"/>
      <c r="AD704" s="1697"/>
      <c r="AE704" s="1697"/>
      <c r="AF704" s="1697"/>
      <c r="AG704" s="1697"/>
      <c r="AH704" s="1697"/>
      <c r="AI704" s="1697"/>
      <c r="AJ704" s="1697"/>
      <c r="AK704" s="1697"/>
      <c r="AL704" s="1697"/>
      <c r="AM704" s="1697"/>
      <c r="AN704" s="1697"/>
      <c r="AO704" s="1697"/>
      <c r="AP704" s="1697"/>
      <c r="AQ704" s="1697"/>
      <c r="AR704" s="1697"/>
      <c r="AS704" s="1697"/>
      <c r="AT704" s="1697"/>
      <c r="AU704" s="1697"/>
      <c r="AV704" s="1697"/>
      <c r="AW704" s="1697"/>
      <c r="AX704" s="1697"/>
      <c r="AY704" s="1697"/>
      <c r="AZ704" s="1697"/>
      <c r="BA704" s="1697"/>
      <c r="BB704" s="1697"/>
      <c r="BC704" s="1697"/>
      <c r="BD704" s="1697"/>
      <c r="BE704" s="1697"/>
      <c r="BF704" s="1697"/>
      <c r="BG704" s="1697"/>
      <c r="BH704" s="1697"/>
      <c r="BI704" s="1697"/>
      <c r="BJ704" s="1697"/>
      <c r="BK704" s="1697"/>
      <c r="BL704" s="1697"/>
      <c r="BM704" s="1697"/>
      <c r="BN704" s="1697"/>
      <c r="BO704" s="1697"/>
      <c r="BP704" s="1697"/>
      <c r="BQ704" s="1697"/>
      <c r="BR704" s="1697"/>
      <c r="BS704" s="1697"/>
      <c r="BT704" s="1697"/>
      <c r="BU704" s="1697"/>
      <c r="BV704" s="1697"/>
      <c r="BW704" s="1697"/>
      <c r="BX704" s="1697"/>
      <c r="BY704" s="1697"/>
      <c r="BZ704" s="1697"/>
      <c r="CA704" s="1697"/>
      <c r="CB704" s="1697"/>
      <c r="CC704" s="1697"/>
      <c r="CD704" s="1697"/>
      <c r="CE704" s="1697"/>
      <c r="CF704" s="1697"/>
      <c r="CG704" s="1697"/>
      <c r="CH704" s="1697"/>
      <c r="CI704" s="1697"/>
      <c r="CJ704" s="1697"/>
      <c r="CK704" s="1697"/>
      <c r="CL704" s="1697"/>
      <c r="CM704" s="1697"/>
      <c r="CN704" s="1697"/>
      <c r="CO704" s="1697"/>
      <c r="CP704" s="1697"/>
      <c r="CQ704" s="1697"/>
      <c r="CR704" s="1697"/>
      <c r="CS704" s="1697"/>
      <c r="CT704" s="1697"/>
      <c r="CU704" s="1697"/>
      <c r="CV704" s="1697"/>
      <c r="CW704" s="1697"/>
      <c r="CX704" s="1697"/>
      <c r="CY704" s="1697"/>
      <c r="CZ704" s="1697"/>
      <c r="DA704" s="1697"/>
      <c r="DB704" s="1697"/>
      <c r="DC704" s="1697"/>
      <c r="DD704" s="1697"/>
      <c r="DE704" s="1697"/>
      <c r="DF704" s="1697"/>
      <c r="DG704" s="1697"/>
      <c r="DH704" s="1697"/>
      <c r="DI704" s="1697"/>
      <c r="DJ704" s="1697"/>
      <c r="DK704" s="1697"/>
      <c r="DL704" s="1697"/>
      <c r="DM704" s="1697"/>
      <c r="DN704" s="1697"/>
      <c r="DO704" s="1697"/>
      <c r="DP704" s="1697"/>
      <c r="DQ704" s="1697"/>
      <c r="DR704" s="1697"/>
      <c r="DS704" s="1697"/>
      <c r="DT704" s="1697"/>
      <c r="DU704" s="1697"/>
      <c r="DV704" s="1697"/>
      <c r="DW704" s="1697"/>
      <c r="DX704" s="1697"/>
      <c r="DY704" s="1697"/>
      <c r="DZ704" s="1697"/>
      <c r="EA704" s="1697"/>
      <c r="EB704" s="1697"/>
      <c r="EC704" s="1697"/>
      <c r="ED704" s="1697"/>
      <c r="EE704" s="1697"/>
      <c r="EF704" s="1697"/>
      <c r="EG704" s="1697"/>
      <c r="EH704" s="1697"/>
      <c r="EI704" s="1697"/>
      <c r="EJ704" s="1697"/>
      <c r="EK704" s="1697"/>
      <c r="EL704" s="1697"/>
      <c r="EM704" s="1697"/>
      <c r="EN704" s="1697"/>
      <c r="EO704" s="1697"/>
      <c r="EP704" s="1697"/>
      <c r="EQ704" s="1697"/>
      <c r="ER704" s="1697"/>
      <c r="ES704" s="1697"/>
      <c r="ET704" s="1697"/>
      <c r="EU704" s="1697"/>
      <c r="EV704" s="1697"/>
      <c r="EW704" s="1697"/>
      <c r="EX704" s="1697"/>
      <c r="EY704" s="1697"/>
      <c r="EZ704" s="1697"/>
      <c r="FA704" s="1697"/>
      <c r="FB704" s="1697"/>
      <c r="FC704" s="1697"/>
      <c r="FD704" s="1697"/>
      <c r="FE704" s="1697"/>
      <c r="FF704" s="1697"/>
      <c r="FG704" s="1697"/>
      <c r="FH704" s="1697"/>
      <c r="FI704" s="1697"/>
    </row>
    <row r="705" spans="1:165">
      <c r="A705" s="1697"/>
      <c r="B705" s="1697"/>
      <c r="C705" s="1697"/>
      <c r="D705" s="1697"/>
      <c r="E705" s="1697"/>
      <c r="F705" s="1697"/>
      <c r="G705" s="1697"/>
      <c r="H705" s="1697"/>
      <c r="I705" s="1697"/>
      <c r="J705" s="1697"/>
      <c r="K705" s="1697"/>
      <c r="L705" s="1697"/>
      <c r="M705" s="1697"/>
      <c r="N705" s="1697"/>
      <c r="O705" s="1697"/>
      <c r="P705" s="1697"/>
      <c r="Q705" s="1697"/>
      <c r="R705" s="1697"/>
      <c r="S705" s="1697"/>
      <c r="T705" s="1697"/>
      <c r="U705" s="1697"/>
      <c r="V705" s="1697"/>
      <c r="W705" s="1697"/>
      <c r="X705" s="1697"/>
      <c r="Y705" s="1697"/>
      <c r="Z705" s="1697"/>
      <c r="AA705" s="1697"/>
      <c r="AB705" s="1697"/>
      <c r="AC705" s="1697"/>
      <c r="AD705" s="1697"/>
      <c r="AE705" s="1697"/>
      <c r="AF705" s="1697"/>
      <c r="AG705" s="1697"/>
      <c r="AH705" s="1697"/>
      <c r="AI705" s="1697"/>
      <c r="AJ705" s="1697"/>
      <c r="AK705" s="1697"/>
      <c r="AL705" s="1697"/>
      <c r="AM705" s="1697"/>
      <c r="AN705" s="1697"/>
      <c r="AO705" s="1697"/>
      <c r="AP705" s="1697"/>
      <c r="AQ705" s="1697"/>
      <c r="AR705" s="1697"/>
      <c r="AS705" s="1697"/>
      <c r="AT705" s="1697"/>
      <c r="AU705" s="1697"/>
      <c r="AV705" s="1697"/>
      <c r="AW705" s="1697"/>
      <c r="AX705" s="1697"/>
      <c r="AY705" s="1697"/>
      <c r="AZ705" s="1697"/>
      <c r="BA705" s="1697"/>
      <c r="BB705" s="1697"/>
      <c r="BC705" s="1697"/>
      <c r="BD705" s="1697"/>
      <c r="BE705" s="1697"/>
      <c r="BF705" s="1697"/>
      <c r="BG705" s="1697"/>
      <c r="BH705" s="1697"/>
      <c r="BI705" s="1697"/>
      <c r="BJ705" s="1697"/>
      <c r="BK705" s="1697"/>
      <c r="BL705" s="1697"/>
      <c r="BM705" s="1697"/>
      <c r="BN705" s="1697"/>
      <c r="BO705" s="1697"/>
      <c r="BP705" s="1697"/>
      <c r="BQ705" s="1697"/>
      <c r="BR705" s="1697"/>
      <c r="BS705" s="1697"/>
      <c r="BT705" s="1697"/>
      <c r="BU705" s="1697"/>
      <c r="BV705" s="1697"/>
      <c r="BW705" s="1697"/>
      <c r="BX705" s="1697"/>
      <c r="BY705" s="1697"/>
      <c r="BZ705" s="1697"/>
      <c r="CA705" s="1697"/>
      <c r="CB705" s="1697"/>
      <c r="CC705" s="1697"/>
      <c r="CD705" s="1697"/>
      <c r="CE705" s="1697"/>
      <c r="CF705" s="1697"/>
      <c r="CG705" s="1697"/>
      <c r="CH705" s="1697"/>
      <c r="CI705" s="1697"/>
      <c r="CJ705" s="1697"/>
      <c r="CK705" s="1697"/>
      <c r="CL705" s="1697"/>
      <c r="CM705" s="1697"/>
      <c r="CN705" s="1697"/>
      <c r="CO705" s="1697"/>
      <c r="CP705" s="1697"/>
      <c r="CQ705" s="1697"/>
      <c r="CR705" s="1697"/>
      <c r="CS705" s="1697"/>
      <c r="CT705" s="1697"/>
      <c r="CU705" s="1697"/>
      <c r="CV705" s="1697"/>
      <c r="CW705" s="1697"/>
      <c r="CX705" s="1697"/>
      <c r="CY705" s="1697"/>
      <c r="CZ705" s="1697"/>
      <c r="DA705" s="1697"/>
      <c r="DB705" s="1697"/>
      <c r="DC705" s="1697"/>
      <c r="DD705" s="1697"/>
      <c r="DE705" s="1697"/>
      <c r="DF705" s="1697"/>
      <c r="DG705" s="1697"/>
      <c r="DH705" s="1697"/>
      <c r="DI705" s="1697"/>
      <c r="DJ705" s="1697"/>
      <c r="DK705" s="1697"/>
      <c r="DL705" s="1697"/>
      <c r="DM705" s="1697"/>
      <c r="DN705" s="1697"/>
      <c r="DO705" s="1697"/>
      <c r="DP705" s="1697"/>
      <c r="DQ705" s="1697"/>
      <c r="DR705" s="1697"/>
      <c r="DS705" s="1697"/>
      <c r="DT705" s="1697"/>
      <c r="DU705" s="1697"/>
      <c r="DV705" s="1697"/>
      <c r="DW705" s="1697"/>
      <c r="DX705" s="1697"/>
      <c r="DY705" s="1697"/>
      <c r="DZ705" s="1697"/>
      <c r="EA705" s="1697"/>
      <c r="EB705" s="1697"/>
      <c r="EC705" s="1697"/>
      <c r="ED705" s="1697"/>
      <c r="EE705" s="1697"/>
      <c r="EF705" s="1697"/>
      <c r="EG705" s="1697"/>
      <c r="EH705" s="1697"/>
      <c r="EI705" s="1697"/>
      <c r="EJ705" s="1697"/>
      <c r="EK705" s="1697"/>
      <c r="EL705" s="1697"/>
      <c r="EM705" s="1697"/>
      <c r="EN705" s="1697"/>
      <c r="EO705" s="1697"/>
      <c r="EP705" s="1697"/>
      <c r="EQ705" s="1697"/>
      <c r="ER705" s="1697"/>
      <c r="ES705" s="1697"/>
      <c r="ET705" s="1697"/>
      <c r="EU705" s="1697"/>
      <c r="EV705" s="1697"/>
      <c r="EW705" s="1697"/>
      <c r="EX705" s="1697"/>
      <c r="EY705" s="1697"/>
      <c r="EZ705" s="1697"/>
      <c r="FA705" s="1697"/>
      <c r="FB705" s="1697"/>
      <c r="FC705" s="1697"/>
      <c r="FD705" s="1697"/>
      <c r="FE705" s="1697"/>
      <c r="FF705" s="1697"/>
      <c r="FG705" s="1697"/>
      <c r="FH705" s="1697"/>
      <c r="FI705" s="1697"/>
    </row>
    <row r="706" spans="1:165">
      <c r="A706" s="1697"/>
      <c r="B706" s="1697"/>
      <c r="C706" s="1697"/>
      <c r="D706" s="1697"/>
      <c r="E706" s="1697"/>
      <c r="F706" s="1697"/>
      <c r="G706" s="1697"/>
      <c r="H706" s="1697"/>
      <c r="I706" s="1697"/>
      <c r="J706" s="1697"/>
      <c r="K706" s="1697"/>
      <c r="L706" s="1697"/>
      <c r="M706" s="1697"/>
      <c r="N706" s="1697"/>
      <c r="O706" s="1697"/>
      <c r="P706" s="1697"/>
      <c r="Q706" s="1697"/>
      <c r="R706" s="1697"/>
      <c r="S706" s="1697"/>
      <c r="T706" s="1697"/>
      <c r="U706" s="1697"/>
      <c r="V706" s="1697"/>
      <c r="W706" s="1697"/>
      <c r="X706" s="1697"/>
      <c r="Y706" s="1697"/>
      <c r="Z706" s="1697"/>
      <c r="AA706" s="1697"/>
      <c r="AB706" s="1697"/>
      <c r="AC706" s="1697"/>
      <c r="AD706" s="1697"/>
      <c r="AE706" s="1697"/>
      <c r="AF706" s="1697"/>
      <c r="AG706" s="1697"/>
      <c r="AH706" s="1697"/>
      <c r="AI706" s="1697"/>
      <c r="AJ706" s="1697"/>
      <c r="AK706" s="1697"/>
      <c r="AL706" s="1697"/>
      <c r="AM706" s="1697"/>
      <c r="AN706" s="1697"/>
      <c r="AO706" s="1697"/>
      <c r="AP706" s="1697"/>
      <c r="AQ706" s="1697"/>
      <c r="AR706" s="1697"/>
      <c r="AS706" s="1697"/>
      <c r="AT706" s="1697"/>
      <c r="AU706" s="1697"/>
      <c r="AV706" s="1697"/>
      <c r="AW706" s="1697"/>
      <c r="AX706" s="1697"/>
      <c r="AY706" s="1697"/>
      <c r="AZ706" s="1697"/>
      <c r="BA706" s="1697"/>
      <c r="BB706" s="1697"/>
      <c r="BC706" s="1697"/>
      <c r="BD706" s="1697"/>
      <c r="BE706" s="1697"/>
      <c r="BF706" s="1697"/>
      <c r="BG706" s="1697"/>
      <c r="BH706" s="1697"/>
      <c r="BI706" s="1697"/>
      <c r="BJ706" s="1697"/>
      <c r="BK706" s="1697"/>
      <c r="BL706" s="1697"/>
      <c r="BM706" s="1697"/>
      <c r="BN706" s="1697"/>
      <c r="BO706" s="1697"/>
      <c r="BP706" s="1697"/>
      <c r="BQ706" s="1697"/>
      <c r="BR706" s="1697"/>
      <c r="BS706" s="1697"/>
      <c r="BT706" s="1697"/>
      <c r="BU706" s="1697"/>
      <c r="BV706" s="1697"/>
      <c r="BW706" s="1697"/>
      <c r="BX706" s="1697"/>
      <c r="BY706" s="1697"/>
      <c r="BZ706" s="1697"/>
      <c r="CA706" s="1697"/>
      <c r="CB706" s="1697"/>
      <c r="CC706" s="1697"/>
      <c r="CD706" s="1697"/>
      <c r="CE706" s="1697"/>
      <c r="CF706" s="1697"/>
      <c r="CG706" s="1697"/>
      <c r="CH706" s="1697"/>
      <c r="CI706" s="1697"/>
      <c r="CJ706" s="1697"/>
      <c r="CK706" s="1697"/>
      <c r="CL706" s="1697"/>
      <c r="CM706" s="1697"/>
      <c r="CN706" s="1697"/>
      <c r="CO706" s="1697"/>
      <c r="CP706" s="1697"/>
      <c r="CQ706" s="1697"/>
      <c r="CR706" s="1697"/>
      <c r="CS706" s="1697"/>
      <c r="CT706" s="1697"/>
      <c r="CU706" s="1697"/>
      <c r="CV706" s="1697"/>
      <c r="CW706" s="1697"/>
      <c r="CX706" s="1697"/>
      <c r="CY706" s="1697"/>
      <c r="CZ706" s="1697"/>
      <c r="DA706" s="1697"/>
      <c r="DB706" s="1697"/>
      <c r="DC706" s="1697"/>
      <c r="DD706" s="1697"/>
      <c r="DE706" s="1697"/>
      <c r="DF706" s="1697"/>
      <c r="DG706" s="1697"/>
      <c r="DH706" s="1697"/>
      <c r="DI706" s="1697"/>
      <c r="DJ706" s="1697"/>
      <c r="DK706" s="1697"/>
      <c r="DL706" s="1697"/>
      <c r="DM706" s="1697"/>
      <c r="DN706" s="1697"/>
      <c r="DO706" s="1697"/>
      <c r="DP706" s="1697"/>
      <c r="DQ706" s="1697"/>
      <c r="DR706" s="1697"/>
      <c r="DS706" s="1697"/>
      <c r="DT706" s="1697"/>
      <c r="DU706" s="1697"/>
      <c r="DV706" s="1697"/>
      <c r="DW706" s="1697"/>
      <c r="DX706" s="1697"/>
      <c r="DY706" s="1697"/>
      <c r="DZ706" s="1697"/>
      <c r="EA706" s="1697"/>
      <c r="EB706" s="1697"/>
      <c r="EC706" s="1697"/>
      <c r="ED706" s="1697"/>
      <c r="EE706" s="1697"/>
      <c r="EF706" s="1697"/>
      <c r="EG706" s="1697"/>
      <c r="EH706" s="1697"/>
      <c r="EI706" s="1697"/>
      <c r="EJ706" s="1697"/>
      <c r="EK706" s="1697"/>
      <c r="EL706" s="1697"/>
      <c r="EM706" s="1697"/>
      <c r="EN706" s="1697"/>
      <c r="EO706" s="1697"/>
      <c r="EP706" s="1697"/>
      <c r="EQ706" s="1697"/>
      <c r="ER706" s="1697"/>
      <c r="ES706" s="1697"/>
      <c r="ET706" s="1697"/>
      <c r="EU706" s="1697"/>
      <c r="EV706" s="1697"/>
      <c r="EW706" s="1697"/>
      <c r="EX706" s="1697"/>
      <c r="EY706" s="1697"/>
      <c r="EZ706" s="1697"/>
      <c r="FA706" s="1697"/>
      <c r="FB706" s="1697"/>
      <c r="FC706" s="1697"/>
      <c r="FD706" s="1697"/>
      <c r="FE706" s="1697"/>
      <c r="FF706" s="1697"/>
      <c r="FG706" s="1697"/>
      <c r="FH706" s="1697"/>
      <c r="FI706" s="1697"/>
    </row>
    <row r="707" spans="1:165">
      <c r="A707" s="1697"/>
      <c r="B707" s="1697"/>
      <c r="C707" s="1697"/>
      <c r="D707" s="1697"/>
      <c r="E707" s="1697"/>
      <c r="F707" s="1697"/>
      <c r="G707" s="1697"/>
      <c r="H707" s="1697"/>
      <c r="I707" s="1697"/>
      <c r="J707" s="1697"/>
      <c r="K707" s="1697"/>
      <c r="L707" s="1697"/>
      <c r="M707" s="1697"/>
      <c r="N707" s="1697"/>
      <c r="O707" s="1697"/>
      <c r="P707" s="1697"/>
      <c r="Q707" s="1697"/>
      <c r="R707" s="1697"/>
      <c r="S707" s="1697"/>
      <c r="T707" s="1697"/>
      <c r="U707" s="1697"/>
      <c r="V707" s="1697"/>
      <c r="W707" s="1697"/>
      <c r="X707" s="1697"/>
      <c r="Y707" s="1697"/>
      <c r="Z707" s="1697"/>
      <c r="AA707" s="1697"/>
      <c r="AB707" s="1697"/>
      <c r="AC707" s="1697"/>
      <c r="AD707" s="1697"/>
      <c r="AE707" s="1697"/>
      <c r="AF707" s="1697"/>
      <c r="AG707" s="1697"/>
      <c r="AH707" s="1697"/>
      <c r="AI707" s="1697"/>
      <c r="AJ707" s="1697"/>
      <c r="AK707" s="1697"/>
      <c r="AL707" s="1697"/>
      <c r="AM707" s="1697"/>
      <c r="AN707" s="1697"/>
      <c r="AO707" s="1697"/>
      <c r="AP707" s="1697"/>
      <c r="AQ707" s="1697"/>
      <c r="AR707" s="1697"/>
      <c r="AS707" s="1697"/>
      <c r="AT707" s="1697"/>
      <c r="AU707" s="1697"/>
      <c r="AV707" s="1697"/>
      <c r="AW707" s="1697"/>
      <c r="AX707" s="1697"/>
      <c r="AY707" s="1697"/>
      <c r="AZ707" s="1697"/>
      <c r="BA707" s="1697"/>
      <c r="BB707" s="1697"/>
      <c r="BC707" s="1697"/>
      <c r="BD707" s="1697"/>
      <c r="BE707" s="1697"/>
      <c r="BF707" s="1697"/>
      <c r="BG707" s="1697"/>
      <c r="BH707" s="1697"/>
      <c r="BI707" s="1697"/>
      <c r="BJ707" s="1697"/>
      <c r="BK707" s="1697"/>
      <c r="BL707" s="1697"/>
      <c r="BM707" s="1697"/>
      <c r="BN707" s="1697"/>
      <c r="BO707" s="1697"/>
      <c r="BP707" s="1697"/>
      <c r="BQ707" s="1697"/>
      <c r="BR707" s="1697"/>
      <c r="BS707" s="1697"/>
      <c r="BT707" s="1697"/>
      <c r="BU707" s="1697"/>
      <c r="BV707" s="1697"/>
      <c r="BW707" s="1697"/>
      <c r="BX707" s="1697"/>
      <c r="BY707" s="1697"/>
      <c r="BZ707" s="1697"/>
      <c r="CA707" s="1697"/>
      <c r="CB707" s="1697"/>
      <c r="CC707" s="1697"/>
      <c r="CD707" s="1697"/>
      <c r="CE707" s="1697"/>
      <c r="CF707" s="1697"/>
      <c r="CG707" s="1697"/>
      <c r="CH707" s="1697"/>
      <c r="CI707" s="1697"/>
      <c r="CJ707" s="1697"/>
      <c r="CK707" s="1697"/>
      <c r="CL707" s="1697"/>
      <c r="CM707" s="1697"/>
      <c r="CN707" s="1697"/>
      <c r="CO707" s="1697"/>
      <c r="CP707" s="1697"/>
      <c r="CQ707" s="1697"/>
      <c r="CR707" s="1697"/>
      <c r="CS707" s="1697"/>
      <c r="CT707" s="1697"/>
      <c r="CU707" s="1697"/>
      <c r="CV707" s="1697"/>
      <c r="CW707" s="1697"/>
      <c r="CX707" s="1697"/>
      <c r="CY707" s="1697"/>
      <c r="CZ707" s="1697"/>
      <c r="DA707" s="1697"/>
      <c r="DB707" s="1697"/>
      <c r="DC707" s="1697"/>
      <c r="DD707" s="1697"/>
      <c r="DE707" s="1697"/>
      <c r="DF707" s="1697"/>
      <c r="DG707" s="1697"/>
      <c r="DH707" s="1697"/>
      <c r="DI707" s="1697"/>
      <c r="DJ707" s="1697"/>
      <c r="DK707" s="1697"/>
      <c r="DL707" s="1697"/>
      <c r="DM707" s="1697"/>
      <c r="DN707" s="1697"/>
      <c r="DO707" s="1697"/>
      <c r="DP707" s="1697"/>
      <c r="DQ707" s="1697"/>
      <c r="DR707" s="1697"/>
      <c r="DS707" s="1697"/>
      <c r="DT707" s="1697"/>
      <c r="DU707" s="1697"/>
      <c r="DV707" s="1697"/>
      <c r="DW707" s="1697"/>
      <c r="DX707" s="1697"/>
      <c r="DY707" s="1697"/>
      <c r="DZ707" s="1697"/>
      <c r="EA707" s="1697"/>
      <c r="EB707" s="1697"/>
      <c r="EC707" s="1697"/>
      <c r="ED707" s="1697"/>
      <c r="EE707" s="1697"/>
      <c r="EF707" s="1697"/>
      <c r="EG707" s="1697"/>
      <c r="EH707" s="1697"/>
      <c r="EI707" s="1697"/>
      <c r="EJ707" s="1697"/>
      <c r="EK707" s="1697"/>
      <c r="EL707" s="1697"/>
      <c r="EM707" s="1697"/>
      <c r="EN707" s="1697"/>
      <c r="EO707" s="1697"/>
      <c r="EP707" s="1697"/>
      <c r="EQ707" s="1697"/>
      <c r="ER707" s="1697"/>
      <c r="ES707" s="1697"/>
      <c r="ET707" s="1697"/>
      <c r="EU707" s="1697"/>
      <c r="EV707" s="1697"/>
      <c r="EW707" s="1697"/>
      <c r="EX707" s="1697"/>
      <c r="EY707" s="1697"/>
      <c r="EZ707" s="1697"/>
      <c r="FA707" s="1697"/>
      <c r="FB707" s="1697"/>
      <c r="FC707" s="1697"/>
      <c r="FD707" s="1697"/>
      <c r="FE707" s="1697"/>
      <c r="FF707" s="1697"/>
      <c r="FG707" s="1697"/>
      <c r="FH707" s="1697"/>
      <c r="FI707" s="1697"/>
    </row>
    <row r="708" spans="1:165">
      <c r="A708" s="1697"/>
      <c r="B708" s="1697"/>
      <c r="C708" s="1697"/>
      <c r="D708" s="1697"/>
      <c r="E708" s="1697"/>
      <c r="F708" s="1697"/>
      <c r="G708" s="1697"/>
      <c r="H708" s="1697"/>
      <c r="I708" s="1697"/>
      <c r="J708" s="1697"/>
      <c r="K708" s="1697"/>
      <c r="L708" s="1697"/>
      <c r="M708" s="1697"/>
      <c r="N708" s="1697"/>
      <c r="O708" s="1697"/>
      <c r="P708" s="1697"/>
      <c r="Q708" s="1697"/>
      <c r="R708" s="1697"/>
      <c r="S708" s="1697"/>
      <c r="T708" s="1697"/>
      <c r="U708" s="1697"/>
      <c r="V708" s="1697"/>
      <c r="W708" s="1697"/>
      <c r="X708" s="1697"/>
      <c r="Y708" s="1697"/>
      <c r="Z708" s="1697"/>
      <c r="AA708" s="1697"/>
      <c r="AB708" s="1697"/>
      <c r="AC708" s="1697"/>
      <c r="AD708" s="1697"/>
      <c r="AE708" s="1697"/>
      <c r="AF708" s="1697"/>
      <c r="AG708" s="1697"/>
      <c r="AH708" s="1697"/>
      <c r="AI708" s="1697"/>
      <c r="AJ708" s="1697"/>
      <c r="AK708" s="1697"/>
      <c r="AL708" s="1697"/>
      <c r="AM708" s="1697"/>
      <c r="AN708" s="1697"/>
      <c r="AO708" s="1697"/>
      <c r="AP708" s="1697"/>
      <c r="AQ708" s="1697"/>
      <c r="AR708" s="1697"/>
      <c r="AS708" s="1697"/>
      <c r="AT708" s="1697"/>
      <c r="AU708" s="1697"/>
      <c r="AV708" s="1697"/>
      <c r="AW708" s="1697"/>
      <c r="AX708" s="1697"/>
      <c r="AY708" s="1697"/>
      <c r="AZ708" s="1697"/>
      <c r="BA708" s="1697"/>
      <c r="BB708" s="1697"/>
      <c r="BC708" s="1697"/>
      <c r="BD708" s="1697"/>
      <c r="BE708" s="1697"/>
      <c r="BF708" s="1697"/>
      <c r="BG708" s="1697"/>
      <c r="BH708" s="1697"/>
      <c r="BI708" s="1697"/>
      <c r="BJ708" s="1697"/>
      <c r="BK708" s="1697"/>
      <c r="BL708" s="1697"/>
      <c r="BM708" s="1697"/>
      <c r="BN708" s="1697"/>
      <c r="BO708" s="1697"/>
      <c r="BP708" s="1697"/>
      <c r="BQ708" s="1697"/>
      <c r="BR708" s="1697"/>
      <c r="BS708" s="1697"/>
      <c r="BT708" s="1697"/>
      <c r="BU708" s="1697"/>
      <c r="BV708" s="1697"/>
      <c r="BW708" s="1697"/>
      <c r="BX708" s="1697"/>
      <c r="BY708" s="1697"/>
      <c r="BZ708" s="1697"/>
      <c r="CA708" s="1697"/>
      <c r="CB708" s="1697"/>
      <c r="CC708" s="1697"/>
      <c r="CD708" s="1697"/>
      <c r="CE708" s="1697"/>
      <c r="CF708" s="1697"/>
      <c r="CG708" s="1697"/>
      <c r="CH708" s="1697"/>
      <c r="CI708" s="1697"/>
      <c r="CJ708" s="1697"/>
      <c r="CK708" s="1697"/>
      <c r="CL708" s="1697"/>
      <c r="CM708" s="1697"/>
      <c r="CN708" s="1697"/>
      <c r="CO708" s="1697"/>
      <c r="CP708" s="1697"/>
      <c r="CQ708" s="1697"/>
      <c r="CR708" s="1697"/>
      <c r="CS708" s="1697"/>
      <c r="CT708" s="1697"/>
      <c r="CU708" s="1697"/>
      <c r="CV708" s="1697"/>
      <c r="CW708" s="1697"/>
      <c r="CX708" s="1697"/>
      <c r="CY708" s="1697"/>
      <c r="CZ708" s="1697"/>
      <c r="DA708" s="1697"/>
      <c r="DB708" s="1697"/>
      <c r="DC708" s="1697"/>
      <c r="DD708" s="1697"/>
      <c r="DE708" s="1697"/>
      <c r="DF708" s="1697"/>
      <c r="DG708" s="1697"/>
      <c r="DH708" s="1697"/>
      <c r="DI708" s="1697"/>
      <c r="DJ708" s="1697"/>
      <c r="DK708" s="1697"/>
      <c r="DL708" s="1697"/>
      <c r="DM708" s="1697"/>
      <c r="DN708" s="1697"/>
      <c r="DO708" s="1697"/>
      <c r="DP708" s="1697"/>
      <c r="DQ708" s="1697"/>
      <c r="DR708" s="1697"/>
      <c r="DS708" s="1697"/>
      <c r="DT708" s="1697"/>
      <c r="DU708" s="1697"/>
      <c r="DV708" s="1697"/>
      <c r="DW708" s="1697"/>
      <c r="DX708" s="1697"/>
      <c r="DY708" s="1697"/>
      <c r="DZ708" s="1697"/>
      <c r="EA708" s="1697"/>
      <c r="EB708" s="1697"/>
      <c r="EC708" s="1697"/>
      <c r="ED708" s="1697"/>
      <c r="EE708" s="1697"/>
      <c r="EF708" s="1697"/>
      <c r="EG708" s="1697"/>
      <c r="EH708" s="1697"/>
      <c r="EI708" s="1697"/>
      <c r="EJ708" s="1697"/>
      <c r="EK708" s="1697"/>
      <c r="EL708" s="1697"/>
      <c r="EM708" s="1697"/>
      <c r="EN708" s="1697"/>
      <c r="EO708" s="1697"/>
      <c r="EP708" s="1697"/>
      <c r="EQ708" s="1697"/>
      <c r="ER708" s="1697"/>
      <c r="ES708" s="1697"/>
      <c r="ET708" s="1697"/>
      <c r="EU708" s="1697"/>
      <c r="EV708" s="1697"/>
      <c r="EW708" s="1697"/>
      <c r="EX708" s="1697"/>
      <c r="EY708" s="1697"/>
      <c r="EZ708" s="1697"/>
      <c r="FA708" s="1697"/>
      <c r="FB708" s="1697"/>
      <c r="FC708" s="1697"/>
      <c r="FD708" s="1697"/>
      <c r="FE708" s="1697"/>
      <c r="FF708" s="1697"/>
      <c r="FG708" s="1697"/>
      <c r="FH708" s="1697"/>
      <c r="FI708" s="1697"/>
    </row>
    <row r="709" spans="1:165">
      <c r="A709" s="1697"/>
      <c r="B709" s="1697"/>
      <c r="C709" s="1697"/>
      <c r="D709" s="1697"/>
      <c r="E709" s="1697"/>
      <c r="F709" s="1697"/>
      <c r="G709" s="1697"/>
      <c r="H709" s="1697"/>
      <c r="I709" s="1697"/>
      <c r="J709" s="1697"/>
      <c r="K709" s="1697"/>
      <c r="L709" s="1697"/>
      <c r="M709" s="1697"/>
      <c r="N709" s="1697"/>
      <c r="O709" s="1697"/>
      <c r="P709" s="1697"/>
      <c r="Q709" s="1697"/>
      <c r="R709" s="1697"/>
      <c r="S709" s="1697"/>
      <c r="T709" s="1697"/>
      <c r="U709" s="1697"/>
      <c r="V709" s="1697"/>
      <c r="W709" s="1697"/>
      <c r="X709" s="1697"/>
      <c r="Y709" s="1697"/>
      <c r="Z709" s="1697"/>
      <c r="AA709" s="1697"/>
      <c r="AB709" s="1697"/>
      <c r="AC709" s="1697"/>
      <c r="AD709" s="1697"/>
      <c r="AE709" s="1697"/>
      <c r="AF709" s="1697"/>
      <c r="AG709" s="1697"/>
      <c r="AH709" s="1697"/>
      <c r="AI709" s="1697"/>
      <c r="AJ709" s="1697"/>
      <c r="AK709" s="1697"/>
      <c r="AL709" s="1697"/>
      <c r="AM709" s="1697"/>
      <c r="AN709" s="1697"/>
      <c r="AO709" s="1697"/>
      <c r="AP709" s="1697"/>
      <c r="AQ709" s="1697"/>
      <c r="AR709" s="1697"/>
      <c r="AS709" s="1697"/>
      <c r="AT709" s="1697"/>
      <c r="AU709" s="1697"/>
      <c r="AV709" s="1697"/>
      <c r="AW709" s="1697"/>
      <c r="AX709" s="1697"/>
      <c r="AY709" s="1697"/>
      <c r="AZ709" s="1697"/>
      <c r="BA709" s="1697"/>
      <c r="BB709" s="1697"/>
      <c r="BC709" s="1697"/>
      <c r="BD709" s="1697"/>
      <c r="BE709" s="1697"/>
      <c r="BF709" s="1697"/>
      <c r="BG709" s="1697"/>
      <c r="BH709" s="1697"/>
      <c r="BI709" s="1697"/>
      <c r="BJ709" s="1697"/>
      <c r="BK709" s="1697"/>
      <c r="BL709" s="1697"/>
      <c r="BM709" s="1697"/>
      <c r="BN709" s="1697"/>
      <c r="BO709" s="1697"/>
      <c r="BP709" s="1697"/>
      <c r="BQ709" s="1697"/>
      <c r="BR709" s="1697"/>
      <c r="BS709" s="1697"/>
      <c r="BT709" s="1697"/>
      <c r="BU709" s="1697"/>
      <c r="BV709" s="1697"/>
      <c r="BW709" s="1697"/>
      <c r="BX709" s="1697"/>
      <c r="BY709" s="1697"/>
      <c r="BZ709" s="1697"/>
      <c r="CA709" s="1697"/>
      <c r="CB709" s="1697"/>
      <c r="CC709" s="1697"/>
      <c r="CD709" s="1697"/>
      <c r="CE709" s="1697"/>
      <c r="CF709" s="1697"/>
      <c r="CG709" s="1697"/>
      <c r="CH709" s="1697"/>
      <c r="CI709" s="1697"/>
      <c r="CJ709" s="1697"/>
      <c r="CK709" s="1697"/>
      <c r="CL709" s="1697"/>
      <c r="CM709" s="1697"/>
      <c r="CN709" s="1697"/>
      <c r="CO709" s="1697"/>
      <c r="CP709" s="1697"/>
      <c r="CQ709" s="1697"/>
      <c r="CR709" s="1697"/>
      <c r="CS709" s="1697"/>
      <c r="CT709" s="1697"/>
      <c r="CU709" s="1697"/>
      <c r="CV709" s="1697"/>
      <c r="CW709" s="1697"/>
      <c r="CX709" s="1697"/>
      <c r="CY709" s="1697"/>
      <c r="CZ709" s="1697"/>
      <c r="DA709" s="1697"/>
      <c r="DB709" s="1697"/>
      <c r="DC709" s="1697"/>
      <c r="DD709" s="1697"/>
      <c r="DE709" s="1697"/>
      <c r="DF709" s="1697"/>
      <c r="DG709" s="1697"/>
      <c r="DH709" s="1697"/>
      <c r="DI709" s="1697"/>
      <c r="DJ709" s="1697"/>
      <c r="DK709" s="1697"/>
      <c r="DL709" s="1697"/>
      <c r="DM709" s="1697"/>
      <c r="DN709" s="1697"/>
      <c r="DO709" s="1697"/>
      <c r="DP709" s="1697"/>
      <c r="DQ709" s="1697"/>
      <c r="DR709" s="1697"/>
      <c r="DS709" s="1697"/>
      <c r="DT709" s="1697"/>
      <c r="DU709" s="1697"/>
      <c r="DV709" s="1697"/>
      <c r="DW709" s="1697"/>
      <c r="DX709" s="1697"/>
      <c r="DY709" s="1697"/>
      <c r="DZ709" s="1697"/>
      <c r="EA709" s="1697"/>
      <c r="EB709" s="1697"/>
      <c r="EC709" s="1697"/>
      <c r="ED709" s="1697"/>
      <c r="EE709" s="1697"/>
      <c r="EF709" s="1697"/>
      <c r="EG709" s="1697"/>
      <c r="EH709" s="1697"/>
      <c r="EI709" s="1697"/>
      <c r="EJ709" s="1697"/>
      <c r="EK709" s="1697"/>
      <c r="EL709" s="1697"/>
      <c r="EM709" s="1697"/>
      <c r="EN709" s="1697"/>
      <c r="EO709" s="1697"/>
      <c r="EP709" s="1697"/>
      <c r="EQ709" s="1697"/>
      <c r="ER709" s="1697"/>
      <c r="ES709" s="1697"/>
      <c r="ET709" s="1697"/>
      <c r="EU709" s="1697"/>
      <c r="EV709" s="1697"/>
      <c r="EW709" s="1697"/>
      <c r="EX709" s="1697"/>
      <c r="EY709" s="1697"/>
      <c r="EZ709" s="1697"/>
      <c r="FA709" s="1697"/>
      <c r="FB709" s="1697"/>
      <c r="FC709" s="1697"/>
      <c r="FD709" s="1697"/>
      <c r="FE709" s="1697"/>
      <c r="FF709" s="1697"/>
      <c r="FG709" s="1697"/>
      <c r="FH709" s="1697"/>
      <c r="FI709" s="1697"/>
    </row>
    <row r="710" spans="1:165">
      <c r="A710" s="1697"/>
      <c r="B710" s="1697"/>
      <c r="C710" s="1697"/>
      <c r="D710" s="1697"/>
      <c r="E710" s="1697"/>
      <c r="F710" s="1697"/>
      <c r="G710" s="1697"/>
      <c r="H710" s="1697"/>
      <c r="I710" s="1697"/>
      <c r="J710" s="1697"/>
      <c r="K710" s="1697"/>
      <c r="L710" s="1697"/>
      <c r="M710" s="1697"/>
      <c r="N710" s="1697"/>
      <c r="O710" s="1697"/>
      <c r="P710" s="1697"/>
      <c r="Q710" s="1697"/>
      <c r="R710" s="1697"/>
      <c r="S710" s="1697"/>
      <c r="T710" s="1697"/>
      <c r="U710" s="1697"/>
      <c r="V710" s="1697"/>
      <c r="W710" s="1697"/>
      <c r="X710" s="1697"/>
      <c r="Y710" s="1697"/>
      <c r="Z710" s="1697"/>
      <c r="AA710" s="1697"/>
      <c r="AB710" s="1697"/>
      <c r="AC710" s="1697"/>
      <c r="AD710" s="1697"/>
      <c r="AE710" s="1697"/>
      <c r="AF710" s="1697"/>
      <c r="AG710" s="1697"/>
      <c r="AH710" s="1697"/>
      <c r="AI710" s="1697"/>
      <c r="AJ710" s="1697"/>
      <c r="AK710" s="1697"/>
      <c r="AL710" s="1697"/>
      <c r="AM710" s="1697"/>
      <c r="AN710" s="1697"/>
      <c r="AO710" s="1697"/>
      <c r="AP710" s="1697"/>
      <c r="AQ710" s="1697"/>
      <c r="AR710" s="1697"/>
      <c r="AS710" s="1697"/>
      <c r="AT710" s="1697"/>
      <c r="AU710" s="1697"/>
      <c r="AV710" s="1697"/>
      <c r="AW710" s="1697"/>
      <c r="AX710" s="1697"/>
      <c r="AY710" s="1697"/>
      <c r="AZ710" s="1697"/>
      <c r="BA710" s="1697"/>
      <c r="BB710" s="1697"/>
      <c r="BC710" s="1697"/>
      <c r="BD710" s="1697"/>
      <c r="BE710" s="1697"/>
      <c r="BF710" s="1697"/>
      <c r="BG710" s="1697"/>
      <c r="BH710" s="1697"/>
      <c r="BI710" s="1697"/>
      <c r="BJ710" s="1697"/>
      <c r="BK710" s="1697"/>
      <c r="BL710" s="1697"/>
      <c r="BM710" s="1697"/>
      <c r="BN710" s="1697"/>
      <c r="BO710" s="1697"/>
      <c r="BP710" s="1697"/>
      <c r="BQ710" s="1697"/>
      <c r="BR710" s="1697"/>
      <c r="BS710" s="1697"/>
      <c r="BT710" s="1697"/>
      <c r="BU710" s="1697"/>
      <c r="BV710" s="1697"/>
      <c r="BW710" s="1697"/>
      <c r="BX710" s="1697"/>
      <c r="BY710" s="1697"/>
      <c r="BZ710" s="1697"/>
      <c r="CA710" s="1697"/>
      <c r="CB710" s="1697"/>
      <c r="CC710" s="1697"/>
      <c r="CD710" s="1697"/>
      <c r="CE710" s="1697"/>
      <c r="CF710" s="1697"/>
      <c r="CG710" s="1697"/>
      <c r="CH710" s="1697"/>
      <c r="CI710" s="1697"/>
      <c r="CJ710" s="1697"/>
      <c r="CK710" s="1697"/>
      <c r="CL710" s="1697"/>
      <c r="CM710" s="1697"/>
      <c r="CN710" s="1697"/>
      <c r="CO710" s="1697"/>
      <c r="CP710" s="1697"/>
      <c r="CQ710" s="1697"/>
      <c r="CR710" s="1697"/>
      <c r="CS710" s="1697"/>
      <c r="CT710" s="1697"/>
      <c r="CU710" s="1697"/>
      <c r="CV710" s="1697"/>
      <c r="CW710" s="1697"/>
      <c r="CX710" s="1697"/>
      <c r="CY710" s="1697"/>
      <c r="CZ710" s="1697"/>
      <c r="DA710" s="1697"/>
      <c r="DB710" s="1697"/>
      <c r="DC710" s="1697"/>
      <c r="DD710" s="1697"/>
      <c r="DE710" s="1697"/>
      <c r="DF710" s="1697"/>
      <c r="DG710" s="1697"/>
      <c r="DH710" s="1697"/>
      <c r="DI710" s="1697"/>
      <c r="DJ710" s="1697"/>
      <c r="DK710" s="1697"/>
      <c r="DL710" s="1697"/>
      <c r="DM710" s="1697"/>
      <c r="DN710" s="1697"/>
      <c r="DO710" s="1697"/>
      <c r="DP710" s="1697"/>
      <c r="DQ710" s="1697"/>
      <c r="DR710" s="1697"/>
      <c r="DS710" s="1697"/>
      <c r="DT710" s="1697"/>
      <c r="DU710" s="1697"/>
      <c r="DV710" s="1697"/>
      <c r="DW710" s="1697"/>
      <c r="DX710" s="1697"/>
      <c r="DY710" s="1697"/>
      <c r="DZ710" s="1697"/>
      <c r="EA710" s="1697"/>
      <c r="EB710" s="1697"/>
      <c r="EC710" s="1697"/>
      <c r="ED710" s="1697"/>
      <c r="EE710" s="1697"/>
      <c r="EF710" s="1697"/>
      <c r="EG710" s="1697"/>
      <c r="EH710" s="1697"/>
      <c r="EI710" s="1697"/>
      <c r="EJ710" s="1697"/>
      <c r="EK710" s="1697"/>
      <c r="EL710" s="1697"/>
      <c r="EM710" s="1697"/>
      <c r="EN710" s="1697"/>
      <c r="EO710" s="1697"/>
      <c r="EP710" s="1697"/>
      <c r="EQ710" s="1697"/>
      <c r="ER710" s="1697"/>
      <c r="ES710" s="1697"/>
      <c r="ET710" s="1697"/>
      <c r="EU710" s="1697"/>
      <c r="EV710" s="1697"/>
      <c r="EW710" s="1697"/>
      <c r="EX710" s="1697"/>
      <c r="EY710" s="1697"/>
      <c r="EZ710" s="1697"/>
      <c r="FA710" s="1697"/>
      <c r="FB710" s="1697"/>
      <c r="FC710" s="1697"/>
      <c r="FD710" s="1697"/>
      <c r="FE710" s="1697"/>
      <c r="FF710" s="1697"/>
      <c r="FG710" s="1697"/>
      <c r="FH710" s="1697"/>
      <c r="FI710" s="1697"/>
    </row>
    <row r="711" spans="1:165">
      <c r="A711" s="1697"/>
      <c r="B711" s="1697"/>
      <c r="C711" s="1697"/>
      <c r="D711" s="1697"/>
      <c r="E711" s="1697"/>
      <c r="F711" s="1697"/>
      <c r="G711" s="1697"/>
      <c r="H711" s="1697"/>
      <c r="I711" s="1697"/>
      <c r="J711" s="1697"/>
      <c r="K711" s="1697"/>
      <c r="L711" s="1697"/>
      <c r="M711" s="1697"/>
      <c r="N711" s="1697"/>
      <c r="O711" s="1697"/>
      <c r="P711" s="1697"/>
      <c r="Q711" s="1697"/>
      <c r="R711" s="1697"/>
      <c r="S711" s="1697"/>
      <c r="T711" s="1697"/>
      <c r="U711" s="1697"/>
      <c r="V711" s="1697"/>
      <c r="W711" s="1697"/>
      <c r="X711" s="1697"/>
      <c r="Y711" s="1697"/>
      <c r="Z711" s="1697"/>
      <c r="AA711" s="1697"/>
      <c r="AB711" s="1697"/>
      <c r="AC711" s="1697"/>
      <c r="AD711" s="1697"/>
      <c r="AE711" s="1697"/>
      <c r="AF711" s="1697"/>
      <c r="AG711" s="1697"/>
      <c r="AH711" s="1697"/>
      <c r="AI711" s="1697"/>
      <c r="AJ711" s="1697"/>
      <c r="AK711" s="1697"/>
      <c r="AL711" s="1697"/>
      <c r="AM711" s="1697"/>
      <c r="AN711" s="1697"/>
      <c r="AO711" s="1697"/>
      <c r="AP711" s="1697"/>
      <c r="AQ711" s="1697"/>
      <c r="AR711" s="1697"/>
      <c r="AS711" s="1697"/>
      <c r="AT711" s="1697"/>
      <c r="AU711" s="1697"/>
      <c r="AV711" s="1697"/>
      <c r="AW711" s="1697"/>
      <c r="AX711" s="1697"/>
      <c r="AY711" s="1697"/>
      <c r="AZ711" s="1697"/>
      <c r="BA711" s="1697"/>
      <c r="BB711" s="1697"/>
      <c r="BC711" s="1697"/>
      <c r="BD711" s="1697"/>
      <c r="BE711" s="1697"/>
      <c r="BF711" s="1697"/>
      <c r="BG711" s="1697"/>
      <c r="BH711" s="1697"/>
      <c r="BI711" s="1697"/>
      <c r="BJ711" s="1697"/>
      <c r="BK711" s="1697"/>
      <c r="BL711" s="1697"/>
      <c r="BM711" s="1697"/>
      <c r="BN711" s="1697"/>
      <c r="BO711" s="1697"/>
      <c r="BP711" s="1697"/>
      <c r="BQ711" s="1697"/>
      <c r="BR711" s="1697"/>
      <c r="BS711" s="1697"/>
      <c r="BT711" s="1697"/>
      <c r="BU711" s="1697"/>
      <c r="BV711" s="1697"/>
      <c r="BW711" s="1697"/>
      <c r="BX711" s="1697"/>
      <c r="BY711" s="1697"/>
      <c r="BZ711" s="1697"/>
      <c r="CA711" s="1697"/>
      <c r="CB711" s="1697"/>
      <c r="CC711" s="1697"/>
      <c r="CD711" s="1697"/>
      <c r="CE711" s="1697"/>
      <c r="CF711" s="1697"/>
      <c r="CG711" s="1697"/>
      <c r="CH711" s="1697"/>
      <c r="CI711" s="1697"/>
      <c r="CJ711" s="1697"/>
      <c r="CK711" s="1697"/>
      <c r="CL711" s="1697"/>
      <c r="CM711" s="1697"/>
      <c r="CN711" s="1697"/>
      <c r="CO711" s="1697"/>
      <c r="CP711" s="1697"/>
      <c r="CQ711" s="1697"/>
      <c r="CR711" s="1697"/>
      <c r="CS711" s="1697"/>
      <c r="CT711" s="1697"/>
      <c r="CU711" s="1697"/>
      <c r="CV711" s="1697"/>
      <c r="CW711" s="1697"/>
      <c r="CX711" s="1697"/>
      <c r="CY711" s="1697"/>
      <c r="CZ711" s="1697"/>
      <c r="DA711" s="1697"/>
      <c r="DB711" s="1697"/>
      <c r="DC711" s="1697"/>
      <c r="DD711" s="1697"/>
      <c r="DE711" s="1697"/>
      <c r="DF711" s="1697"/>
      <c r="DG711" s="1697"/>
      <c r="DH711" s="1697"/>
      <c r="DI711" s="1697"/>
      <c r="DJ711" s="1697"/>
      <c r="DK711" s="1697"/>
      <c r="DL711" s="1697"/>
      <c r="DM711" s="1697"/>
      <c r="DN711" s="1697"/>
      <c r="DO711" s="1697"/>
      <c r="DP711" s="1697"/>
      <c r="DQ711" s="1697"/>
      <c r="DR711" s="1697"/>
      <c r="DS711" s="1697"/>
      <c r="DT711" s="1697"/>
      <c r="DU711" s="1697"/>
      <c r="DV711" s="1697"/>
      <c r="DW711" s="1697"/>
      <c r="DX711" s="1697"/>
      <c r="DY711" s="1697"/>
      <c r="DZ711" s="1697"/>
      <c r="EA711" s="1697"/>
      <c r="EB711" s="1697"/>
      <c r="EC711" s="1697"/>
      <c r="ED711" s="1697"/>
      <c r="EE711" s="1697"/>
      <c r="EF711" s="1697"/>
      <c r="EG711" s="1697"/>
      <c r="EH711" s="1697"/>
      <c r="EI711" s="1697"/>
      <c r="EJ711" s="1697"/>
      <c r="EK711" s="1697"/>
      <c r="EL711" s="1697"/>
      <c r="EM711" s="1697"/>
      <c r="EN711" s="1697"/>
      <c r="EO711" s="1697"/>
      <c r="EP711" s="1697"/>
      <c r="EQ711" s="1697"/>
      <c r="ER711" s="1697"/>
      <c r="ES711" s="1697"/>
      <c r="ET711" s="1697"/>
      <c r="EU711" s="1697"/>
      <c r="EV711" s="1697"/>
      <c r="EW711" s="1697"/>
      <c r="EX711" s="1697"/>
      <c r="EY711" s="1697"/>
      <c r="EZ711" s="1697"/>
      <c r="FA711" s="1697"/>
      <c r="FB711" s="1697"/>
      <c r="FC711" s="1697"/>
      <c r="FD711" s="1697"/>
      <c r="FE711" s="1697"/>
      <c r="FF711" s="1697"/>
      <c r="FG711" s="1697"/>
      <c r="FH711" s="1697"/>
      <c r="FI711" s="1697"/>
    </row>
    <row r="712" spans="1:165">
      <c r="A712" s="1697"/>
      <c r="B712" s="1697"/>
      <c r="C712" s="1697"/>
      <c r="D712" s="1697"/>
      <c r="E712" s="1697"/>
      <c r="F712" s="1697"/>
      <c r="G712" s="1697"/>
      <c r="H712" s="1697"/>
      <c r="I712" s="1697"/>
      <c r="J712" s="1697"/>
      <c r="K712" s="1697"/>
      <c r="L712" s="1697"/>
      <c r="M712" s="1697"/>
      <c r="N712" s="1697"/>
      <c r="O712" s="1697"/>
      <c r="P712" s="1697"/>
      <c r="Q712" s="1697"/>
      <c r="R712" s="1697"/>
      <c r="S712" s="1697"/>
      <c r="T712" s="1697"/>
      <c r="U712" s="1697"/>
      <c r="V712" s="1697"/>
      <c r="W712" s="1697"/>
      <c r="X712" s="1697"/>
      <c r="Y712" s="1697"/>
      <c r="Z712" s="1697"/>
      <c r="AA712" s="1697"/>
      <c r="AB712" s="1697"/>
      <c r="AC712" s="1697"/>
      <c r="AD712" s="1697"/>
      <c r="AE712" s="1697"/>
      <c r="AF712" s="1697"/>
      <c r="AG712" s="1697"/>
      <c r="AH712" s="1697"/>
      <c r="AI712" s="1697"/>
      <c r="AJ712" s="1697"/>
      <c r="AK712" s="1697"/>
      <c r="AL712" s="1697"/>
      <c r="AM712" s="1697"/>
      <c r="AN712" s="1697"/>
      <c r="AO712" s="1697"/>
      <c r="AP712" s="1697"/>
      <c r="AQ712" s="1697"/>
      <c r="AR712" s="1697"/>
      <c r="AS712" s="1697"/>
      <c r="AT712" s="1697"/>
      <c r="AU712" s="1697"/>
      <c r="AV712" s="1697"/>
      <c r="AW712" s="1697"/>
      <c r="AX712" s="1697"/>
      <c r="AY712" s="1697"/>
      <c r="AZ712" s="1697"/>
      <c r="BA712" s="1697"/>
      <c r="BB712" s="1697"/>
      <c r="BC712" s="1697"/>
      <c r="BD712" s="1697"/>
      <c r="BE712" s="1697"/>
      <c r="BF712" s="1697"/>
      <c r="BG712" s="1697"/>
      <c r="BH712" s="1697"/>
      <c r="BI712" s="1697"/>
      <c r="BJ712" s="1697"/>
      <c r="BK712" s="1697"/>
      <c r="BL712" s="1697"/>
      <c r="BM712" s="1697"/>
      <c r="BN712" s="1697"/>
      <c r="BO712" s="1697"/>
      <c r="BP712" s="1697"/>
      <c r="BQ712" s="1697"/>
      <c r="BR712" s="1697"/>
      <c r="BS712" s="1697"/>
      <c r="BT712" s="1697"/>
      <c r="BU712" s="1697"/>
      <c r="BV712" s="1697"/>
      <c r="BW712" s="1697"/>
      <c r="BX712" s="1697"/>
      <c r="BY712" s="1697"/>
      <c r="BZ712" s="1697"/>
      <c r="CA712" s="1697"/>
      <c r="CB712" s="1697"/>
      <c r="CC712" s="1697"/>
      <c r="CD712" s="1697"/>
      <c r="CE712" s="1697"/>
      <c r="CF712" s="1697"/>
      <c r="CG712" s="1697"/>
      <c r="CH712" s="1697"/>
      <c r="CI712" s="1697"/>
      <c r="CJ712" s="1697"/>
      <c r="CK712" s="1697"/>
      <c r="CL712" s="1697"/>
      <c r="CM712" s="1697"/>
      <c r="CN712" s="1697"/>
      <c r="CO712" s="1697"/>
      <c r="CP712" s="1697"/>
      <c r="CQ712" s="1697"/>
      <c r="CR712" s="1697"/>
      <c r="CS712" s="1697"/>
      <c r="CT712" s="1697"/>
      <c r="CU712" s="1697"/>
      <c r="CV712" s="1697"/>
      <c r="CW712" s="1697"/>
      <c r="CX712" s="1697"/>
      <c r="CY712" s="1697"/>
      <c r="CZ712" s="1697"/>
      <c r="DA712" s="1697"/>
      <c r="DB712" s="1697"/>
      <c r="DC712" s="1697"/>
      <c r="DD712" s="1697"/>
      <c r="DE712" s="1697"/>
      <c r="DF712" s="1697"/>
      <c r="DG712" s="1697"/>
      <c r="DH712" s="1697"/>
      <c r="DI712" s="1697"/>
      <c r="DJ712" s="1697"/>
      <c r="DK712" s="1697"/>
      <c r="DL712" s="1697"/>
      <c r="DM712" s="1697"/>
      <c r="DN712" s="1697"/>
      <c r="DO712" s="1697"/>
      <c r="DP712" s="1697"/>
      <c r="DQ712" s="1697"/>
      <c r="DR712" s="1697"/>
      <c r="DS712" s="1697"/>
      <c r="DT712" s="1697"/>
      <c r="DU712" s="1697"/>
      <c r="DV712" s="1697"/>
      <c r="DW712" s="1697"/>
      <c r="DX712" s="1697"/>
      <c r="DY712" s="1697"/>
      <c r="DZ712" s="1697"/>
      <c r="EA712" s="1697"/>
      <c r="EB712" s="1697"/>
      <c r="EC712" s="1697"/>
      <c r="ED712" s="1697"/>
      <c r="EE712" s="1697"/>
      <c r="EF712" s="1697"/>
      <c r="EG712" s="1697"/>
      <c r="EH712" s="1697"/>
      <c r="EI712" s="1697"/>
      <c r="EJ712" s="1697"/>
      <c r="EK712" s="1697"/>
      <c r="EL712" s="1697"/>
      <c r="EM712" s="1697"/>
      <c r="EN712" s="1697"/>
      <c r="EO712" s="1697"/>
      <c r="EP712" s="1697"/>
      <c r="EQ712" s="1697"/>
      <c r="ER712" s="1697"/>
      <c r="ES712" s="1697"/>
      <c r="ET712" s="1697"/>
      <c r="EU712" s="1697"/>
      <c r="EV712" s="1697"/>
      <c r="EW712" s="1697"/>
      <c r="EX712" s="1697"/>
      <c r="EY712" s="1697"/>
      <c r="EZ712" s="1697"/>
      <c r="FA712" s="1697"/>
      <c r="FB712" s="1697"/>
      <c r="FC712" s="1697"/>
      <c r="FD712" s="1697"/>
      <c r="FE712" s="1697"/>
      <c r="FF712" s="1697"/>
      <c r="FG712" s="1697"/>
      <c r="FH712" s="1697"/>
      <c r="FI712" s="1697"/>
    </row>
    <row r="713" spans="1:165">
      <c r="A713" s="1697"/>
      <c r="B713" s="1697"/>
      <c r="C713" s="1697"/>
      <c r="D713" s="1697"/>
      <c r="E713" s="1697"/>
      <c r="F713" s="1697"/>
      <c r="G713" s="1697"/>
      <c r="H713" s="1697"/>
      <c r="I713" s="1697"/>
      <c r="J713" s="1697"/>
      <c r="K713" s="1697"/>
      <c r="L713" s="1697"/>
      <c r="M713" s="1697"/>
      <c r="N713" s="1697"/>
      <c r="O713" s="1697"/>
      <c r="P713" s="1697"/>
      <c r="Q713" s="1697"/>
      <c r="R713" s="1697"/>
      <c r="S713" s="1697"/>
      <c r="T713" s="1697"/>
      <c r="U713" s="1697"/>
      <c r="V713" s="1697"/>
      <c r="W713" s="1697"/>
      <c r="X713" s="1697"/>
      <c r="Y713" s="1697"/>
      <c r="Z713" s="1697"/>
      <c r="AA713" s="1697"/>
      <c r="AB713" s="1697"/>
      <c r="AC713" s="1697"/>
      <c r="AD713" s="1697"/>
      <c r="AE713" s="1697"/>
      <c r="AF713" s="1697"/>
      <c r="AG713" s="1697"/>
      <c r="AH713" s="1697"/>
      <c r="AI713" s="1697"/>
      <c r="AJ713" s="1697"/>
      <c r="AK713" s="1697"/>
      <c r="AL713" s="1697"/>
      <c r="AM713" s="1697"/>
      <c r="AN713" s="1697"/>
      <c r="AO713" s="1697"/>
      <c r="AP713" s="1697"/>
      <c r="AQ713" s="1697"/>
      <c r="AR713" s="1697"/>
      <c r="AS713" s="1697"/>
      <c r="AT713" s="1697"/>
      <c r="AU713" s="1697"/>
      <c r="AV713" s="1697"/>
      <c r="AW713" s="1697"/>
      <c r="AX713" s="1697"/>
      <c r="AY713" s="1697"/>
      <c r="AZ713" s="1697"/>
      <c r="BA713" s="1697"/>
      <c r="BB713" s="1697"/>
      <c r="BC713" s="1697"/>
      <c r="BD713" s="1697"/>
      <c r="BE713" s="1697"/>
      <c r="BF713" s="1697"/>
      <c r="BG713" s="1697"/>
      <c r="BH713" s="1697"/>
      <c r="BI713" s="1697"/>
      <c r="BJ713" s="1697"/>
      <c r="BK713" s="1697"/>
      <c r="BL713" s="1697"/>
      <c r="BM713" s="1697"/>
      <c r="BN713" s="1697"/>
      <c r="BO713" s="1697"/>
      <c r="BP713" s="1697"/>
      <c r="BQ713" s="1697"/>
      <c r="BR713" s="1697"/>
      <c r="BS713" s="1697"/>
      <c r="BT713" s="1697"/>
      <c r="BU713" s="1697"/>
      <c r="BV713" s="1697"/>
      <c r="BW713" s="1697"/>
      <c r="BX713" s="1697"/>
      <c r="BY713" s="1697"/>
      <c r="BZ713" s="1697"/>
      <c r="CA713" s="1697"/>
      <c r="CB713" s="1697"/>
      <c r="CC713" s="1697"/>
      <c r="CD713" s="1697"/>
      <c r="CE713" s="1697"/>
      <c r="CF713" s="1697"/>
      <c r="CG713" s="1697"/>
      <c r="CH713" s="1697"/>
      <c r="CI713" s="1697"/>
      <c r="CJ713" s="1697"/>
      <c r="CK713" s="1697"/>
      <c r="CL713" s="1697"/>
      <c r="CM713" s="1697"/>
      <c r="CN713" s="1697"/>
      <c r="CO713" s="1697"/>
      <c r="CP713" s="1697"/>
      <c r="CQ713" s="1697"/>
      <c r="CR713" s="1697"/>
      <c r="CS713" s="1697"/>
      <c r="CT713" s="1697"/>
      <c r="CU713" s="1697"/>
      <c r="CV713" s="1697"/>
      <c r="CW713" s="1697"/>
      <c r="CX713" s="1697"/>
      <c r="CY713" s="1697"/>
      <c r="CZ713" s="1697"/>
      <c r="DA713" s="1697"/>
      <c r="DB713" s="1697"/>
      <c r="DC713" s="1697"/>
      <c r="DD713" s="1697"/>
      <c r="DE713" s="1697"/>
      <c r="DF713" s="1697"/>
      <c r="DG713" s="1697"/>
      <c r="DH713" s="1697"/>
      <c r="DI713" s="1697"/>
      <c r="DJ713" s="1697"/>
      <c r="DK713" s="1697"/>
      <c r="DL713" s="1697"/>
      <c r="DM713" s="1697"/>
      <c r="DN713" s="1697"/>
      <c r="DO713" s="1697"/>
      <c r="DP713" s="1697"/>
      <c r="DQ713" s="1697"/>
      <c r="DR713" s="1697"/>
      <c r="DS713" s="1697"/>
      <c r="DT713" s="1697"/>
      <c r="DU713" s="1697"/>
      <c r="DV713" s="1697"/>
      <c r="DW713" s="1697"/>
      <c r="DX713" s="1697"/>
      <c r="DY713" s="1697"/>
      <c r="DZ713" s="1697"/>
      <c r="EA713" s="1697"/>
      <c r="EB713" s="1697"/>
      <c r="EC713" s="1697"/>
      <c r="ED713" s="1697"/>
      <c r="EE713" s="1697"/>
      <c r="EF713" s="1697"/>
      <c r="EG713" s="1697"/>
      <c r="EH713" s="1697"/>
      <c r="EI713" s="1697"/>
      <c r="EJ713" s="1697"/>
      <c r="EK713" s="1697"/>
      <c r="EL713" s="1697"/>
      <c r="EM713" s="1697"/>
      <c r="EN713" s="1697"/>
      <c r="EO713" s="1697"/>
      <c r="EP713" s="1697"/>
      <c r="EQ713" s="1697"/>
      <c r="ER713" s="1697"/>
      <c r="ES713" s="1697"/>
      <c r="ET713" s="1697"/>
      <c r="EU713" s="1697"/>
      <c r="EV713" s="1697"/>
      <c r="EW713" s="1697"/>
      <c r="EX713" s="1697"/>
      <c r="EY713" s="1697"/>
      <c r="EZ713" s="1697"/>
      <c r="FA713" s="1697"/>
      <c r="FB713" s="1697"/>
      <c r="FC713" s="1697"/>
      <c r="FD713" s="1697"/>
      <c r="FE713" s="1697"/>
      <c r="FF713" s="1697"/>
      <c r="FG713" s="1697"/>
      <c r="FH713" s="1697"/>
      <c r="FI713" s="1697"/>
    </row>
    <row r="714" spans="1:165">
      <c r="A714" s="1697"/>
      <c r="B714" s="1697"/>
      <c r="C714" s="1697"/>
      <c r="D714" s="1697"/>
      <c r="E714" s="1697"/>
      <c r="F714" s="1697"/>
      <c r="G714" s="1697"/>
      <c r="H714" s="1697"/>
      <c r="I714" s="1697"/>
      <c r="J714" s="1697"/>
      <c r="K714" s="1697"/>
      <c r="L714" s="1697"/>
      <c r="M714" s="1697"/>
      <c r="N714" s="1697"/>
      <c r="O714" s="1697"/>
      <c r="P714" s="1697"/>
      <c r="Q714" s="1697"/>
      <c r="R714" s="1697"/>
      <c r="S714" s="1697"/>
      <c r="T714" s="1697"/>
      <c r="U714" s="1697"/>
      <c r="V714" s="1697"/>
      <c r="W714" s="1697"/>
      <c r="X714" s="1697"/>
      <c r="Y714" s="1697"/>
      <c r="Z714" s="1697"/>
      <c r="AA714" s="1697"/>
      <c r="AB714" s="1697"/>
      <c r="AC714" s="1697"/>
      <c r="AD714" s="1697"/>
      <c r="AE714" s="1697"/>
      <c r="AF714" s="1697"/>
      <c r="AG714" s="1697"/>
      <c r="AH714" s="1697"/>
      <c r="AI714" s="1697"/>
      <c r="AJ714" s="1697"/>
      <c r="AK714" s="1697"/>
      <c r="AL714" s="1697"/>
      <c r="AM714" s="1697"/>
      <c r="AN714" s="1697"/>
      <c r="AO714" s="1697"/>
      <c r="AP714" s="1697"/>
      <c r="AQ714" s="1697"/>
      <c r="AR714" s="1697"/>
      <c r="AS714" s="1697"/>
      <c r="AT714" s="1697"/>
      <c r="AU714" s="1697"/>
      <c r="AV714" s="1697"/>
      <c r="AW714" s="1697"/>
      <c r="AX714" s="1697"/>
      <c r="AY714" s="1697"/>
      <c r="AZ714" s="1697"/>
      <c r="BA714" s="1697"/>
      <c r="BB714" s="1697"/>
      <c r="BC714" s="1697"/>
      <c r="BD714" s="1697"/>
      <c r="BE714" s="1697"/>
      <c r="BF714" s="1697"/>
      <c r="BG714" s="1697"/>
      <c r="BH714" s="1697"/>
      <c r="BI714" s="1697"/>
      <c r="BJ714" s="1697"/>
      <c r="BK714" s="1697"/>
      <c r="BL714" s="1697"/>
      <c r="BM714" s="1697"/>
      <c r="BN714" s="1697"/>
      <c r="BO714" s="1697"/>
      <c r="BP714" s="1697"/>
      <c r="BQ714" s="1697"/>
      <c r="BR714" s="1697"/>
      <c r="BS714" s="1697"/>
      <c r="BT714" s="1697"/>
      <c r="BU714" s="1697"/>
      <c r="BV714" s="1697"/>
      <c r="BW714" s="1697"/>
      <c r="BX714" s="1697"/>
      <c r="BY714" s="1697"/>
      <c r="BZ714" s="1697"/>
      <c r="CA714" s="1697"/>
      <c r="CB714" s="1697"/>
      <c r="CC714" s="1697"/>
      <c r="CD714" s="1697"/>
      <c r="CE714" s="1697"/>
      <c r="CF714" s="1697"/>
      <c r="CG714" s="1697"/>
      <c r="CH714" s="1697"/>
      <c r="CI714" s="1697"/>
      <c r="CJ714" s="1697"/>
      <c r="CK714" s="1697"/>
      <c r="CL714" s="1697"/>
      <c r="CM714" s="1697"/>
      <c r="CN714" s="1697"/>
      <c r="CO714" s="1697"/>
      <c r="CP714" s="1697"/>
      <c r="CQ714" s="1697"/>
      <c r="CR714" s="1697"/>
      <c r="CS714" s="1697"/>
      <c r="CT714" s="1697"/>
      <c r="CU714" s="1697"/>
      <c r="CV714" s="1697"/>
      <c r="CW714" s="1697"/>
      <c r="CX714" s="1697"/>
      <c r="CY714" s="1697"/>
      <c r="CZ714" s="1697"/>
      <c r="DA714" s="1697"/>
      <c r="DB714" s="1697"/>
      <c r="DC714" s="1697"/>
      <c r="DD714" s="1697"/>
      <c r="DE714" s="1697"/>
      <c r="DF714" s="1697"/>
      <c r="DG714" s="1697"/>
      <c r="DH714" s="1697"/>
      <c r="DI714" s="1697"/>
      <c r="DJ714" s="1697"/>
      <c r="DK714" s="1697"/>
      <c r="DL714" s="1697"/>
      <c r="DM714" s="1697"/>
      <c r="DN714" s="1697"/>
      <c r="DO714" s="1697"/>
      <c r="DP714" s="1697"/>
      <c r="DQ714" s="1697"/>
      <c r="DR714" s="1697"/>
      <c r="DS714" s="1697"/>
      <c r="DT714" s="1697"/>
      <c r="DU714" s="1697"/>
      <c r="DV714" s="1697"/>
      <c r="DW714" s="1697"/>
      <c r="DX714" s="1697"/>
      <c r="DY714" s="1697"/>
      <c r="DZ714" s="1697"/>
      <c r="EA714" s="1697"/>
      <c r="EB714" s="1697"/>
      <c r="EC714" s="1697"/>
      <c r="ED714" s="1697"/>
      <c r="EE714" s="1697"/>
      <c r="EF714" s="1697"/>
      <c r="EG714" s="1697"/>
      <c r="EH714" s="1697"/>
      <c r="EI714" s="1697"/>
      <c r="EJ714" s="1697"/>
      <c r="EK714" s="1697"/>
      <c r="EL714" s="1697"/>
      <c r="EM714" s="1697"/>
      <c r="EN714" s="1697"/>
      <c r="EO714" s="1697"/>
      <c r="EP714" s="1697"/>
      <c r="EQ714" s="1697"/>
      <c r="ER714" s="1697"/>
      <c r="ES714" s="1697"/>
      <c r="ET714" s="1697"/>
      <c r="EU714" s="1697"/>
      <c r="EV714" s="1697"/>
      <c r="EW714" s="1697"/>
      <c r="EX714" s="1697"/>
      <c r="EY714" s="1697"/>
      <c r="EZ714" s="1697"/>
      <c r="FA714" s="1697"/>
      <c r="FB714" s="1697"/>
      <c r="FC714" s="1697"/>
      <c r="FD714" s="1697"/>
      <c r="FE714" s="1697"/>
      <c r="FF714" s="1697"/>
      <c r="FG714" s="1697"/>
      <c r="FH714" s="1697"/>
      <c r="FI714" s="1697"/>
    </row>
    <row r="715" spans="1:165">
      <c r="A715" s="1697"/>
      <c r="B715" s="1697"/>
      <c r="C715" s="1697"/>
      <c r="D715" s="1697"/>
      <c r="E715" s="1697"/>
      <c r="F715" s="1697"/>
      <c r="G715" s="1697"/>
      <c r="H715" s="1697"/>
      <c r="I715" s="1697"/>
      <c r="J715" s="1697"/>
      <c r="K715" s="1697"/>
      <c r="L715" s="1697"/>
      <c r="M715" s="1697"/>
      <c r="N715" s="1697"/>
      <c r="O715" s="1697"/>
      <c r="P715" s="1697"/>
      <c r="Q715" s="1697"/>
      <c r="R715" s="1697"/>
      <c r="S715" s="1697"/>
      <c r="T715" s="1697"/>
      <c r="U715" s="1697"/>
      <c r="V715" s="1697"/>
      <c r="W715" s="1697"/>
      <c r="X715" s="1697"/>
      <c r="Y715" s="1697"/>
      <c r="Z715" s="1697"/>
      <c r="AA715" s="1697"/>
      <c r="AB715" s="1697"/>
      <c r="AC715" s="1697"/>
      <c r="AD715" s="1697"/>
      <c r="AE715" s="1697"/>
      <c r="AF715" s="1697"/>
      <c r="AG715" s="1697"/>
      <c r="AH715" s="1697"/>
      <c r="AI715" s="1697"/>
      <c r="AJ715" s="1697"/>
      <c r="AK715" s="1697"/>
      <c r="AL715" s="1697"/>
      <c r="AM715" s="1697"/>
      <c r="AN715" s="1697"/>
      <c r="AO715" s="1697"/>
      <c r="AP715" s="1697"/>
      <c r="AQ715" s="1697"/>
      <c r="AR715" s="1697"/>
      <c r="AS715" s="1697"/>
      <c r="AT715" s="1697"/>
      <c r="AU715" s="1697"/>
      <c r="AV715" s="1697"/>
      <c r="AW715" s="1697"/>
      <c r="AX715" s="1697"/>
      <c r="AY715" s="1697"/>
      <c r="AZ715" s="1697"/>
      <c r="BA715" s="1697"/>
      <c r="BB715" s="1697"/>
      <c r="BC715" s="1697"/>
      <c r="BD715" s="1697"/>
      <c r="BE715" s="1697"/>
      <c r="BF715" s="1697"/>
      <c r="BG715" s="1697"/>
      <c r="BH715" s="1697"/>
      <c r="BI715" s="1697"/>
      <c r="BJ715" s="1697"/>
      <c r="BK715" s="1697"/>
      <c r="BL715" s="1697"/>
      <c r="BM715" s="1697"/>
      <c r="BN715" s="1697"/>
      <c r="BO715" s="1697"/>
      <c r="BP715" s="1697"/>
      <c r="BQ715" s="1697"/>
      <c r="BR715" s="1697"/>
      <c r="BS715" s="1697"/>
      <c r="BT715" s="1697"/>
      <c r="BU715" s="1697"/>
      <c r="BV715" s="1697"/>
      <c r="BW715" s="1697"/>
      <c r="BX715" s="1697"/>
      <c r="BY715" s="1697"/>
      <c r="BZ715" s="1697"/>
      <c r="CA715" s="1697"/>
      <c r="CB715" s="1697"/>
      <c r="CC715" s="1697"/>
      <c r="CD715" s="1697"/>
      <c r="CE715" s="1697"/>
      <c r="CF715" s="1697"/>
      <c r="CG715" s="1697"/>
      <c r="CH715" s="1697"/>
      <c r="CI715" s="1697"/>
      <c r="CJ715" s="1697"/>
      <c r="CK715" s="1697"/>
      <c r="CL715" s="1697"/>
      <c r="CM715" s="1697"/>
      <c r="CN715" s="1697"/>
      <c r="CO715" s="1697"/>
      <c r="CP715" s="1697"/>
      <c r="CQ715" s="1697"/>
      <c r="CR715" s="1697"/>
      <c r="CS715" s="1697"/>
      <c r="CT715" s="1697"/>
      <c r="CU715" s="1697"/>
      <c r="CV715" s="1697"/>
      <c r="CW715" s="1697"/>
      <c r="CX715" s="1697"/>
      <c r="CY715" s="1697"/>
      <c r="CZ715" s="1697"/>
      <c r="DA715" s="1697"/>
      <c r="DB715" s="1697"/>
      <c r="DC715" s="1697"/>
      <c r="DD715" s="1697"/>
      <c r="DE715" s="1697"/>
      <c r="DF715" s="1697"/>
      <c r="DG715" s="1697"/>
      <c r="DH715" s="1697"/>
      <c r="DI715" s="1697"/>
      <c r="DJ715" s="1697"/>
      <c r="DK715" s="1697"/>
      <c r="DL715" s="1697"/>
      <c r="DM715" s="1697"/>
      <c r="DN715" s="1697"/>
      <c r="DO715" s="1697"/>
      <c r="DP715" s="1697"/>
      <c r="DQ715" s="1697"/>
      <c r="DR715" s="1697"/>
      <c r="DS715" s="1697"/>
      <c r="DT715" s="1697"/>
      <c r="DU715" s="1697"/>
      <c r="DV715" s="1697"/>
      <c r="DW715" s="1697"/>
      <c r="DX715" s="1697"/>
      <c r="DY715" s="1697"/>
      <c r="DZ715" s="1697"/>
      <c r="EA715" s="1697"/>
      <c r="EB715" s="1697"/>
      <c r="EC715" s="1697"/>
      <c r="ED715" s="1697"/>
      <c r="EE715" s="1697"/>
      <c r="EF715" s="1697"/>
      <c r="EG715" s="1697"/>
      <c r="EH715" s="1697"/>
      <c r="EI715" s="1697"/>
      <c r="EJ715" s="1697"/>
      <c r="EK715" s="1697"/>
      <c r="EL715" s="1697"/>
      <c r="EM715" s="1697"/>
      <c r="EN715" s="1697"/>
      <c r="EO715" s="1697"/>
      <c r="EP715" s="1697"/>
      <c r="EQ715" s="1697"/>
      <c r="ER715" s="1697"/>
      <c r="ES715" s="1697"/>
      <c r="ET715" s="1697"/>
      <c r="EU715" s="1697"/>
      <c r="EV715" s="1697"/>
      <c r="EW715" s="1697"/>
      <c r="EX715" s="1697"/>
      <c r="EY715" s="1697"/>
      <c r="EZ715" s="1697"/>
      <c r="FA715" s="1697"/>
      <c r="FB715" s="1697"/>
      <c r="FC715" s="1697"/>
      <c r="FD715" s="1697"/>
      <c r="FE715" s="1697"/>
      <c r="FF715" s="1697"/>
      <c r="FG715" s="1697"/>
      <c r="FH715" s="1697"/>
      <c r="FI715" s="1697"/>
    </row>
    <row r="716" spans="1:165">
      <c r="A716" s="1697"/>
      <c r="B716" s="1697"/>
      <c r="C716" s="1697"/>
      <c r="D716" s="1697"/>
      <c r="E716" s="1697"/>
      <c r="F716" s="1697"/>
      <c r="G716" s="1697"/>
      <c r="H716" s="1697"/>
      <c r="I716" s="1697"/>
      <c r="J716" s="1697"/>
      <c r="K716" s="1697"/>
      <c r="L716" s="1697"/>
      <c r="M716" s="1697"/>
      <c r="N716" s="1697"/>
      <c r="O716" s="1697"/>
      <c r="P716" s="1697"/>
      <c r="Q716" s="1697"/>
      <c r="R716" s="1697"/>
      <c r="S716" s="1697"/>
      <c r="T716" s="1697"/>
      <c r="U716" s="1697"/>
      <c r="V716" s="1697"/>
      <c r="W716" s="1697"/>
      <c r="X716" s="1697"/>
      <c r="Y716" s="1697"/>
      <c r="Z716" s="1697"/>
      <c r="AA716" s="1697"/>
      <c r="AB716" s="1697"/>
      <c r="AC716" s="1697"/>
      <c r="AD716" s="1697"/>
      <c r="AE716" s="1697"/>
      <c r="AF716" s="1697"/>
      <c r="AG716" s="1697"/>
      <c r="AH716" s="1697"/>
      <c r="AI716" s="1697"/>
      <c r="AJ716" s="1697"/>
      <c r="AK716" s="1697"/>
      <c r="AL716" s="1697"/>
      <c r="AM716" s="1697"/>
      <c r="AN716" s="1697"/>
      <c r="AO716" s="1697"/>
      <c r="AP716" s="1697"/>
      <c r="AQ716" s="1697"/>
      <c r="AR716" s="1697"/>
      <c r="AS716" s="1697"/>
      <c r="AT716" s="1697"/>
      <c r="AU716" s="1697"/>
      <c r="AV716" s="1697"/>
      <c r="AW716" s="1697"/>
      <c r="AX716" s="1697"/>
      <c r="AY716" s="1697"/>
      <c r="AZ716" s="1697"/>
      <c r="BA716" s="1697"/>
      <c r="BB716" s="1697"/>
      <c r="BC716" s="1697"/>
      <c r="BD716" s="1697"/>
      <c r="BE716" s="1697"/>
      <c r="BF716" s="1697"/>
      <c r="BG716" s="1697"/>
      <c r="BH716" s="1697"/>
      <c r="BI716" s="1697"/>
      <c r="BJ716" s="1697"/>
      <c r="BK716" s="1697"/>
      <c r="BL716" s="1697"/>
      <c r="BM716" s="1697"/>
      <c r="BN716" s="1697"/>
      <c r="BO716" s="1697"/>
      <c r="BP716" s="1697"/>
      <c r="BQ716" s="1697"/>
      <c r="BR716" s="1697"/>
      <c r="BS716" s="1697"/>
      <c r="BT716" s="1697"/>
      <c r="BU716" s="1697"/>
      <c r="BV716" s="1697"/>
      <c r="BW716" s="1697"/>
      <c r="BX716" s="1697"/>
      <c r="BY716" s="1697"/>
      <c r="BZ716" s="1697"/>
      <c r="CA716" s="1697"/>
      <c r="CB716" s="1697"/>
      <c r="CC716" s="1697"/>
      <c r="CD716" s="1697"/>
      <c r="CE716" s="1697"/>
      <c r="CF716" s="1697"/>
      <c r="CG716" s="1697"/>
      <c r="CH716" s="1697"/>
      <c r="CI716" s="1697"/>
      <c r="CJ716" s="1697"/>
      <c r="CK716" s="1697"/>
      <c r="CL716" s="1697"/>
      <c r="CM716" s="1697"/>
      <c r="CN716" s="1697"/>
      <c r="CO716" s="1697"/>
      <c r="CP716" s="1697"/>
      <c r="CQ716" s="1697"/>
      <c r="CR716" s="1697"/>
      <c r="CS716" s="1697"/>
      <c r="CT716" s="1697"/>
      <c r="CU716" s="1697"/>
      <c r="CV716" s="1697"/>
      <c r="CW716" s="1697"/>
      <c r="CX716" s="1697"/>
      <c r="CY716" s="1697"/>
      <c r="CZ716" s="1697"/>
      <c r="DA716" s="1697"/>
      <c r="DB716" s="1697"/>
      <c r="DC716" s="1697"/>
      <c r="DD716" s="1697"/>
      <c r="DE716" s="1697"/>
      <c r="DF716" s="1697"/>
      <c r="DG716" s="1697"/>
      <c r="DH716" s="1697"/>
      <c r="DI716" s="1697"/>
      <c r="DJ716" s="1697"/>
      <c r="DK716" s="1697"/>
      <c r="DL716" s="1697"/>
      <c r="DM716" s="1697"/>
      <c r="DN716" s="1697"/>
      <c r="DO716" s="1697"/>
      <c r="DP716" s="1697"/>
      <c r="DQ716" s="1697"/>
      <c r="DR716" s="1697"/>
      <c r="DS716" s="1697"/>
      <c r="DT716" s="1697"/>
      <c r="DU716" s="1697"/>
      <c r="DV716" s="1697"/>
      <c r="DW716" s="1697"/>
      <c r="DX716" s="1697"/>
      <c r="DY716" s="1697"/>
      <c r="DZ716" s="1697"/>
      <c r="EA716" s="1697"/>
      <c r="EB716" s="1697"/>
      <c r="EC716" s="1697"/>
      <c r="ED716" s="1697"/>
      <c r="EE716" s="1697"/>
      <c r="EF716" s="1697"/>
      <c r="EG716" s="1697"/>
      <c r="EH716" s="1697"/>
      <c r="EI716" s="1697"/>
      <c r="EJ716" s="1697"/>
      <c r="EK716" s="1697"/>
      <c r="EL716" s="1697"/>
      <c r="EM716" s="1697"/>
      <c r="EN716" s="1697"/>
      <c r="EO716" s="1697"/>
      <c r="EP716" s="1697"/>
      <c r="EQ716" s="1697"/>
      <c r="ER716" s="1697"/>
      <c r="ES716" s="1697"/>
      <c r="ET716" s="1697"/>
      <c r="EU716" s="1697"/>
      <c r="EV716" s="1697"/>
      <c r="EW716" s="1697"/>
      <c r="EX716" s="1697"/>
      <c r="EY716" s="1697"/>
      <c r="EZ716" s="1697"/>
      <c r="FA716" s="1697"/>
      <c r="FB716" s="1697"/>
      <c r="FC716" s="1697"/>
      <c r="FD716" s="1697"/>
      <c r="FE716" s="1697"/>
      <c r="FF716" s="1697"/>
      <c r="FG716" s="1697"/>
      <c r="FH716" s="1697"/>
      <c r="FI716" s="1697"/>
    </row>
    <row r="717" spans="1:165">
      <c r="A717" s="1697"/>
      <c r="B717" s="1697"/>
      <c r="C717" s="1697"/>
      <c r="D717" s="1697"/>
      <c r="E717" s="1697"/>
      <c r="F717" s="1697"/>
      <c r="G717" s="1697"/>
      <c r="H717" s="1697"/>
      <c r="I717" s="1697"/>
      <c r="J717" s="1697"/>
      <c r="K717" s="1697"/>
      <c r="L717" s="1697"/>
      <c r="M717" s="1697"/>
      <c r="N717" s="1697"/>
      <c r="O717" s="1697"/>
      <c r="P717" s="1697"/>
      <c r="Q717" s="1697"/>
      <c r="R717" s="1697"/>
      <c r="S717" s="1697"/>
      <c r="T717" s="1697"/>
      <c r="U717" s="1697"/>
      <c r="V717" s="1697"/>
      <c r="W717" s="1697"/>
      <c r="X717" s="1697"/>
      <c r="Y717" s="1697"/>
      <c r="Z717" s="1697"/>
      <c r="AA717" s="1697"/>
      <c r="AB717" s="1697"/>
      <c r="AC717" s="1697"/>
      <c r="AD717" s="1697"/>
      <c r="AE717" s="1697"/>
      <c r="AF717" s="1697"/>
      <c r="AG717" s="1697"/>
      <c r="AH717" s="1697"/>
      <c r="AI717" s="1697"/>
      <c r="AJ717" s="1697"/>
      <c r="AK717" s="1697"/>
      <c r="AL717" s="1697"/>
      <c r="AM717" s="1697"/>
      <c r="AN717" s="1697"/>
      <c r="AO717" s="1697"/>
      <c r="AP717" s="1697"/>
      <c r="AQ717" s="1697"/>
      <c r="AR717" s="1697"/>
      <c r="AS717" s="1697"/>
      <c r="AT717" s="1697"/>
      <c r="AU717" s="1697"/>
      <c r="AV717" s="1697"/>
      <c r="AW717" s="1697"/>
      <c r="AX717" s="1697"/>
      <c r="AY717" s="1697"/>
      <c r="AZ717" s="1697"/>
      <c r="BA717" s="1697"/>
      <c r="BB717" s="1697"/>
      <c r="BC717" s="1697"/>
      <c r="BD717" s="1697"/>
      <c r="BE717" s="1697"/>
      <c r="BF717" s="1697"/>
      <c r="BG717" s="1697"/>
      <c r="BH717" s="1697"/>
      <c r="BI717" s="1697"/>
      <c r="BJ717" s="1697"/>
      <c r="BK717" s="1697"/>
      <c r="BL717" s="1697"/>
      <c r="BM717" s="1697"/>
      <c r="BN717" s="1697"/>
      <c r="BO717" s="1697"/>
      <c r="BP717" s="1697"/>
      <c r="BQ717" s="1697"/>
      <c r="BR717" s="1697"/>
      <c r="BS717" s="1697"/>
      <c r="BT717" s="1697"/>
      <c r="BU717" s="1697"/>
      <c r="BV717" s="1697"/>
      <c r="BW717" s="1697"/>
      <c r="BX717" s="1697"/>
      <c r="BY717" s="1697"/>
      <c r="BZ717" s="1697"/>
      <c r="CA717" s="1697"/>
      <c r="CB717" s="1697"/>
      <c r="CC717" s="1697"/>
      <c r="CD717" s="1697"/>
      <c r="CE717" s="1697"/>
      <c r="CF717" s="1697"/>
      <c r="CG717" s="1697"/>
      <c r="CH717" s="1697"/>
      <c r="CI717" s="1697"/>
      <c r="CJ717" s="1697"/>
      <c r="CK717" s="1697"/>
      <c r="CL717" s="1697"/>
      <c r="CM717" s="1697"/>
      <c r="CN717" s="1697"/>
      <c r="CO717" s="1697"/>
      <c r="CP717" s="1697"/>
      <c r="CQ717" s="1697"/>
      <c r="CR717" s="1697"/>
      <c r="CS717" s="1697"/>
      <c r="CT717" s="1697"/>
      <c r="CU717" s="1697"/>
      <c r="CV717" s="1697"/>
      <c r="CW717" s="1697"/>
      <c r="CX717" s="1697"/>
      <c r="CY717" s="1697"/>
      <c r="CZ717" s="1697"/>
      <c r="DA717" s="1697"/>
      <c r="DB717" s="1697"/>
      <c r="DC717" s="1697"/>
      <c r="DD717" s="1697"/>
      <c r="DE717" s="1697"/>
      <c r="DF717" s="1697"/>
      <c r="DG717" s="1697"/>
      <c r="DH717" s="1697"/>
      <c r="DI717" s="1697"/>
      <c r="DJ717" s="1697"/>
      <c r="DK717" s="1697"/>
      <c r="DL717" s="1697"/>
      <c r="DM717" s="1697"/>
      <c r="DN717" s="1697"/>
      <c r="DO717" s="1697"/>
      <c r="DP717" s="1697"/>
      <c r="DQ717" s="1697"/>
      <c r="DR717" s="1697"/>
      <c r="DS717" s="1697"/>
      <c r="DT717" s="1697"/>
      <c r="DU717" s="1697"/>
      <c r="DV717" s="1697"/>
      <c r="DW717" s="1697"/>
      <c r="DX717" s="1697"/>
      <c r="DY717" s="1697"/>
      <c r="DZ717" s="1697"/>
      <c r="EA717" s="1697"/>
      <c r="EB717" s="1697"/>
      <c r="EC717" s="1697"/>
      <c r="ED717" s="1697"/>
      <c r="EE717" s="1697"/>
      <c r="EF717" s="1697"/>
      <c r="EG717" s="1697"/>
      <c r="EH717" s="1697"/>
      <c r="EI717" s="1697"/>
      <c r="EJ717" s="1697"/>
      <c r="EK717" s="1697"/>
      <c r="EL717" s="1697"/>
      <c r="EM717" s="1697"/>
      <c r="EN717" s="1697"/>
      <c r="EO717" s="1697"/>
      <c r="EP717" s="1697"/>
      <c r="EQ717" s="1697"/>
      <c r="ER717" s="1697"/>
      <c r="ES717" s="1697"/>
      <c r="ET717" s="1697"/>
      <c r="EU717" s="1697"/>
      <c r="EV717" s="1697"/>
      <c r="EW717" s="1697"/>
      <c r="EX717" s="1697"/>
      <c r="EY717" s="1697"/>
      <c r="EZ717" s="1697"/>
      <c r="FA717" s="1697"/>
      <c r="FB717" s="1697"/>
      <c r="FC717" s="1697"/>
      <c r="FD717" s="1697"/>
      <c r="FE717" s="1697"/>
      <c r="FF717" s="1697"/>
      <c r="FG717" s="1697"/>
      <c r="FH717" s="1697"/>
      <c r="FI717" s="1697"/>
    </row>
    <row r="718" spans="1:165">
      <c r="A718" s="1697"/>
      <c r="B718" s="1697"/>
      <c r="C718" s="1697"/>
      <c r="D718" s="1697"/>
      <c r="E718" s="1697"/>
      <c r="F718" s="1697"/>
      <c r="G718" s="1697"/>
      <c r="H718" s="1697"/>
      <c r="I718" s="1697"/>
      <c r="J718" s="1697"/>
      <c r="K718" s="1697"/>
      <c r="L718" s="1697"/>
      <c r="M718" s="1697"/>
      <c r="N718" s="1697"/>
      <c r="O718" s="1697"/>
      <c r="P718" s="1697"/>
      <c r="Q718" s="1697"/>
      <c r="R718" s="1697"/>
      <c r="S718" s="1697"/>
      <c r="T718" s="1697"/>
      <c r="U718" s="1697"/>
      <c r="V718" s="1697"/>
      <c r="W718" s="1697"/>
      <c r="X718" s="1697"/>
      <c r="Y718" s="1697"/>
      <c r="Z718" s="1697"/>
      <c r="AA718" s="1697"/>
      <c r="AB718" s="1697"/>
      <c r="AC718" s="1697"/>
      <c r="AD718" s="1697"/>
      <c r="AE718" s="1697"/>
      <c r="AF718" s="1697"/>
      <c r="AG718" s="1697"/>
      <c r="AH718" s="1697"/>
      <c r="AI718" s="1697"/>
      <c r="AJ718" s="1697"/>
      <c r="AK718" s="1697"/>
      <c r="AL718" s="1697"/>
      <c r="AM718" s="1697"/>
      <c r="AN718" s="1697"/>
      <c r="AO718" s="1697"/>
      <c r="AP718" s="1697"/>
      <c r="AQ718" s="1697"/>
      <c r="AR718" s="1697"/>
      <c r="AS718" s="1697"/>
      <c r="AT718" s="1697"/>
      <c r="AU718" s="1697"/>
      <c r="AV718" s="1697"/>
      <c r="AW718" s="1697"/>
      <c r="AX718" s="1697"/>
      <c r="AY718" s="1697"/>
      <c r="AZ718" s="1697"/>
      <c r="BA718" s="1697"/>
      <c r="BB718" s="1697"/>
      <c r="BC718" s="1697"/>
      <c r="BD718" s="1697"/>
      <c r="BE718" s="1697"/>
      <c r="BF718" s="1697"/>
      <c r="BG718" s="1697"/>
      <c r="BH718" s="1697"/>
      <c r="BI718" s="1697"/>
      <c r="BJ718" s="1697"/>
      <c r="BK718" s="1697"/>
      <c r="BL718" s="1697"/>
      <c r="BM718" s="1697"/>
      <c r="BN718" s="1697"/>
      <c r="BO718" s="1697"/>
      <c r="BP718" s="1697"/>
      <c r="BQ718" s="1697"/>
      <c r="BR718" s="1697"/>
      <c r="BS718" s="1697"/>
      <c r="BT718" s="1697"/>
      <c r="BU718" s="1697"/>
      <c r="BV718" s="1697"/>
      <c r="BW718" s="1697"/>
      <c r="BX718" s="1697"/>
      <c r="BY718" s="1697"/>
      <c r="BZ718" s="1697"/>
      <c r="CA718" s="1697"/>
      <c r="CB718" s="1697"/>
      <c r="CC718" s="1697"/>
      <c r="CD718" s="1697"/>
      <c r="CE718" s="1697"/>
      <c r="CF718" s="1697"/>
      <c r="CG718" s="1697"/>
      <c r="CH718" s="1697"/>
      <c r="CI718" s="1697"/>
      <c r="CJ718" s="1697"/>
      <c r="CK718" s="1697"/>
      <c r="CL718" s="1697"/>
      <c r="CM718" s="1697"/>
      <c r="CN718" s="1697"/>
      <c r="CO718" s="1697"/>
      <c r="CP718" s="1697"/>
      <c r="CQ718" s="1697"/>
      <c r="CR718" s="1697"/>
      <c r="CS718" s="1697"/>
      <c r="CT718" s="1697"/>
      <c r="CU718" s="1697"/>
      <c r="CV718" s="1697"/>
      <c r="CW718" s="1697"/>
      <c r="CX718" s="1697"/>
      <c r="CY718" s="1697"/>
      <c r="CZ718" s="1697"/>
      <c r="DA718" s="1697"/>
      <c r="DB718" s="1697"/>
      <c r="DC718" s="1697"/>
      <c r="DD718" s="1697"/>
      <c r="DE718" s="1697"/>
      <c r="DF718" s="1697"/>
      <c r="DG718" s="1697"/>
      <c r="DH718" s="1697"/>
      <c r="DI718" s="1697"/>
      <c r="DJ718" s="1697"/>
      <c r="DK718" s="1697"/>
      <c r="DL718" s="1697"/>
      <c r="DM718" s="1697"/>
      <c r="DN718" s="1697"/>
      <c r="DO718" s="1697"/>
      <c r="DP718" s="1697"/>
      <c r="DQ718" s="1697"/>
      <c r="DR718" s="1697"/>
      <c r="DS718" s="1697"/>
      <c r="DT718" s="1697"/>
      <c r="DU718" s="1697"/>
      <c r="DV718" s="1697"/>
      <c r="DW718" s="1697"/>
      <c r="DX718" s="1697"/>
      <c r="DY718" s="1697"/>
      <c r="DZ718" s="1697"/>
      <c r="EA718" s="1697"/>
      <c r="EB718" s="1697"/>
      <c r="EC718" s="1697"/>
      <c r="ED718" s="1697"/>
      <c r="EE718" s="1697"/>
      <c r="EF718" s="1697"/>
      <c r="EG718" s="1697"/>
      <c r="EH718" s="1697"/>
      <c r="EI718" s="1697"/>
      <c r="EJ718" s="1697"/>
      <c r="EK718" s="1697"/>
      <c r="EL718" s="1697"/>
      <c r="EM718" s="1697"/>
      <c r="EN718" s="1697"/>
      <c r="EO718" s="1697"/>
      <c r="EP718" s="1697"/>
      <c r="EQ718" s="1697"/>
      <c r="ER718" s="1697"/>
      <c r="ES718" s="1697"/>
      <c r="ET718" s="1697"/>
      <c r="EU718" s="1697"/>
      <c r="EV718" s="1697"/>
      <c r="EW718" s="1697"/>
      <c r="EX718" s="1697"/>
      <c r="EY718" s="1697"/>
      <c r="EZ718" s="1697"/>
      <c r="FA718" s="1697"/>
      <c r="FB718" s="1697"/>
      <c r="FC718" s="1697"/>
      <c r="FD718" s="1697"/>
      <c r="FE718" s="1697"/>
      <c r="FF718" s="1697"/>
      <c r="FG718" s="1697"/>
      <c r="FH718" s="1697"/>
      <c r="FI718" s="1697"/>
    </row>
    <row r="719" spans="1:165">
      <c r="A719" s="1697"/>
      <c r="B719" s="1697"/>
      <c r="C719" s="1697"/>
      <c r="D719" s="1697"/>
      <c r="E719" s="1697"/>
      <c r="F719" s="1697"/>
      <c r="G719" s="1697"/>
      <c r="H719" s="1697"/>
      <c r="I719" s="1697"/>
      <c r="J719" s="1697"/>
      <c r="K719" s="1697"/>
      <c r="L719" s="1697"/>
      <c r="M719" s="1697"/>
      <c r="N719" s="1697"/>
      <c r="O719" s="1697"/>
      <c r="P719" s="1697"/>
      <c r="Q719" s="1697"/>
      <c r="R719" s="1697"/>
      <c r="S719" s="1697"/>
      <c r="T719" s="1697"/>
      <c r="U719" s="1697"/>
      <c r="V719" s="1697"/>
      <c r="W719" s="1697"/>
      <c r="X719" s="1697"/>
      <c r="Y719" s="1697"/>
      <c r="Z719" s="1697"/>
      <c r="AA719" s="1697"/>
      <c r="AB719" s="1697"/>
      <c r="AC719" s="1697"/>
      <c r="AD719" s="1697"/>
      <c r="AE719" s="1697"/>
      <c r="AF719" s="1697"/>
      <c r="AG719" s="1697"/>
      <c r="AH719" s="1697"/>
      <c r="AI719" s="1697"/>
      <c r="AJ719" s="1697"/>
      <c r="AK719" s="1697"/>
      <c r="AL719" s="1697"/>
      <c r="AM719" s="1697"/>
      <c r="AN719" s="1697"/>
      <c r="AO719" s="1697"/>
      <c r="AP719" s="1697"/>
      <c r="AQ719" s="1697"/>
      <c r="AR719" s="1697"/>
      <c r="AS719" s="1697"/>
      <c r="AT719" s="1697"/>
      <c r="AU719" s="1697"/>
      <c r="AV719" s="1697"/>
      <c r="AW719" s="1697"/>
      <c r="AX719" s="1697"/>
      <c r="AY719" s="1697"/>
      <c r="AZ719" s="1697"/>
      <c r="BA719" s="1697"/>
      <c r="BB719" s="1697"/>
      <c r="BC719" s="1697"/>
      <c r="BD719" s="1697"/>
      <c r="BE719" s="1697"/>
      <c r="BF719" s="1697"/>
      <c r="BG719" s="1697"/>
      <c r="BH719" s="1697"/>
      <c r="BI719" s="1697"/>
      <c r="BJ719" s="1697"/>
      <c r="BK719" s="1697"/>
      <c r="BL719" s="1697"/>
      <c r="BM719" s="1697"/>
      <c r="BN719" s="1697"/>
      <c r="BO719" s="1697"/>
      <c r="BP719" s="1697"/>
      <c r="BQ719" s="1697"/>
      <c r="BR719" s="1697"/>
      <c r="BS719" s="1697"/>
      <c r="BT719" s="1697"/>
      <c r="BU719" s="1697"/>
      <c r="BV719" s="1697"/>
      <c r="BW719" s="1697"/>
      <c r="BX719" s="1697"/>
      <c r="BY719" s="1697"/>
      <c r="BZ719" s="1697"/>
      <c r="CA719" s="1697"/>
      <c r="CB719" s="1697"/>
      <c r="CC719" s="1697"/>
      <c r="CD719" s="1697"/>
      <c r="CE719" s="1697"/>
      <c r="CF719" s="1697"/>
      <c r="CG719" s="1697"/>
      <c r="CH719" s="1697"/>
      <c r="CI719" s="1697"/>
      <c r="CJ719" s="1697"/>
      <c r="CK719" s="1697"/>
      <c r="CL719" s="1697"/>
      <c r="CM719" s="1697"/>
      <c r="CN719" s="1697"/>
      <c r="CO719" s="1697"/>
      <c r="CP719" s="1697"/>
      <c r="CQ719" s="1697"/>
      <c r="CR719" s="1697"/>
      <c r="CS719" s="1697"/>
      <c r="CT719" s="1697"/>
      <c r="CU719" s="1697"/>
      <c r="CV719" s="1697"/>
      <c r="CW719" s="1697"/>
      <c r="CX719" s="1697"/>
      <c r="CY719" s="1697"/>
      <c r="CZ719" s="1697"/>
      <c r="DA719" s="1697"/>
      <c r="DB719" s="1697"/>
      <c r="DC719" s="1697"/>
      <c r="DD719" s="1697"/>
      <c r="DE719" s="1697"/>
      <c r="DF719" s="1697"/>
      <c r="DG719" s="1697"/>
      <c r="DH719" s="1697"/>
      <c r="DI719" s="1697"/>
      <c r="DJ719" s="1697"/>
      <c r="DK719" s="1697"/>
      <c r="DL719" s="1697"/>
      <c r="DM719" s="1697"/>
      <c r="DN719" s="1697"/>
      <c r="DO719" s="1697"/>
      <c r="DP719" s="1697"/>
      <c r="DQ719" s="1697"/>
      <c r="DR719" s="1697"/>
      <c r="DS719" s="1697"/>
      <c r="DT719" s="1697"/>
      <c r="DU719" s="1697"/>
      <c r="DV719" s="1697"/>
      <c r="DW719" s="1697"/>
      <c r="DX719" s="1697"/>
      <c r="DY719" s="1697"/>
      <c r="DZ719" s="1697"/>
      <c r="EA719" s="1697"/>
      <c r="EB719" s="1697"/>
      <c r="EC719" s="1697"/>
      <c r="ED719" s="1697"/>
      <c r="EE719" s="1697"/>
      <c r="EF719" s="1697"/>
      <c r="EG719" s="1697"/>
      <c r="EH719" s="1697"/>
      <c r="EI719" s="1697"/>
      <c r="EJ719" s="1697"/>
      <c r="EK719" s="1697"/>
      <c r="EL719" s="1697"/>
      <c r="EM719" s="1697"/>
      <c r="EN719" s="1697"/>
      <c r="EO719" s="1697"/>
      <c r="EP719" s="1697"/>
      <c r="EQ719" s="1697"/>
      <c r="ER719" s="1697"/>
      <c r="ES719" s="1697"/>
      <c r="ET719" s="1697"/>
      <c r="EU719" s="1697"/>
      <c r="EV719" s="1697"/>
      <c r="EW719" s="1697"/>
      <c r="EX719" s="1697"/>
      <c r="EY719" s="1697"/>
      <c r="EZ719" s="1697"/>
      <c r="FA719" s="1697"/>
      <c r="FB719" s="1697"/>
      <c r="FC719" s="1697"/>
      <c r="FD719" s="1697"/>
      <c r="FE719" s="1697"/>
      <c r="FF719" s="1697"/>
      <c r="FG719" s="1697"/>
      <c r="FH719" s="1697"/>
      <c r="FI719" s="1697"/>
    </row>
    <row r="720" spans="1:165">
      <c r="A720" s="1697"/>
      <c r="B720" s="1697"/>
      <c r="C720" s="1697"/>
      <c r="D720" s="1697"/>
      <c r="E720" s="1697"/>
      <c r="F720" s="1697"/>
      <c r="G720" s="1697"/>
      <c r="H720" s="1697"/>
      <c r="I720" s="1697"/>
      <c r="J720" s="1697"/>
      <c r="K720" s="1697"/>
      <c r="L720" s="1697"/>
      <c r="M720" s="1697"/>
      <c r="N720" s="1697"/>
      <c r="O720" s="1697"/>
      <c r="P720" s="1697"/>
      <c r="Q720" s="1697"/>
      <c r="R720" s="1697"/>
      <c r="S720" s="1697"/>
      <c r="T720" s="1697"/>
      <c r="U720" s="1697"/>
      <c r="V720" s="1697"/>
      <c r="W720" s="1697"/>
      <c r="X720" s="1697"/>
      <c r="Y720" s="1697"/>
      <c r="Z720" s="1697"/>
      <c r="AA720" s="1697"/>
      <c r="AB720" s="1697"/>
      <c r="AC720" s="1697"/>
      <c r="AD720" s="1697"/>
      <c r="AE720" s="1697"/>
      <c r="AF720" s="1697"/>
      <c r="AG720" s="1697"/>
      <c r="AH720" s="1697"/>
      <c r="AI720" s="1697"/>
      <c r="AJ720" s="1697"/>
      <c r="AK720" s="1697"/>
      <c r="AL720" s="1697"/>
      <c r="AM720" s="1697"/>
      <c r="AN720" s="1697"/>
      <c r="AO720" s="1697"/>
      <c r="AP720" s="1697"/>
      <c r="AQ720" s="1697"/>
      <c r="AR720" s="1697"/>
      <c r="AS720" s="1697"/>
      <c r="AT720" s="1697"/>
      <c r="AU720" s="1697"/>
      <c r="AV720" s="1697"/>
      <c r="AW720" s="1697"/>
      <c r="AX720" s="1697"/>
      <c r="AY720" s="1697"/>
      <c r="AZ720" s="1697"/>
      <c r="BA720" s="1697"/>
      <c r="BB720" s="1697"/>
      <c r="BC720" s="1697"/>
      <c r="BD720" s="1697"/>
      <c r="BE720" s="1697"/>
      <c r="BF720" s="1697"/>
      <c r="BG720" s="1697"/>
      <c r="BH720" s="1697"/>
      <c r="BI720" s="1697"/>
      <c r="BJ720" s="1697"/>
      <c r="BK720" s="1697"/>
      <c r="BL720" s="1697"/>
      <c r="BM720" s="1697"/>
      <c r="BN720" s="1697"/>
      <c r="BO720" s="1697"/>
      <c r="BP720" s="1697"/>
      <c r="BQ720" s="1697"/>
      <c r="BR720" s="1697"/>
      <c r="BS720" s="1697"/>
      <c r="BT720" s="1697"/>
      <c r="BU720" s="1697"/>
      <c r="BV720" s="1697"/>
      <c r="BW720" s="1697"/>
      <c r="BX720" s="1697"/>
      <c r="BY720" s="1697"/>
      <c r="BZ720" s="1697"/>
      <c r="CA720" s="1697"/>
      <c r="CB720" s="1697"/>
      <c r="CC720" s="1697"/>
      <c r="CD720" s="1697"/>
      <c r="CE720" s="1697"/>
      <c r="CF720" s="1697"/>
      <c r="CG720" s="1697"/>
      <c r="CH720" s="1697"/>
      <c r="CI720" s="1697"/>
      <c r="CJ720" s="1697"/>
      <c r="CK720" s="1697"/>
      <c r="CL720" s="1697"/>
      <c r="CM720" s="1697"/>
      <c r="CN720" s="1697"/>
      <c r="CO720" s="1697"/>
      <c r="CP720" s="1697"/>
      <c r="CQ720" s="1697"/>
      <c r="CR720" s="1697"/>
      <c r="CS720" s="1697"/>
      <c r="CT720" s="1697"/>
      <c r="CU720" s="1697"/>
      <c r="CV720" s="1697"/>
      <c r="CW720" s="1697"/>
      <c r="CX720" s="1697"/>
      <c r="CY720" s="1697"/>
      <c r="CZ720" s="1697"/>
      <c r="DA720" s="1697"/>
      <c r="DB720" s="1697"/>
      <c r="DC720" s="1697"/>
      <c r="DD720" s="1697"/>
      <c r="DE720" s="1697"/>
      <c r="DF720" s="1697"/>
      <c r="DG720" s="1697"/>
      <c r="DH720" s="1697"/>
      <c r="DI720" s="1697"/>
      <c r="DJ720" s="1697"/>
      <c r="DK720" s="1697"/>
      <c r="DL720" s="1697"/>
      <c r="DM720" s="1697"/>
      <c r="DN720" s="1697"/>
      <c r="DO720" s="1697"/>
      <c r="DP720" s="1697"/>
      <c r="DQ720" s="1697"/>
      <c r="DR720" s="1697"/>
      <c r="DS720" s="1697"/>
      <c r="DT720" s="1697"/>
      <c r="DU720" s="1697"/>
      <c r="DV720" s="1697"/>
      <c r="DW720" s="1697"/>
      <c r="DX720" s="1697"/>
      <c r="DY720" s="1697"/>
      <c r="DZ720" s="1697"/>
      <c r="EA720" s="1697"/>
      <c r="EB720" s="1697"/>
      <c r="EC720" s="1697"/>
      <c r="ED720" s="1697"/>
      <c r="EE720" s="1697"/>
      <c r="EF720" s="1697"/>
      <c r="EG720" s="1697"/>
      <c r="EH720" s="1697"/>
      <c r="EI720" s="1697"/>
      <c r="EJ720" s="1697"/>
      <c r="EK720" s="1697"/>
      <c r="EL720" s="1697"/>
      <c r="EM720" s="1697"/>
      <c r="EN720" s="1697"/>
      <c r="EO720" s="1697"/>
      <c r="EP720" s="1697"/>
      <c r="EQ720" s="1697"/>
      <c r="ER720" s="1697"/>
      <c r="ES720" s="1697"/>
      <c r="ET720" s="1697"/>
      <c r="EU720" s="1697"/>
      <c r="EV720" s="1697"/>
      <c r="EW720" s="1697"/>
      <c r="EX720" s="1697"/>
      <c r="EY720" s="1697"/>
      <c r="EZ720" s="1697"/>
      <c r="FA720" s="1697"/>
      <c r="FB720" s="1697"/>
      <c r="FC720" s="1697"/>
      <c r="FD720" s="1697"/>
      <c r="FE720" s="1697"/>
      <c r="FF720" s="1697"/>
      <c r="FG720" s="1697"/>
      <c r="FH720" s="1697"/>
      <c r="FI720" s="1697"/>
    </row>
    <row r="721" spans="1:165">
      <c r="A721" s="1697"/>
      <c r="B721" s="1697"/>
      <c r="C721" s="1697"/>
      <c r="D721" s="1697"/>
      <c r="E721" s="1697"/>
      <c r="F721" s="1697"/>
      <c r="G721" s="1697"/>
      <c r="H721" s="1697"/>
      <c r="I721" s="1697"/>
      <c r="J721" s="1697"/>
      <c r="K721" s="1697"/>
      <c r="L721" s="1697"/>
      <c r="M721" s="1697"/>
      <c r="N721" s="1697"/>
      <c r="O721" s="1697"/>
      <c r="P721" s="1697"/>
      <c r="Q721" s="1697"/>
      <c r="R721" s="1697"/>
      <c r="S721" s="1697"/>
      <c r="T721" s="1697"/>
      <c r="U721" s="1697"/>
      <c r="V721" s="1697"/>
      <c r="W721" s="1697"/>
      <c r="X721" s="1697"/>
      <c r="Y721" s="1697"/>
      <c r="Z721" s="1697"/>
      <c r="AA721" s="1697"/>
      <c r="AB721" s="1697"/>
      <c r="AC721" s="1697"/>
      <c r="AD721" s="1697"/>
      <c r="AE721" s="1697"/>
      <c r="AF721" s="1697"/>
      <c r="AG721" s="1697"/>
      <c r="AH721" s="1697"/>
      <c r="AI721" s="1697"/>
      <c r="AJ721" s="1697"/>
      <c r="AK721" s="1697"/>
      <c r="AL721" s="1697"/>
      <c r="AM721" s="1697"/>
      <c r="AN721" s="1697"/>
      <c r="AO721" s="1697"/>
      <c r="AP721" s="1697"/>
      <c r="AQ721" s="1697"/>
      <c r="AR721" s="1697"/>
      <c r="AS721" s="1697"/>
      <c r="AT721" s="1697"/>
      <c r="AU721" s="1697"/>
      <c r="AV721" s="1697"/>
      <c r="AW721" s="1697"/>
      <c r="AX721" s="1697"/>
      <c r="AY721" s="1697"/>
      <c r="AZ721" s="1697"/>
      <c r="BA721" s="1697"/>
      <c r="BB721" s="1697"/>
      <c r="BC721" s="1697"/>
      <c r="BD721" s="1697"/>
      <c r="BE721" s="1697"/>
      <c r="BF721" s="1697"/>
      <c r="BG721" s="1697"/>
      <c r="BH721" s="1697"/>
      <c r="BI721" s="1697"/>
      <c r="BJ721" s="1697"/>
      <c r="BK721" s="1697"/>
      <c r="BL721" s="1697"/>
      <c r="BM721" s="1697"/>
      <c r="BN721" s="1697"/>
      <c r="BO721" s="1697"/>
      <c r="BP721" s="1697"/>
      <c r="BQ721" s="1697"/>
      <c r="BR721" s="1697"/>
      <c r="BS721" s="1697"/>
      <c r="BT721" s="1697"/>
      <c r="BU721" s="1697"/>
      <c r="BV721" s="1697"/>
      <c r="BW721" s="1697"/>
      <c r="BX721" s="1697"/>
      <c r="BY721" s="1697"/>
      <c r="BZ721" s="1697"/>
      <c r="CA721" s="1697"/>
      <c r="CB721" s="1697"/>
      <c r="CC721" s="1697"/>
      <c r="CD721" s="1697"/>
      <c r="CE721" s="1697"/>
      <c r="CF721" s="1697"/>
      <c r="CG721" s="1697"/>
      <c r="CH721" s="1697"/>
      <c r="CI721" s="1697"/>
      <c r="CJ721" s="1697"/>
      <c r="CK721" s="1697"/>
      <c r="CL721" s="1697"/>
      <c r="CM721" s="1697"/>
      <c r="CN721" s="1697"/>
      <c r="CO721" s="1697"/>
      <c r="CP721" s="1697"/>
      <c r="CQ721" s="1697"/>
      <c r="CR721" s="1697"/>
      <c r="CS721" s="1697"/>
      <c r="CT721" s="1697"/>
      <c r="CU721" s="1697"/>
      <c r="CV721" s="1697"/>
      <c r="CW721" s="1697"/>
      <c r="CX721" s="1697"/>
      <c r="CY721" s="1697"/>
      <c r="CZ721" s="1697"/>
      <c r="DA721" s="1697"/>
      <c r="DB721" s="1697"/>
      <c r="DC721" s="1697"/>
      <c r="DD721" s="1697"/>
      <c r="DE721" s="1697"/>
      <c r="DF721" s="1697"/>
      <c r="DG721" s="1697"/>
      <c r="DH721" s="1697"/>
      <c r="DI721" s="1697"/>
      <c r="DJ721" s="1697"/>
      <c r="DK721" s="1697"/>
      <c r="DL721" s="1697"/>
      <c r="DM721" s="1697"/>
      <c r="DN721" s="1697"/>
      <c r="DO721" s="1697"/>
      <c r="DP721" s="1697"/>
      <c r="DQ721" s="1697"/>
      <c r="DR721" s="1697"/>
      <c r="DS721" s="1697"/>
      <c r="DT721" s="1697"/>
      <c r="DU721" s="1697"/>
      <c r="DV721" s="1697"/>
      <c r="DW721" s="1697"/>
      <c r="DX721" s="1697"/>
      <c r="DY721" s="1697"/>
      <c r="DZ721" s="1697"/>
      <c r="EA721" s="1697"/>
      <c r="EB721" s="1697"/>
      <c r="EC721" s="1697"/>
      <c r="ED721" s="1697"/>
      <c r="EE721" s="1697"/>
      <c r="EF721" s="1697"/>
      <c r="EG721" s="1697"/>
      <c r="EH721" s="1697"/>
      <c r="EI721" s="1697"/>
      <c r="EJ721" s="1697"/>
      <c r="EK721" s="1697"/>
      <c r="EL721" s="1697"/>
      <c r="EM721" s="1697"/>
      <c r="EN721" s="1697"/>
      <c r="EO721" s="1697"/>
      <c r="EP721" s="1697"/>
      <c r="EQ721" s="1697"/>
      <c r="ER721" s="1697"/>
      <c r="ES721" s="1697"/>
      <c r="ET721" s="1697"/>
      <c r="EU721" s="1697"/>
      <c r="EV721" s="1697"/>
      <c r="EW721" s="1697"/>
      <c r="EX721" s="1697"/>
      <c r="EY721" s="1697"/>
      <c r="EZ721" s="1697"/>
      <c r="FA721" s="1697"/>
      <c r="FB721" s="1697"/>
      <c r="FC721" s="1697"/>
      <c r="FD721" s="1697"/>
      <c r="FE721" s="1697"/>
      <c r="FF721" s="1697"/>
      <c r="FG721" s="1697"/>
      <c r="FH721" s="1697"/>
      <c r="FI721" s="1697"/>
    </row>
    <row r="722" spans="1:165">
      <c r="A722" s="1697"/>
      <c r="B722" s="1697"/>
      <c r="C722" s="1697"/>
      <c r="D722" s="1697"/>
      <c r="E722" s="1697"/>
      <c r="F722" s="1697"/>
      <c r="G722" s="1697"/>
      <c r="H722" s="1697"/>
      <c r="I722" s="1697"/>
      <c r="J722" s="1697"/>
      <c r="K722" s="1697"/>
      <c r="L722" s="1697"/>
      <c r="M722" s="1697"/>
      <c r="N722" s="1697"/>
      <c r="O722" s="1697"/>
      <c r="P722" s="1697"/>
      <c r="Q722" s="1697"/>
      <c r="R722" s="1697"/>
      <c r="S722" s="1697"/>
      <c r="T722" s="1697"/>
      <c r="U722" s="1697"/>
      <c r="V722" s="1697"/>
      <c r="W722" s="1697"/>
      <c r="X722" s="1697"/>
      <c r="Y722" s="1697"/>
      <c r="Z722" s="1697"/>
      <c r="AA722" s="1697"/>
      <c r="AB722" s="1697"/>
      <c r="AC722" s="1697"/>
      <c r="AD722" s="1697"/>
      <c r="AE722" s="1697"/>
      <c r="AF722" s="1697"/>
      <c r="AG722" s="1697"/>
      <c r="AH722" s="1697"/>
      <c r="AI722" s="1697"/>
      <c r="AJ722" s="1697"/>
      <c r="AK722" s="1697"/>
      <c r="AL722" s="1697"/>
      <c r="AM722" s="1697"/>
      <c r="AN722" s="1697"/>
      <c r="AO722" s="1697"/>
      <c r="AP722" s="1697"/>
      <c r="AQ722" s="1697"/>
      <c r="AR722" s="1697"/>
      <c r="AS722" s="1697"/>
      <c r="AT722" s="1697"/>
      <c r="AU722" s="1697"/>
      <c r="AV722" s="1697"/>
      <c r="AW722" s="1697"/>
      <c r="AX722" s="1697"/>
      <c r="AY722" s="1697"/>
      <c r="AZ722" s="1697"/>
      <c r="BA722" s="1697"/>
      <c r="BB722" s="1697"/>
      <c r="BC722" s="1697"/>
      <c r="BD722" s="1697"/>
      <c r="BE722" s="1697"/>
      <c r="BF722" s="1697"/>
      <c r="BG722" s="1697"/>
      <c r="BH722" s="1697"/>
      <c r="BI722" s="1697"/>
      <c r="BJ722" s="1697"/>
      <c r="BK722" s="1697"/>
      <c r="BL722" s="1697"/>
      <c r="BM722" s="1697"/>
      <c r="BN722" s="1697"/>
      <c r="BO722" s="1697"/>
      <c r="BP722" s="1697"/>
      <c r="BQ722" s="1697"/>
      <c r="BR722" s="1697"/>
      <c r="BS722" s="1697"/>
      <c r="BT722" s="1697"/>
      <c r="BU722" s="1697"/>
      <c r="BV722" s="1697"/>
      <c r="BW722" s="1697"/>
      <c r="BX722" s="1697"/>
      <c r="BY722" s="1697"/>
      <c r="BZ722" s="1697"/>
      <c r="CA722" s="1697"/>
      <c r="CB722" s="1697"/>
      <c r="CC722" s="1697"/>
      <c r="CD722" s="1697"/>
      <c r="CE722" s="1697"/>
      <c r="CF722" s="1697"/>
      <c r="CG722" s="1697"/>
      <c r="CH722" s="1697"/>
      <c r="CI722" s="1697"/>
      <c r="CJ722" s="1697"/>
      <c r="CK722" s="1697"/>
      <c r="CL722" s="1697"/>
      <c r="CM722" s="1697"/>
      <c r="CN722" s="1697"/>
      <c r="CO722" s="1697"/>
      <c r="CP722" s="1697"/>
      <c r="CQ722" s="1697"/>
      <c r="CR722" s="1697"/>
      <c r="CS722" s="1697"/>
      <c r="CT722" s="1697"/>
      <c r="CU722" s="1697"/>
      <c r="CV722" s="1697"/>
      <c r="CW722" s="1697"/>
      <c r="CX722" s="1697"/>
      <c r="CY722" s="1697"/>
      <c r="CZ722" s="1697"/>
      <c r="DA722" s="1697"/>
      <c r="DB722" s="1697"/>
      <c r="DC722" s="1697"/>
      <c r="DD722" s="1697"/>
      <c r="DE722" s="1697"/>
      <c r="DF722" s="1697"/>
      <c r="DG722" s="1697"/>
      <c r="DH722" s="1697"/>
      <c r="DI722" s="1697"/>
      <c r="DJ722" s="1697"/>
      <c r="DK722" s="1697"/>
      <c r="DL722" s="1697"/>
      <c r="DM722" s="1697"/>
      <c r="DN722" s="1697"/>
      <c r="DO722" s="1697"/>
      <c r="DP722" s="1697"/>
      <c r="DQ722" s="1697"/>
      <c r="DR722" s="1697"/>
      <c r="DS722" s="1697"/>
      <c r="DT722" s="1697"/>
      <c r="DU722" s="1697"/>
      <c r="DV722" s="1697"/>
      <c r="DW722" s="1697"/>
      <c r="DX722" s="1697"/>
      <c r="DY722" s="1697"/>
      <c r="DZ722" s="1697"/>
      <c r="EA722" s="1697"/>
      <c r="EB722" s="1697"/>
      <c r="EC722" s="1697"/>
      <c r="ED722" s="1697"/>
      <c r="EE722" s="1697"/>
      <c r="EF722" s="1697"/>
      <c r="EG722" s="1697"/>
      <c r="EH722" s="1697"/>
      <c r="EI722" s="1697"/>
      <c r="EJ722" s="1697"/>
      <c r="EK722" s="1697"/>
      <c r="EL722" s="1697"/>
      <c r="EM722" s="1697"/>
      <c r="EN722" s="1697"/>
      <c r="EO722" s="1697"/>
      <c r="EP722" s="1697"/>
      <c r="EQ722" s="1697"/>
      <c r="ER722" s="1697"/>
      <c r="ES722" s="1697"/>
      <c r="ET722" s="1697"/>
      <c r="EU722" s="1697"/>
      <c r="EV722" s="1697"/>
      <c r="EW722" s="1697"/>
      <c r="EX722" s="1697"/>
      <c r="EY722" s="1697"/>
      <c r="EZ722" s="1697"/>
      <c r="FA722" s="1697"/>
      <c r="FB722" s="1697"/>
      <c r="FC722" s="1697"/>
      <c r="FD722" s="1697"/>
      <c r="FE722" s="1697"/>
      <c r="FF722" s="1697"/>
      <c r="FG722" s="1697"/>
      <c r="FH722" s="1697"/>
      <c r="FI722" s="1697"/>
    </row>
    <row r="723" spans="1:165">
      <c r="A723" s="1697"/>
      <c r="B723" s="1697"/>
      <c r="C723" s="1697"/>
      <c r="D723" s="1697"/>
      <c r="E723" s="1697"/>
      <c r="F723" s="1697"/>
      <c r="G723" s="1697"/>
      <c r="H723" s="1697"/>
      <c r="I723" s="1697"/>
      <c r="J723" s="1697"/>
      <c r="K723" s="1697"/>
      <c r="L723" s="1697"/>
      <c r="M723" s="1697"/>
      <c r="N723" s="1697"/>
      <c r="O723" s="1697"/>
      <c r="P723" s="1697"/>
      <c r="Q723" s="1697"/>
      <c r="R723" s="1697"/>
      <c r="S723" s="1697"/>
      <c r="T723" s="1697"/>
      <c r="U723" s="1697"/>
      <c r="V723" s="1697"/>
      <c r="W723" s="1697"/>
      <c r="X723" s="1697"/>
      <c r="Y723" s="1697"/>
      <c r="Z723" s="1697"/>
      <c r="AA723" s="1697"/>
      <c r="AB723" s="1697"/>
      <c r="AC723" s="1697"/>
      <c r="AD723" s="1697"/>
      <c r="AE723" s="1697"/>
      <c r="AF723" s="1697"/>
      <c r="AG723" s="1697"/>
      <c r="AH723" s="1697"/>
      <c r="AI723" s="1697"/>
      <c r="AJ723" s="1697"/>
      <c r="AK723" s="1697"/>
      <c r="AL723" s="1697"/>
      <c r="AM723" s="1697"/>
      <c r="AN723" s="1697"/>
      <c r="AO723" s="1697"/>
      <c r="AP723" s="1697"/>
      <c r="AQ723" s="1697"/>
      <c r="AR723" s="1697"/>
      <c r="AS723" s="1697"/>
      <c r="AT723" s="1697"/>
      <c r="AU723" s="1697"/>
      <c r="AV723" s="1697"/>
      <c r="AW723" s="1697"/>
      <c r="AX723" s="1697"/>
      <c r="AY723" s="1697"/>
      <c r="AZ723" s="1697"/>
      <c r="BA723" s="1697"/>
      <c r="BB723" s="1697"/>
      <c r="BC723" s="1697"/>
      <c r="BD723" s="1697"/>
      <c r="BE723" s="1697"/>
      <c r="BF723" s="1697"/>
      <c r="BG723" s="1697"/>
      <c r="BH723" s="1697"/>
      <c r="BI723" s="1697"/>
      <c r="BJ723" s="1697"/>
      <c r="BK723" s="1697"/>
      <c r="BL723" s="1697"/>
      <c r="BM723" s="1697"/>
      <c r="BN723" s="1697"/>
      <c r="BO723" s="1697"/>
      <c r="BP723" s="1697"/>
      <c r="BQ723" s="1697"/>
      <c r="BR723" s="1697"/>
      <c r="BS723" s="1697"/>
      <c r="BT723" s="1697"/>
      <c r="BU723" s="1697"/>
      <c r="BV723" s="1697"/>
      <c r="BW723" s="1697"/>
      <c r="BX723" s="1697"/>
      <c r="BY723" s="1697"/>
      <c r="BZ723" s="1697"/>
      <c r="CA723" s="1697"/>
      <c r="CB723" s="1697"/>
      <c r="CC723" s="1697"/>
      <c r="CD723" s="1697"/>
      <c r="CE723" s="1697"/>
      <c r="CF723" s="1697"/>
      <c r="CG723" s="1697"/>
      <c r="CH723" s="1697"/>
      <c r="CI723" s="1697"/>
      <c r="CJ723" s="1697"/>
      <c r="CK723" s="1697"/>
      <c r="CL723" s="1697"/>
      <c r="CM723" s="1697"/>
      <c r="CN723" s="1697"/>
      <c r="CO723" s="1697"/>
      <c r="CP723" s="1697"/>
      <c r="CQ723" s="1697"/>
      <c r="CR723" s="1697"/>
      <c r="CS723" s="1697"/>
      <c r="CT723" s="1697"/>
      <c r="CU723" s="1697"/>
      <c r="CV723" s="1697"/>
      <c r="CW723" s="1697"/>
      <c r="CX723" s="1697"/>
      <c r="CY723" s="1697"/>
      <c r="CZ723" s="1697"/>
      <c r="DA723" s="1697"/>
      <c r="DB723" s="1697"/>
      <c r="DC723" s="1697"/>
      <c r="DD723" s="1697"/>
      <c r="DE723" s="1697"/>
      <c r="DF723" s="1697"/>
      <c r="DG723" s="1697"/>
      <c r="DH723" s="1697"/>
      <c r="DI723" s="1697"/>
      <c r="DJ723" s="1697"/>
      <c r="DK723" s="1697"/>
      <c r="DL723" s="1697"/>
      <c r="DM723" s="1697"/>
      <c r="DN723" s="1697"/>
      <c r="DO723" s="1697"/>
      <c r="DP723" s="1697"/>
      <c r="DQ723" s="1697"/>
      <c r="DR723" s="1697"/>
      <c r="DS723" s="1697"/>
      <c r="DT723" s="1697"/>
      <c r="DU723" s="1697"/>
      <c r="DV723" s="1697"/>
      <c r="DW723" s="1697"/>
      <c r="DX723" s="1697"/>
      <c r="DY723" s="1697"/>
      <c r="DZ723" s="1697"/>
      <c r="EA723" s="1697"/>
      <c r="EB723" s="1697"/>
      <c r="EC723" s="1697"/>
      <c r="ED723" s="1697"/>
      <c r="EE723" s="1697"/>
      <c r="EF723" s="1697"/>
      <c r="EG723" s="1697"/>
      <c r="EH723" s="1697"/>
      <c r="EI723" s="1697"/>
      <c r="EJ723" s="1697"/>
      <c r="EK723" s="1697"/>
      <c r="EL723" s="1697"/>
      <c r="EM723" s="1697"/>
      <c r="EN723" s="1697"/>
      <c r="EO723" s="1697"/>
      <c r="EP723" s="1697"/>
      <c r="EQ723" s="1697"/>
      <c r="ER723" s="1697"/>
      <c r="ES723" s="1697"/>
      <c r="ET723" s="1697"/>
      <c r="EU723" s="1697"/>
      <c r="EV723" s="1697"/>
      <c r="EW723" s="1697"/>
      <c r="EX723" s="1697"/>
      <c r="EY723" s="1697"/>
      <c r="EZ723" s="1697"/>
      <c r="FA723" s="1697"/>
      <c r="FB723" s="1697"/>
      <c r="FC723" s="1697"/>
      <c r="FD723" s="1697"/>
      <c r="FE723" s="1697"/>
      <c r="FF723" s="1697"/>
      <c r="FG723" s="1697"/>
      <c r="FH723" s="1697"/>
      <c r="FI723" s="1697"/>
    </row>
    <row r="724" spans="1:165">
      <c r="A724" s="1697"/>
      <c r="B724" s="1697"/>
      <c r="C724" s="1697"/>
      <c r="D724" s="1697"/>
      <c r="E724" s="1697"/>
      <c r="F724" s="1697"/>
      <c r="G724" s="1697"/>
      <c r="H724" s="1697"/>
      <c r="I724" s="1697"/>
      <c r="J724" s="1697"/>
      <c r="K724" s="1697"/>
      <c r="L724" s="1697"/>
      <c r="M724" s="1697"/>
      <c r="N724" s="1697"/>
      <c r="O724" s="1697"/>
      <c r="P724" s="1697"/>
      <c r="Q724" s="1697"/>
      <c r="R724" s="1697"/>
      <c r="S724" s="1697"/>
      <c r="T724" s="1697"/>
      <c r="U724" s="1697"/>
      <c r="V724" s="1697"/>
      <c r="W724" s="1697"/>
      <c r="X724" s="1697"/>
      <c r="Y724" s="1697"/>
      <c r="Z724" s="1697"/>
      <c r="AA724" s="1697"/>
      <c r="AB724" s="1697"/>
      <c r="AC724" s="1697"/>
      <c r="AD724" s="1697"/>
      <c r="AE724" s="1697"/>
      <c r="AF724" s="1697"/>
      <c r="AG724" s="1697"/>
      <c r="AH724" s="1697"/>
      <c r="AI724" s="1697"/>
      <c r="AJ724" s="1697"/>
      <c r="AK724" s="1697"/>
      <c r="AL724" s="1697"/>
      <c r="AM724" s="1697"/>
      <c r="AN724" s="1697"/>
      <c r="AO724" s="1697"/>
      <c r="AP724" s="1697"/>
      <c r="AQ724" s="1697"/>
      <c r="AR724" s="1697"/>
      <c r="AS724" s="1697"/>
      <c r="AT724" s="1697"/>
      <c r="AU724" s="1697"/>
      <c r="AV724" s="1697"/>
      <c r="AW724" s="1697"/>
      <c r="AX724" s="1697"/>
      <c r="AY724" s="1697"/>
      <c r="AZ724" s="1697"/>
      <c r="BA724" s="1697"/>
      <c r="BB724" s="1697"/>
      <c r="BC724" s="1697"/>
      <c r="BD724" s="1697"/>
      <c r="BE724" s="1697"/>
      <c r="BF724" s="1697"/>
      <c r="BG724" s="1697"/>
      <c r="BH724" s="1697"/>
      <c r="BI724" s="1697"/>
      <c r="BJ724" s="1697"/>
      <c r="BK724" s="1697"/>
      <c r="BL724" s="1697"/>
      <c r="BM724" s="1697"/>
      <c r="BN724" s="1697"/>
      <c r="BO724" s="1697"/>
      <c r="BP724" s="1697"/>
      <c r="BQ724" s="1697"/>
      <c r="BR724" s="1697"/>
      <c r="BS724" s="1697"/>
      <c r="BT724" s="1697"/>
      <c r="BU724" s="1697"/>
      <c r="BV724" s="1697"/>
      <c r="BW724" s="1697"/>
      <c r="BX724" s="1697"/>
      <c r="BY724" s="1697"/>
      <c r="BZ724" s="1697"/>
      <c r="CA724" s="1697"/>
      <c r="CB724" s="1697"/>
      <c r="CC724" s="1697"/>
      <c r="CD724" s="1697"/>
      <c r="CE724" s="1697"/>
      <c r="CF724" s="1697"/>
      <c r="CG724" s="1697"/>
      <c r="CH724" s="1697"/>
      <c r="CI724" s="1697"/>
      <c r="CJ724" s="1697"/>
      <c r="CK724" s="1697"/>
      <c r="CL724" s="1697"/>
      <c r="CM724" s="1697"/>
      <c r="CN724" s="1697"/>
      <c r="CO724" s="1697"/>
      <c r="CP724" s="1697"/>
      <c r="CQ724" s="1697"/>
      <c r="CR724" s="1697"/>
      <c r="CS724" s="1697"/>
      <c r="CT724" s="1697"/>
      <c r="CU724" s="1697"/>
      <c r="CV724" s="1697"/>
      <c r="CW724" s="1697"/>
      <c r="CX724" s="1697"/>
      <c r="CY724" s="1697"/>
      <c r="CZ724" s="1697"/>
      <c r="DA724" s="1697"/>
      <c r="DB724" s="1697"/>
      <c r="DC724" s="1697"/>
      <c r="DD724" s="1697"/>
      <c r="DE724" s="1697"/>
      <c r="DF724" s="1697"/>
      <c r="DG724" s="1697"/>
      <c r="DH724" s="1697"/>
      <c r="DI724" s="1697"/>
      <c r="DJ724" s="1697"/>
      <c r="DK724" s="1697"/>
      <c r="DL724" s="1697"/>
      <c r="DM724" s="1697"/>
      <c r="DN724" s="1697"/>
      <c r="DO724" s="1697"/>
      <c r="DP724" s="1697"/>
      <c r="DQ724" s="1697"/>
      <c r="DR724" s="1697"/>
      <c r="DS724" s="1697"/>
      <c r="DT724" s="1697"/>
      <c r="DU724" s="1697"/>
      <c r="DV724" s="1697"/>
      <c r="DW724" s="1697"/>
      <c r="DX724" s="1697"/>
      <c r="DY724" s="1697"/>
      <c r="DZ724" s="1697"/>
      <c r="EA724" s="1697"/>
      <c r="EB724" s="1697"/>
      <c r="EC724" s="1697"/>
      <c r="ED724" s="1697"/>
      <c r="EE724" s="1697"/>
      <c r="EF724" s="1697"/>
      <c r="EG724" s="1697"/>
      <c r="EH724" s="1697"/>
      <c r="EI724" s="1697"/>
      <c r="EJ724" s="1697"/>
      <c r="EK724" s="1697"/>
      <c r="EL724" s="1697"/>
      <c r="EM724" s="1697"/>
      <c r="EN724" s="1697"/>
      <c r="EO724" s="1697"/>
      <c r="EP724" s="1697"/>
      <c r="EQ724" s="1697"/>
      <c r="ER724" s="1697"/>
      <c r="ES724" s="1697"/>
      <c r="ET724" s="1697"/>
      <c r="EU724" s="1697"/>
      <c r="EV724" s="1697"/>
      <c r="EW724" s="1697"/>
      <c r="EX724" s="1697"/>
      <c r="EY724" s="1697"/>
      <c r="EZ724" s="1697"/>
      <c r="FA724" s="1697"/>
      <c r="FB724" s="1697"/>
      <c r="FC724" s="1697"/>
      <c r="FD724" s="1697"/>
      <c r="FE724" s="1697"/>
      <c r="FF724" s="1697"/>
      <c r="FG724" s="1697"/>
      <c r="FH724" s="1697"/>
      <c r="FI724" s="1697"/>
    </row>
    <row r="725" spans="1:165">
      <c r="A725" s="1697"/>
      <c r="B725" s="1697"/>
      <c r="C725" s="1697"/>
      <c r="D725" s="1697"/>
      <c r="E725" s="1697"/>
      <c r="F725" s="1697"/>
      <c r="G725" s="1697"/>
      <c r="H725" s="1697"/>
      <c r="I725" s="1697"/>
      <c r="J725" s="1697"/>
      <c r="K725" s="1697"/>
      <c r="L725" s="1697"/>
      <c r="M725" s="1697"/>
      <c r="N725" s="1697"/>
      <c r="O725" s="1697"/>
      <c r="P725" s="1697"/>
      <c r="Q725" s="1697"/>
      <c r="R725" s="1697"/>
      <c r="S725" s="1697"/>
      <c r="T725" s="1697"/>
      <c r="U725" s="1697"/>
      <c r="V725" s="1697"/>
      <c r="W725" s="1697"/>
      <c r="X725" s="1697"/>
      <c r="Y725" s="1697"/>
      <c r="Z725" s="1697"/>
      <c r="AA725" s="1697"/>
      <c r="AB725" s="1697"/>
      <c r="AC725" s="1697"/>
      <c r="AD725" s="1697"/>
      <c r="AE725" s="1697"/>
      <c r="AF725" s="1697"/>
      <c r="AG725" s="1697"/>
      <c r="AH725" s="1697"/>
      <c r="AI725" s="1697"/>
      <c r="AJ725" s="1697"/>
      <c r="AK725" s="1697"/>
      <c r="AL725" s="1697"/>
      <c r="AM725" s="1697"/>
      <c r="AN725" s="1697"/>
      <c r="AO725" s="1697"/>
      <c r="AP725" s="1697"/>
      <c r="AQ725" s="1697"/>
      <c r="AR725" s="1697"/>
      <c r="AS725" s="1697"/>
      <c r="AT725" s="1697"/>
      <c r="AU725" s="1697"/>
      <c r="AV725" s="1697"/>
      <c r="AW725" s="1697"/>
      <c r="AX725" s="1697"/>
      <c r="AY725" s="1697"/>
      <c r="AZ725" s="1697"/>
      <c r="BA725" s="1697"/>
      <c r="BB725" s="1697"/>
      <c r="BC725" s="1697"/>
      <c r="BD725" s="1697"/>
      <c r="BE725" s="1697"/>
      <c r="BF725" s="1697"/>
      <c r="BG725" s="1697"/>
      <c r="BH725" s="1697"/>
      <c r="BI725" s="1697"/>
      <c r="BJ725" s="1697"/>
      <c r="BK725" s="1697"/>
      <c r="BL725" s="1697"/>
      <c r="BM725" s="1697"/>
      <c r="BN725" s="1697"/>
      <c r="BO725" s="1697"/>
      <c r="BP725" s="1697"/>
      <c r="BQ725" s="1697"/>
      <c r="BR725" s="1697"/>
      <c r="BS725" s="1697"/>
      <c r="BT725" s="1697"/>
      <c r="BU725" s="1697"/>
      <c r="BV725" s="1697"/>
      <c r="BW725" s="1697"/>
      <c r="BX725" s="1697"/>
      <c r="BY725" s="1697"/>
      <c r="BZ725" s="1697"/>
      <c r="CA725" s="1697"/>
      <c r="CB725" s="1697"/>
      <c r="CC725" s="1697"/>
      <c r="CD725" s="1697"/>
      <c r="CE725" s="1697"/>
      <c r="CF725" s="1697"/>
      <c r="CG725" s="1697"/>
      <c r="CH725" s="1697"/>
      <c r="CI725" s="1697"/>
      <c r="CJ725" s="1697"/>
      <c r="CK725" s="1697"/>
      <c r="CL725" s="1697"/>
      <c r="CM725" s="1697"/>
      <c r="CN725" s="1697"/>
      <c r="CO725" s="1697"/>
      <c r="CP725" s="1697"/>
      <c r="CQ725" s="1697"/>
      <c r="CR725" s="1697"/>
      <c r="CS725" s="1697"/>
      <c r="CT725" s="1697"/>
      <c r="CU725" s="1697"/>
      <c r="CV725" s="1697"/>
      <c r="CW725" s="1697"/>
      <c r="CX725" s="1697"/>
      <c r="CY725" s="1697"/>
      <c r="CZ725" s="1697"/>
      <c r="DA725" s="1697"/>
      <c r="DB725" s="1697"/>
      <c r="DC725" s="1697"/>
      <c r="DD725" s="1697"/>
      <c r="DE725" s="1697"/>
      <c r="DF725" s="1697"/>
      <c r="DG725" s="1697"/>
      <c r="DH725" s="1697"/>
      <c r="DI725" s="1697"/>
      <c r="DJ725" s="1697"/>
      <c r="DK725" s="1697"/>
      <c r="DL725" s="1697"/>
      <c r="DM725" s="1697"/>
      <c r="DN725" s="1697"/>
      <c r="DO725" s="1697"/>
      <c r="DP725" s="1697"/>
      <c r="DQ725" s="1697"/>
      <c r="DR725" s="1697"/>
      <c r="DS725" s="1697"/>
      <c r="DT725" s="1697"/>
      <c r="DU725" s="1697"/>
      <c r="DV725" s="1697"/>
      <c r="DW725" s="1697"/>
      <c r="DX725" s="1697"/>
      <c r="DY725" s="1697"/>
      <c r="DZ725" s="1697"/>
      <c r="EA725" s="1697"/>
      <c r="EB725" s="1697"/>
      <c r="EC725" s="1697"/>
      <c r="ED725" s="1697"/>
      <c r="EE725" s="1697"/>
      <c r="EF725" s="1697"/>
      <c r="EG725" s="1697"/>
      <c r="EH725" s="1697"/>
      <c r="EI725" s="1697"/>
      <c r="EJ725" s="1697"/>
      <c r="EK725" s="1697"/>
      <c r="EL725" s="1697"/>
      <c r="EM725" s="1697"/>
      <c r="EN725" s="1697"/>
      <c r="EO725" s="1697"/>
      <c r="EP725" s="1697"/>
      <c r="EQ725" s="1697"/>
      <c r="ER725" s="1697"/>
      <c r="ES725" s="1697"/>
      <c r="ET725" s="1697"/>
      <c r="EU725" s="1697"/>
      <c r="EV725" s="1697"/>
      <c r="EW725" s="1697"/>
      <c r="EX725" s="1697"/>
      <c r="EY725" s="1697"/>
      <c r="EZ725" s="1697"/>
      <c r="FA725" s="1697"/>
      <c r="FB725" s="1697"/>
      <c r="FC725" s="1697"/>
      <c r="FD725" s="1697"/>
      <c r="FE725" s="1697"/>
      <c r="FF725" s="1697"/>
      <c r="FG725" s="1697"/>
      <c r="FH725" s="1697"/>
      <c r="FI725" s="1697"/>
    </row>
    <row r="726" spans="1:165">
      <c r="A726" s="1697"/>
      <c r="B726" s="1697"/>
      <c r="C726" s="1697"/>
      <c r="D726" s="1697"/>
      <c r="E726" s="1697"/>
      <c r="F726" s="1697"/>
      <c r="G726" s="1697"/>
      <c r="H726" s="1697"/>
      <c r="I726" s="1697"/>
      <c r="J726" s="1697"/>
      <c r="K726" s="1697"/>
      <c r="L726" s="1697"/>
      <c r="M726" s="1697"/>
      <c r="N726" s="1697"/>
      <c r="O726" s="1697"/>
      <c r="P726" s="1697"/>
      <c r="Q726" s="1697"/>
      <c r="R726" s="1697"/>
      <c r="S726" s="1697"/>
      <c r="T726" s="1697"/>
      <c r="U726" s="1697"/>
      <c r="V726" s="1697"/>
      <c r="W726" s="1697"/>
      <c r="X726" s="1697"/>
      <c r="Y726" s="1697"/>
      <c r="Z726" s="1697"/>
      <c r="AA726" s="1697"/>
      <c r="AB726" s="1697"/>
      <c r="AC726" s="1697"/>
      <c r="AD726" s="1697"/>
      <c r="AE726" s="1697"/>
      <c r="AF726" s="1697"/>
      <c r="AG726" s="1697"/>
      <c r="AH726" s="1697"/>
      <c r="AI726" s="1697"/>
      <c r="AJ726" s="1697"/>
      <c r="AK726" s="1697"/>
      <c r="AL726" s="1697"/>
      <c r="AM726" s="1697"/>
      <c r="AN726" s="1697"/>
      <c r="AO726" s="1697"/>
      <c r="AP726" s="1697"/>
      <c r="AQ726" s="1697"/>
      <c r="AR726" s="1697"/>
      <c r="AS726" s="1697"/>
      <c r="AT726" s="1697"/>
      <c r="AU726" s="1697"/>
      <c r="AV726" s="1697"/>
      <c r="AW726" s="1697"/>
      <c r="AX726" s="1697"/>
      <c r="AY726" s="1697"/>
      <c r="AZ726" s="1697"/>
      <c r="BA726" s="1697"/>
      <c r="BB726" s="1697"/>
      <c r="BC726" s="1697"/>
      <c r="BD726" s="1697"/>
      <c r="BE726" s="1697"/>
      <c r="BF726" s="1697"/>
      <c r="BG726" s="1697"/>
      <c r="BH726" s="1697"/>
      <c r="BI726" s="1697"/>
      <c r="BJ726" s="1697"/>
      <c r="BK726" s="1697"/>
      <c r="BL726" s="1697"/>
      <c r="BM726" s="1697"/>
      <c r="BN726" s="1697"/>
      <c r="BO726" s="1697"/>
      <c r="BP726" s="1697"/>
      <c r="BQ726" s="1697"/>
      <c r="BR726" s="1697"/>
      <c r="BS726" s="1697"/>
      <c r="BT726" s="1697"/>
      <c r="BU726" s="1697"/>
      <c r="BV726" s="1697"/>
      <c r="BW726" s="1697"/>
      <c r="BX726" s="1697"/>
      <c r="BY726" s="1697"/>
      <c r="BZ726" s="1697"/>
      <c r="CA726" s="1697"/>
      <c r="CB726" s="1697"/>
      <c r="CC726" s="1697"/>
      <c r="CD726" s="1697"/>
      <c r="CE726" s="1697"/>
      <c r="CF726" s="1697"/>
      <c r="CG726" s="1697"/>
      <c r="CH726" s="1697"/>
      <c r="CI726" s="1697"/>
      <c r="CJ726" s="1697"/>
      <c r="CK726" s="1697"/>
      <c r="CL726" s="1697"/>
      <c r="CM726" s="1697"/>
      <c r="CN726" s="1697"/>
      <c r="CO726" s="1697"/>
      <c r="CP726" s="1697"/>
      <c r="CQ726" s="1697"/>
      <c r="CR726" s="1697"/>
      <c r="CS726" s="1697"/>
      <c r="CT726" s="1697"/>
      <c r="CU726" s="1697"/>
      <c r="CV726" s="1697"/>
      <c r="CW726" s="1697"/>
      <c r="CX726" s="1697"/>
      <c r="CY726" s="1697"/>
      <c r="CZ726" s="1697"/>
      <c r="DA726" s="1697"/>
      <c r="DB726" s="1697"/>
      <c r="DC726" s="1697"/>
      <c r="DD726" s="1697"/>
      <c r="DE726" s="1697"/>
      <c r="DF726" s="1697"/>
      <c r="DG726" s="1697"/>
      <c r="DH726" s="1697"/>
      <c r="DI726" s="1697"/>
      <c r="DJ726" s="1697"/>
      <c r="DK726" s="1697"/>
      <c r="DL726" s="1697"/>
      <c r="DM726" s="1697"/>
      <c r="DN726" s="1697"/>
      <c r="DO726" s="1697"/>
      <c r="DP726" s="1697"/>
      <c r="DQ726" s="1697"/>
      <c r="DR726" s="1697"/>
      <c r="DS726" s="1697"/>
      <c r="DT726" s="1697"/>
      <c r="DU726" s="1697"/>
      <c r="DV726" s="1697"/>
      <c r="DW726" s="1697"/>
      <c r="DX726" s="1697"/>
      <c r="DY726" s="1697"/>
      <c r="DZ726" s="1697"/>
      <c r="EA726" s="1697"/>
      <c r="EB726" s="1697"/>
      <c r="EC726" s="1697"/>
      <c r="ED726" s="1697"/>
      <c r="EE726" s="1697"/>
      <c r="EF726" s="1697"/>
      <c r="EG726" s="1697"/>
      <c r="EH726" s="1697"/>
      <c r="EI726" s="1697"/>
      <c r="EJ726" s="1697"/>
      <c r="EK726" s="1697"/>
      <c r="EL726" s="1697"/>
      <c r="EM726" s="1697"/>
      <c r="EN726" s="1697"/>
      <c r="EO726" s="1697"/>
      <c r="EP726" s="1697"/>
      <c r="EQ726" s="1697"/>
      <c r="ER726" s="1697"/>
      <c r="ES726" s="1697"/>
      <c r="ET726" s="1697"/>
      <c r="EU726" s="1697"/>
      <c r="EV726" s="1697"/>
      <c r="EW726" s="1697"/>
      <c r="EX726" s="1697"/>
      <c r="EY726" s="1697"/>
      <c r="EZ726" s="1697"/>
      <c r="FA726" s="1697"/>
      <c r="FB726" s="1697"/>
      <c r="FC726" s="1697"/>
      <c r="FD726" s="1697"/>
      <c r="FE726" s="1697"/>
      <c r="FF726" s="1697"/>
      <c r="FG726" s="1697"/>
      <c r="FH726" s="1697"/>
      <c r="FI726" s="1697"/>
    </row>
    <row r="727" spans="1:165">
      <c r="A727" s="1697"/>
      <c r="B727" s="1697"/>
      <c r="C727" s="1697"/>
      <c r="D727" s="1697"/>
      <c r="E727" s="1697"/>
      <c r="F727" s="1697"/>
      <c r="G727" s="1697"/>
      <c r="H727" s="1697"/>
      <c r="I727" s="1697"/>
      <c r="J727" s="1697"/>
      <c r="K727" s="1697"/>
      <c r="L727" s="1697"/>
      <c r="M727" s="1697"/>
      <c r="N727" s="1697"/>
      <c r="O727" s="1697"/>
      <c r="P727" s="1697"/>
      <c r="Q727" s="1697"/>
      <c r="R727" s="1697"/>
      <c r="S727" s="1697"/>
      <c r="T727" s="1697"/>
      <c r="U727" s="1697"/>
      <c r="V727" s="1697"/>
      <c r="W727" s="1697"/>
      <c r="X727" s="1697"/>
      <c r="Y727" s="1697"/>
      <c r="Z727" s="1697"/>
      <c r="AA727" s="1697"/>
      <c r="AB727" s="1697"/>
      <c r="AC727" s="1697"/>
      <c r="AD727" s="1697"/>
      <c r="AE727" s="1697"/>
      <c r="AF727" s="1697"/>
      <c r="AG727" s="1697"/>
      <c r="AH727" s="1697"/>
      <c r="AI727" s="1697"/>
      <c r="AJ727" s="1697"/>
      <c r="AK727" s="1697"/>
      <c r="AL727" s="1697"/>
      <c r="AM727" s="1697"/>
      <c r="AN727" s="1697"/>
      <c r="AO727" s="1697"/>
      <c r="AP727" s="1697"/>
      <c r="AQ727" s="1697"/>
      <c r="AR727" s="1697"/>
      <c r="AS727" s="1697"/>
      <c r="AT727" s="1697"/>
      <c r="AU727" s="1697"/>
      <c r="AV727" s="1697"/>
      <c r="AW727" s="1697"/>
      <c r="AX727" s="1697"/>
      <c r="AY727" s="1697"/>
      <c r="AZ727" s="1697"/>
      <c r="BA727" s="1697"/>
      <c r="BB727" s="1697"/>
      <c r="BC727" s="1697"/>
      <c r="BD727" s="1697"/>
      <c r="BE727" s="1697"/>
      <c r="BF727" s="1697"/>
      <c r="BG727" s="1697"/>
      <c r="BH727" s="1697"/>
      <c r="BI727" s="1697"/>
      <c r="BJ727" s="1697"/>
      <c r="BK727" s="1697"/>
      <c r="BL727" s="1697"/>
      <c r="BM727" s="1697"/>
      <c r="BN727" s="1697"/>
      <c r="BO727" s="1697"/>
      <c r="BP727" s="1697"/>
      <c r="BQ727" s="1697"/>
      <c r="BR727" s="1697"/>
      <c r="BS727" s="1697"/>
      <c r="BT727" s="1697"/>
      <c r="BU727" s="1697"/>
      <c r="BV727" s="1697"/>
      <c r="BW727" s="1697"/>
      <c r="BX727" s="1697"/>
      <c r="BY727" s="1697"/>
      <c r="BZ727" s="1697"/>
      <c r="CA727" s="1697"/>
      <c r="CB727" s="1697"/>
      <c r="CC727" s="1697"/>
      <c r="CD727" s="1697"/>
      <c r="CE727" s="1697"/>
      <c r="CF727" s="1697"/>
      <c r="CG727" s="1697"/>
      <c r="CH727" s="1697"/>
      <c r="CI727" s="1697"/>
      <c r="CJ727" s="1697"/>
      <c r="CK727" s="1697"/>
      <c r="CL727" s="1697"/>
      <c r="CM727" s="1697"/>
      <c r="CN727" s="1697"/>
      <c r="CO727" s="1697"/>
      <c r="CP727" s="1697"/>
      <c r="CQ727" s="1697"/>
      <c r="CR727" s="1697"/>
      <c r="CS727" s="1697"/>
      <c r="CT727" s="1697"/>
      <c r="CU727" s="1697"/>
      <c r="CV727" s="1697"/>
      <c r="CW727" s="1697"/>
      <c r="CX727" s="1697"/>
      <c r="CY727" s="1697"/>
      <c r="CZ727" s="1697"/>
      <c r="DA727" s="1697"/>
      <c r="DB727" s="1697"/>
      <c r="DC727" s="1697"/>
      <c r="DD727" s="1697"/>
      <c r="DE727" s="1697"/>
      <c r="DF727" s="1697"/>
      <c r="DG727" s="1697"/>
      <c r="DH727" s="1697"/>
      <c r="DI727" s="1697"/>
      <c r="DJ727" s="1697"/>
      <c r="DK727" s="1697"/>
      <c r="DL727" s="1697"/>
      <c r="DM727" s="1697"/>
      <c r="DN727" s="1697"/>
      <c r="DO727" s="1697"/>
      <c r="DP727" s="1697"/>
      <c r="DQ727" s="1697"/>
      <c r="DR727" s="1697"/>
      <c r="DS727" s="1697"/>
      <c r="DT727" s="1697"/>
      <c r="DU727" s="1697"/>
      <c r="DV727" s="1697"/>
      <c r="DW727" s="1697"/>
      <c r="DX727" s="1697"/>
      <c r="DY727" s="1697"/>
      <c r="DZ727" s="1697"/>
      <c r="EA727" s="1697"/>
      <c r="EB727" s="1697"/>
      <c r="EC727" s="1697"/>
      <c r="ED727" s="1697"/>
      <c r="EE727" s="1697"/>
      <c r="EF727" s="1697"/>
      <c r="EG727" s="1697"/>
      <c r="EH727" s="1697"/>
      <c r="EI727" s="1697"/>
      <c r="EJ727" s="1697"/>
      <c r="EK727" s="1697"/>
      <c r="EL727" s="1697"/>
      <c r="EM727" s="1697"/>
      <c r="EN727" s="1697"/>
      <c r="EO727" s="1697"/>
      <c r="EP727" s="1697"/>
      <c r="EQ727" s="1697"/>
      <c r="ER727" s="1697"/>
      <c r="ES727" s="1697"/>
      <c r="ET727" s="1697"/>
      <c r="EU727" s="1697"/>
      <c r="EV727" s="1697"/>
      <c r="EW727" s="1697"/>
      <c r="EX727" s="1697"/>
      <c r="EY727" s="1697"/>
      <c r="EZ727" s="1697"/>
      <c r="FA727" s="1697"/>
      <c r="FB727" s="1697"/>
      <c r="FC727" s="1697"/>
      <c r="FD727" s="1697"/>
      <c r="FE727" s="1697"/>
      <c r="FF727" s="1697"/>
      <c r="FG727" s="1697"/>
      <c r="FH727" s="1697"/>
      <c r="FI727" s="1697"/>
    </row>
    <row r="728" spans="1:165">
      <c r="A728" s="1697"/>
      <c r="B728" s="1697"/>
      <c r="C728" s="1697"/>
      <c r="D728" s="1697"/>
      <c r="E728" s="1697"/>
      <c r="F728" s="1697"/>
      <c r="G728" s="1697"/>
      <c r="H728" s="1697"/>
      <c r="I728" s="1697"/>
      <c r="J728" s="1697"/>
      <c r="K728" s="1697"/>
      <c r="L728" s="1697"/>
      <c r="M728" s="1697"/>
      <c r="N728" s="1697"/>
      <c r="O728" s="1697"/>
      <c r="P728" s="1697"/>
      <c r="Q728" s="1697"/>
      <c r="R728" s="1697"/>
      <c r="S728" s="1697"/>
      <c r="T728" s="1697"/>
      <c r="U728" s="1697"/>
      <c r="V728" s="1697"/>
      <c r="W728" s="1697"/>
      <c r="X728" s="1697"/>
      <c r="Y728" s="1697"/>
      <c r="Z728" s="1697"/>
      <c r="AA728" s="1697"/>
      <c r="AB728" s="1697"/>
      <c r="AC728" s="1697"/>
      <c r="AD728" s="1697"/>
      <c r="AE728" s="1697"/>
      <c r="AF728" s="1697"/>
      <c r="AG728" s="1697"/>
      <c r="AH728" s="1697"/>
      <c r="AI728" s="1697"/>
      <c r="AJ728" s="1697"/>
      <c r="AK728" s="1697"/>
      <c r="AL728" s="1697"/>
      <c r="AM728" s="1697"/>
      <c r="AN728" s="1697"/>
      <c r="AO728" s="1697"/>
      <c r="AP728" s="1697"/>
      <c r="AQ728" s="1697"/>
      <c r="AR728" s="1697"/>
      <c r="AS728" s="1697"/>
      <c r="AT728" s="1697"/>
      <c r="AU728" s="1697"/>
      <c r="AV728" s="1697"/>
      <c r="AW728" s="1697"/>
      <c r="AX728" s="1697"/>
      <c r="AY728" s="1697"/>
      <c r="AZ728" s="1697"/>
      <c r="BA728" s="1697"/>
      <c r="BB728" s="1697"/>
      <c r="BC728" s="1697"/>
      <c r="BD728" s="1697"/>
      <c r="BE728" s="1697"/>
      <c r="BF728" s="1697"/>
      <c r="BG728" s="1697"/>
      <c r="BH728" s="1697"/>
      <c r="BI728" s="1697"/>
      <c r="BJ728" s="1697"/>
      <c r="BK728" s="1697"/>
      <c r="BL728" s="1697"/>
      <c r="BM728" s="1697"/>
      <c r="BN728" s="1697"/>
      <c r="BO728" s="1697"/>
      <c r="BP728" s="1697"/>
      <c r="BQ728" s="1697"/>
      <c r="BR728" s="1697"/>
      <c r="BS728" s="1697"/>
      <c r="BT728" s="1697"/>
      <c r="BU728" s="1697"/>
      <c r="BV728" s="1697"/>
      <c r="BW728" s="1697"/>
      <c r="BX728" s="1697"/>
      <c r="BY728" s="1697"/>
      <c r="BZ728" s="1697"/>
      <c r="CA728" s="1697"/>
      <c r="CB728" s="1697"/>
      <c r="CC728" s="1697"/>
      <c r="CD728" s="1697"/>
      <c r="CE728" s="1697"/>
      <c r="CF728" s="1697"/>
      <c r="CG728" s="1697"/>
      <c r="CH728" s="1697"/>
      <c r="CI728" s="1697"/>
      <c r="CJ728" s="1697"/>
      <c r="CK728" s="1697"/>
      <c r="CL728" s="1697"/>
      <c r="CM728" s="1697"/>
      <c r="CN728" s="1697"/>
      <c r="CO728" s="1697"/>
      <c r="CP728" s="1697"/>
      <c r="CQ728" s="1697"/>
      <c r="CR728" s="1697"/>
      <c r="CS728" s="1697"/>
      <c r="CT728" s="1697"/>
      <c r="CU728" s="1697"/>
      <c r="CV728" s="1697"/>
      <c r="CW728" s="1697"/>
      <c r="CX728" s="1697"/>
      <c r="CY728" s="1697"/>
      <c r="CZ728" s="1697"/>
      <c r="DA728" s="1697"/>
      <c r="DB728" s="1697"/>
      <c r="DC728" s="1697"/>
      <c r="DD728" s="1697"/>
      <c r="DE728" s="1697"/>
      <c r="DF728" s="1697"/>
      <c r="DG728" s="1697"/>
      <c r="DH728" s="1697"/>
      <c r="DI728" s="1697"/>
      <c r="DJ728" s="1697"/>
      <c r="DK728" s="1697"/>
      <c r="DL728" s="1697"/>
      <c r="DM728" s="1697"/>
      <c r="DN728" s="1697"/>
      <c r="DO728" s="1697"/>
      <c r="DP728" s="1697"/>
      <c r="DQ728" s="1697"/>
      <c r="DR728" s="1697"/>
      <c r="DS728" s="1697"/>
      <c r="DT728" s="1697"/>
      <c r="DU728" s="1697"/>
      <c r="DV728" s="1697"/>
      <c r="DW728" s="1697"/>
      <c r="DX728" s="1697"/>
      <c r="DY728" s="1697"/>
      <c r="DZ728" s="1697"/>
      <c r="EA728" s="1697"/>
      <c r="EB728" s="1697"/>
      <c r="EC728" s="1697"/>
      <c r="ED728" s="1697"/>
      <c r="EE728" s="1697"/>
      <c r="EF728" s="1697"/>
      <c r="EG728" s="1697"/>
      <c r="EH728" s="1697"/>
      <c r="EI728" s="1697"/>
      <c r="EJ728" s="1697"/>
      <c r="EK728" s="1697"/>
      <c r="EL728" s="1697"/>
      <c r="EM728" s="1697"/>
      <c r="EN728" s="1697"/>
      <c r="EO728" s="1697"/>
      <c r="EP728" s="1697"/>
      <c r="EQ728" s="1697"/>
      <c r="ER728" s="1697"/>
      <c r="ES728" s="1697"/>
      <c r="ET728" s="1697"/>
      <c r="EU728" s="1697"/>
      <c r="EV728" s="1697"/>
      <c r="EW728" s="1697"/>
      <c r="EX728" s="1697"/>
      <c r="EY728" s="1697"/>
      <c r="EZ728" s="1697"/>
      <c r="FA728" s="1697"/>
      <c r="FB728" s="1697"/>
      <c r="FC728" s="1697"/>
      <c r="FD728" s="1697"/>
      <c r="FE728" s="1697"/>
      <c r="FF728" s="1697"/>
      <c r="FG728" s="1697"/>
      <c r="FH728" s="1697"/>
      <c r="FI728" s="1697"/>
    </row>
    <row r="729" spans="1:165">
      <c r="A729" s="1697"/>
      <c r="B729" s="1697"/>
      <c r="C729" s="1697"/>
      <c r="D729" s="1697"/>
      <c r="E729" s="1697"/>
      <c r="F729" s="1697"/>
      <c r="G729" s="1697"/>
      <c r="H729" s="1697"/>
      <c r="I729" s="1697"/>
      <c r="J729" s="1697"/>
      <c r="K729" s="1697"/>
      <c r="L729" s="1697"/>
      <c r="M729" s="1697"/>
      <c r="N729" s="1697"/>
      <c r="O729" s="1697"/>
      <c r="P729" s="1697"/>
      <c r="Q729" s="1697"/>
      <c r="R729" s="1697"/>
      <c r="S729" s="1697"/>
      <c r="T729" s="1697"/>
      <c r="U729" s="1697"/>
      <c r="V729" s="1697"/>
      <c r="W729" s="1697"/>
      <c r="X729" s="1697"/>
      <c r="Y729" s="1697"/>
      <c r="Z729" s="1697"/>
      <c r="AA729" s="1697"/>
      <c r="AB729" s="1697"/>
      <c r="AC729" s="1697"/>
      <c r="AD729" s="1697"/>
      <c r="AE729" s="1697"/>
      <c r="AF729" s="1697"/>
      <c r="AG729" s="1697"/>
      <c r="AH729" s="1697"/>
      <c r="AI729" s="1697"/>
      <c r="AJ729" s="1697"/>
      <c r="AK729" s="1697"/>
      <c r="AL729" s="1697"/>
      <c r="AM729" s="1697"/>
      <c r="AN729" s="1697"/>
      <c r="AO729" s="1697"/>
      <c r="AP729" s="1697"/>
      <c r="AQ729" s="1697"/>
      <c r="AR729" s="1697"/>
      <c r="AS729" s="1697"/>
      <c r="AT729" s="1697"/>
      <c r="AU729" s="1697"/>
      <c r="AV729" s="1697"/>
      <c r="AW729" s="1697"/>
      <c r="AX729" s="1697"/>
      <c r="AY729" s="1697"/>
      <c r="AZ729" s="1697"/>
      <c r="BA729" s="1697"/>
      <c r="BB729" s="1697"/>
      <c r="BC729" s="1697"/>
      <c r="BD729" s="1697"/>
      <c r="BE729" s="1697"/>
      <c r="BF729" s="1697"/>
      <c r="BG729" s="1697"/>
      <c r="BH729" s="1697"/>
      <c r="BI729" s="1697"/>
      <c r="BJ729" s="1697"/>
      <c r="BK729" s="1697"/>
      <c r="BL729" s="1697"/>
      <c r="BM729" s="1697"/>
      <c r="BN729" s="1697"/>
      <c r="BO729" s="1697"/>
      <c r="BP729" s="1697"/>
      <c r="BQ729" s="1697"/>
      <c r="BR729" s="1697"/>
      <c r="BS729" s="1697"/>
      <c r="BT729" s="1697"/>
      <c r="BU729" s="1697"/>
      <c r="BV729" s="1697"/>
      <c r="BW729" s="1697"/>
      <c r="BX729" s="1697"/>
      <c r="BY729" s="1697"/>
      <c r="BZ729" s="1697"/>
      <c r="CA729" s="1697"/>
      <c r="CB729" s="1697"/>
      <c r="CC729" s="1697"/>
      <c r="CD729" s="1697"/>
      <c r="CE729" s="1697"/>
      <c r="CF729" s="1697"/>
      <c r="CG729" s="1697"/>
      <c r="CH729" s="1697"/>
      <c r="CI729" s="1697"/>
      <c r="CJ729" s="1697"/>
      <c r="CK729" s="1697"/>
      <c r="CL729" s="1697"/>
      <c r="CM729" s="1697"/>
      <c r="CN729" s="1697"/>
      <c r="CO729" s="1697"/>
      <c r="CP729" s="1697"/>
      <c r="CQ729" s="1697"/>
      <c r="CR729" s="1697"/>
      <c r="CS729" s="1697"/>
      <c r="CT729" s="1697"/>
      <c r="CU729" s="1697"/>
      <c r="CV729" s="1697"/>
      <c r="CW729" s="1697"/>
      <c r="CX729" s="1697"/>
      <c r="CY729" s="1697"/>
      <c r="CZ729" s="1697"/>
      <c r="DA729" s="1697"/>
      <c r="DB729" s="1697"/>
      <c r="DC729" s="1697"/>
      <c r="DD729" s="1697"/>
      <c r="DE729" s="1697"/>
      <c r="DF729" s="1697"/>
      <c r="DG729" s="1697"/>
      <c r="DH729" s="1697"/>
      <c r="DI729" s="1697"/>
      <c r="DJ729" s="1697"/>
      <c r="DK729" s="1697"/>
      <c r="DL729" s="1697"/>
      <c r="DM729" s="1697"/>
      <c r="DN729" s="1697"/>
      <c r="DO729" s="1697"/>
      <c r="DP729" s="1697"/>
      <c r="DQ729" s="1697"/>
      <c r="DR729" s="1697"/>
      <c r="DS729" s="1697"/>
      <c r="DT729" s="1697"/>
      <c r="DU729" s="1697"/>
      <c r="DV729" s="1697"/>
      <c r="DW729" s="1697"/>
      <c r="DX729" s="1697"/>
      <c r="DY729" s="1697"/>
      <c r="DZ729" s="1697"/>
      <c r="EA729" s="1697"/>
      <c r="EB729" s="1697"/>
      <c r="EC729" s="1697"/>
      <c r="ED729" s="1697"/>
      <c r="EE729" s="1697"/>
      <c r="EF729" s="1697"/>
      <c r="EG729" s="1697"/>
      <c r="EH729" s="1697"/>
      <c r="EI729" s="1697"/>
      <c r="EJ729" s="1697"/>
      <c r="EK729" s="1697"/>
      <c r="EL729" s="1697"/>
      <c r="EM729" s="1697"/>
      <c r="EN729" s="1697"/>
      <c r="EO729" s="1697"/>
      <c r="EP729" s="1697"/>
      <c r="EQ729" s="1697"/>
      <c r="ER729" s="1697"/>
      <c r="ES729" s="1697"/>
      <c r="ET729" s="1697"/>
      <c r="EU729" s="1697"/>
      <c r="EV729" s="1697"/>
      <c r="EW729" s="1697"/>
      <c r="EX729" s="1697"/>
      <c r="EY729" s="1697"/>
      <c r="EZ729" s="1697"/>
      <c r="FA729" s="1697"/>
      <c r="FB729" s="1697"/>
      <c r="FC729" s="1697"/>
      <c r="FD729" s="1697"/>
      <c r="FE729" s="1697"/>
      <c r="FF729" s="1697"/>
      <c r="FG729" s="1697"/>
      <c r="FH729" s="1697"/>
      <c r="FI729" s="1697"/>
    </row>
    <row r="730" spans="1:165">
      <c r="A730" s="1697"/>
      <c r="B730" s="1697"/>
      <c r="C730" s="1697"/>
      <c r="D730" s="1697"/>
      <c r="E730" s="1697"/>
      <c r="F730" s="1697"/>
      <c r="G730" s="1697"/>
      <c r="H730" s="1697"/>
      <c r="I730" s="1697"/>
      <c r="J730" s="1697"/>
      <c r="K730" s="1697"/>
      <c r="L730" s="1697"/>
      <c r="M730" s="1697"/>
      <c r="N730" s="1697"/>
      <c r="O730" s="1697"/>
      <c r="P730" s="1697"/>
      <c r="Q730" s="1697"/>
      <c r="R730" s="1697"/>
      <c r="S730" s="1697"/>
      <c r="T730" s="1697"/>
      <c r="U730" s="1697"/>
      <c r="V730" s="1697"/>
      <c r="W730" s="1697"/>
      <c r="X730" s="1697"/>
      <c r="Y730" s="1697"/>
      <c r="Z730" s="1697"/>
      <c r="AA730" s="1697"/>
      <c r="AB730" s="1697"/>
      <c r="AC730" s="1697"/>
      <c r="AD730" s="1697"/>
      <c r="AE730" s="1697"/>
      <c r="AF730" s="1697"/>
      <c r="AG730" s="1697"/>
      <c r="AH730" s="1697"/>
      <c r="AI730" s="1697"/>
      <c r="AJ730" s="1697"/>
      <c r="AK730" s="1697"/>
      <c r="AL730" s="1697"/>
      <c r="AM730" s="1697"/>
      <c r="AN730" s="1697"/>
      <c r="AO730" s="1697"/>
      <c r="AP730" s="1697"/>
      <c r="AQ730" s="1697"/>
      <c r="AR730" s="1697"/>
      <c r="AS730" s="1697"/>
      <c r="AT730" s="1697"/>
      <c r="AU730" s="1697"/>
      <c r="AV730" s="1697"/>
      <c r="AW730" s="1697"/>
      <c r="AX730" s="1697"/>
      <c r="AY730" s="1697"/>
      <c r="AZ730" s="1697"/>
      <c r="BA730" s="1697"/>
      <c r="BB730" s="1697"/>
      <c r="BC730" s="1697"/>
      <c r="BD730" s="1697"/>
      <c r="BE730" s="1697"/>
      <c r="BF730" s="1697"/>
      <c r="BG730" s="1697"/>
      <c r="BH730" s="1697"/>
      <c r="BI730" s="1697"/>
      <c r="BJ730" s="1697"/>
      <c r="BK730" s="1697"/>
      <c r="BL730" s="1697"/>
      <c r="BM730" s="1697"/>
      <c r="BN730" s="1697"/>
      <c r="BO730" s="1697"/>
      <c r="BP730" s="1697"/>
      <c r="BQ730" s="1697"/>
      <c r="BR730" s="1697"/>
      <c r="BS730" s="1697"/>
      <c r="BT730" s="1697"/>
      <c r="BU730" s="1697"/>
      <c r="BV730" s="1697"/>
      <c r="BW730" s="1697"/>
      <c r="BX730" s="1697"/>
      <c r="BY730" s="1697"/>
      <c r="BZ730" s="1697"/>
      <c r="CA730" s="1697"/>
      <c r="CB730" s="1697"/>
      <c r="CC730" s="1697"/>
      <c r="CD730" s="1697"/>
      <c r="CE730" s="1697"/>
      <c r="CF730" s="1697"/>
      <c r="CG730" s="1697"/>
      <c r="CH730" s="1697"/>
      <c r="CI730" s="1697"/>
      <c r="CJ730" s="1697"/>
      <c r="CK730" s="1697"/>
      <c r="CL730" s="1697"/>
      <c r="CM730" s="1697"/>
      <c r="CN730" s="1697"/>
      <c r="CO730" s="1697"/>
      <c r="CP730" s="1697"/>
      <c r="CQ730" s="1697"/>
      <c r="CR730" s="1697"/>
      <c r="CS730" s="1697"/>
      <c r="CT730" s="1697"/>
      <c r="CU730" s="1697"/>
      <c r="CV730" s="1697"/>
      <c r="CW730" s="1697"/>
      <c r="CX730" s="1697"/>
      <c r="CY730" s="1697"/>
      <c r="CZ730" s="1697"/>
      <c r="DA730" s="1697"/>
      <c r="DB730" s="1697"/>
      <c r="DC730" s="1697"/>
      <c r="DD730" s="1697"/>
      <c r="DE730" s="1697"/>
      <c r="DF730" s="1697"/>
      <c r="DG730" s="1697"/>
      <c r="DH730" s="1697"/>
      <c r="DI730" s="1697"/>
      <c r="DJ730" s="1697"/>
      <c r="DK730" s="1697"/>
      <c r="DL730" s="1697"/>
      <c r="DM730" s="1697"/>
      <c r="DN730" s="1697"/>
      <c r="DO730" s="1697"/>
      <c r="DP730" s="1697"/>
      <c r="DQ730" s="1697"/>
      <c r="DR730" s="1697"/>
      <c r="DS730" s="1697"/>
      <c r="DT730" s="1697"/>
      <c r="DU730" s="1697"/>
      <c r="DV730" s="1697"/>
      <c r="DW730" s="1697"/>
      <c r="DX730" s="1697"/>
      <c r="DY730" s="1697"/>
      <c r="DZ730" s="1697"/>
      <c r="EA730" s="1697"/>
      <c r="EB730" s="1697"/>
      <c r="EC730" s="1697"/>
      <c r="ED730" s="1697"/>
      <c r="EE730" s="1697"/>
      <c r="EF730" s="1697"/>
      <c r="EG730" s="1697"/>
      <c r="EH730" s="1697"/>
      <c r="EI730" s="1697"/>
      <c r="EJ730" s="1697"/>
      <c r="EK730" s="1697"/>
      <c r="EL730" s="1697"/>
      <c r="EM730" s="1697"/>
      <c r="EN730" s="1697"/>
      <c r="EO730" s="1697"/>
      <c r="EP730" s="1697"/>
      <c r="EQ730" s="1697"/>
      <c r="ER730" s="1697"/>
      <c r="ES730" s="1697"/>
      <c r="ET730" s="1697"/>
      <c r="EU730" s="1697"/>
      <c r="EV730" s="1697"/>
      <c r="EW730" s="1697"/>
      <c r="EX730" s="1697"/>
      <c r="EY730" s="1697"/>
      <c r="EZ730" s="1697"/>
      <c r="FA730" s="1697"/>
      <c r="FB730" s="1697"/>
      <c r="FC730" s="1697"/>
      <c r="FD730" s="1697"/>
      <c r="FE730" s="1697"/>
      <c r="FF730" s="1697"/>
      <c r="FG730" s="1697"/>
      <c r="FH730" s="1697"/>
      <c r="FI730" s="1697"/>
    </row>
    <row r="731" spans="1:165">
      <c r="A731" s="1697"/>
      <c r="B731" s="1697"/>
      <c r="C731" s="1697"/>
      <c r="D731" s="1697"/>
      <c r="E731" s="1697"/>
      <c r="F731" s="1697"/>
      <c r="G731" s="1697"/>
      <c r="H731" s="1697"/>
      <c r="I731" s="1697"/>
      <c r="J731" s="1697"/>
      <c r="K731" s="1697"/>
      <c r="L731" s="1697"/>
      <c r="M731" s="1697"/>
      <c r="N731" s="1697"/>
      <c r="O731" s="1697"/>
      <c r="P731" s="1697"/>
      <c r="Q731" s="1697"/>
      <c r="R731" s="1697"/>
      <c r="S731" s="1697"/>
      <c r="T731" s="1697"/>
      <c r="U731" s="1697"/>
      <c r="V731" s="1697"/>
      <c r="W731" s="1697"/>
      <c r="X731" s="1697"/>
      <c r="Y731" s="1697"/>
      <c r="Z731" s="1697"/>
      <c r="AA731" s="1697"/>
      <c r="AB731" s="1697"/>
      <c r="AC731" s="1697"/>
      <c r="AD731" s="1697"/>
      <c r="AE731" s="1697"/>
      <c r="AF731" s="1697"/>
      <c r="AG731" s="1697"/>
      <c r="AH731" s="1697"/>
      <c r="AI731" s="1697"/>
      <c r="AJ731" s="1697"/>
      <c r="AK731" s="1697"/>
      <c r="AL731" s="1697"/>
      <c r="AM731" s="1697"/>
      <c r="AN731" s="1697"/>
      <c r="AO731" s="1697"/>
      <c r="AP731" s="1697"/>
      <c r="AQ731" s="1697"/>
      <c r="AR731" s="1697"/>
      <c r="AS731" s="1697"/>
      <c r="AT731" s="1697"/>
      <c r="AU731" s="1697"/>
      <c r="AV731" s="1697"/>
      <c r="AW731" s="1697"/>
      <c r="AX731" s="1697"/>
      <c r="AY731" s="1697"/>
      <c r="AZ731" s="1697"/>
      <c r="BA731" s="1697"/>
      <c r="BB731" s="1697"/>
      <c r="BC731" s="1697"/>
      <c r="BD731" s="1697"/>
      <c r="BE731" s="1697"/>
      <c r="BF731" s="1697"/>
      <c r="BG731" s="1697"/>
      <c r="BH731" s="1697"/>
      <c r="BI731" s="1697"/>
      <c r="BJ731" s="1697"/>
      <c r="BK731" s="1697"/>
      <c r="BL731" s="1697"/>
      <c r="BM731" s="1697"/>
      <c r="BN731" s="1697"/>
      <c r="BO731" s="1697"/>
      <c r="BP731" s="1697"/>
      <c r="BQ731" s="1697"/>
      <c r="BR731" s="1697"/>
      <c r="BS731" s="1697"/>
      <c r="BT731" s="1697"/>
      <c r="BU731" s="1697"/>
      <c r="BV731" s="1697"/>
      <c r="BW731" s="1697"/>
      <c r="BX731" s="1697"/>
      <c r="BY731" s="1697"/>
      <c r="BZ731" s="1697"/>
      <c r="CA731" s="1697"/>
      <c r="CB731" s="1697"/>
      <c r="CC731" s="1697"/>
      <c r="CD731" s="1697"/>
      <c r="CE731" s="1697"/>
      <c r="CF731" s="1697"/>
      <c r="CG731" s="1697"/>
      <c r="CH731" s="1697"/>
      <c r="CI731" s="1697"/>
      <c r="CJ731" s="1697"/>
      <c r="CK731" s="1697"/>
      <c r="CL731" s="1697"/>
      <c r="CM731" s="1697"/>
      <c r="CN731" s="1697"/>
      <c r="CO731" s="1697"/>
      <c r="CP731" s="1697"/>
      <c r="CQ731" s="1697"/>
      <c r="CR731" s="1697"/>
      <c r="CS731" s="1697"/>
      <c r="CT731" s="1697"/>
      <c r="CU731" s="1697"/>
      <c r="CV731" s="1697"/>
      <c r="CW731" s="1697"/>
      <c r="CX731" s="1697"/>
      <c r="CY731" s="1697"/>
      <c r="CZ731" s="1697"/>
      <c r="DA731" s="1697"/>
      <c r="DB731" s="1697"/>
      <c r="DC731" s="1697"/>
      <c r="DD731" s="1697"/>
      <c r="DE731" s="1697"/>
      <c r="DF731" s="1697"/>
      <c r="DG731" s="1697"/>
      <c r="DH731" s="1697"/>
      <c r="DI731" s="1697"/>
      <c r="DJ731" s="1697"/>
      <c r="DK731" s="1697"/>
      <c r="DL731" s="1697"/>
      <c r="DM731" s="1697"/>
      <c r="DN731" s="1697"/>
      <c r="DO731" s="1697"/>
      <c r="DP731" s="1697"/>
      <c r="DQ731" s="1697"/>
      <c r="DR731" s="1697"/>
      <c r="DS731" s="1697"/>
      <c r="DT731" s="1697"/>
      <c r="DU731" s="1697"/>
      <c r="DV731" s="1697"/>
      <c r="DW731" s="1697"/>
      <c r="DX731" s="1697"/>
      <c r="DY731" s="1697"/>
      <c r="DZ731" s="1697"/>
      <c r="EA731" s="1697"/>
      <c r="EB731" s="1697"/>
      <c r="EC731" s="1697"/>
      <c r="ED731" s="1697"/>
      <c r="EE731" s="1697"/>
      <c r="EF731" s="1697"/>
      <c r="EG731" s="1697"/>
      <c r="EH731" s="1697"/>
      <c r="EI731" s="1697"/>
      <c r="EJ731" s="1697"/>
      <c r="EK731" s="1697"/>
      <c r="EL731" s="1697"/>
      <c r="EM731" s="1697"/>
      <c r="EN731" s="1697"/>
      <c r="EO731" s="1697"/>
      <c r="EP731" s="1697"/>
      <c r="EQ731" s="1697"/>
      <c r="ER731" s="1697"/>
      <c r="ES731" s="1697"/>
      <c r="ET731" s="1697"/>
      <c r="EU731" s="1697"/>
      <c r="EV731" s="1697"/>
      <c r="EW731" s="1697"/>
      <c r="EX731" s="1697"/>
      <c r="EY731" s="1697"/>
      <c r="EZ731" s="1697"/>
      <c r="FA731" s="1697"/>
      <c r="FB731" s="1697"/>
      <c r="FC731" s="1697"/>
      <c r="FD731" s="1697"/>
      <c r="FE731" s="1697"/>
      <c r="FF731" s="1697"/>
      <c r="FG731" s="1697"/>
      <c r="FH731" s="1697"/>
      <c r="FI731" s="1697"/>
    </row>
    <row r="732" spans="1:165">
      <c r="A732" s="1697"/>
      <c r="B732" s="1697"/>
      <c r="C732" s="1697"/>
      <c r="D732" s="1697"/>
      <c r="E732" s="1697"/>
      <c r="F732" s="1697"/>
      <c r="G732" s="1697"/>
      <c r="H732" s="1697"/>
      <c r="I732" s="1697"/>
      <c r="J732" s="1697"/>
      <c r="K732" s="1697"/>
      <c r="L732" s="1697"/>
      <c r="M732" s="1697"/>
      <c r="N732" s="1697"/>
      <c r="O732" s="1697"/>
      <c r="P732" s="1697"/>
      <c r="Q732" s="1697"/>
      <c r="R732" s="1697"/>
      <c r="S732" s="1697"/>
      <c r="T732" s="1697"/>
      <c r="U732" s="1697"/>
      <c r="V732" s="1697"/>
      <c r="W732" s="1697"/>
      <c r="X732" s="1697"/>
      <c r="Y732" s="1697"/>
      <c r="Z732" s="1697"/>
      <c r="AA732" s="1697"/>
      <c r="AB732" s="1697"/>
      <c r="AC732" s="1697"/>
      <c r="AD732" s="1697"/>
      <c r="AE732" s="1697"/>
      <c r="AF732" s="1697"/>
      <c r="AG732" s="1697"/>
      <c r="AH732" s="1697"/>
      <c r="AI732" s="1697"/>
      <c r="AJ732" s="1697"/>
      <c r="AK732" s="1697"/>
      <c r="AL732" s="1697"/>
      <c r="AM732" s="1697"/>
      <c r="AN732" s="1697"/>
      <c r="AO732" s="1697"/>
      <c r="AP732" s="1697"/>
      <c r="AQ732" s="1697"/>
      <c r="AR732" s="1697"/>
      <c r="AS732" s="1697"/>
      <c r="AT732" s="1697"/>
      <c r="AU732" s="1697"/>
      <c r="AV732" s="1697"/>
      <c r="AW732" s="1697"/>
      <c r="AX732" s="1697"/>
      <c r="AY732" s="1697"/>
      <c r="AZ732" s="1697"/>
      <c r="BA732" s="1697"/>
      <c r="BB732" s="1697"/>
      <c r="BC732" s="1697"/>
      <c r="BD732" s="1697"/>
      <c r="BE732" s="1697"/>
      <c r="BF732" s="1697"/>
      <c r="BG732" s="1697"/>
      <c r="BH732" s="1697"/>
      <c r="BI732" s="1697"/>
      <c r="BJ732" s="1697"/>
      <c r="BK732" s="1697"/>
      <c r="BL732" s="1697"/>
      <c r="BM732" s="1697"/>
      <c r="BN732" s="1697"/>
      <c r="BO732" s="1697"/>
      <c r="BP732" s="1697"/>
      <c r="BQ732" s="1697"/>
      <c r="BR732" s="1697"/>
      <c r="BS732" s="1697"/>
      <c r="BT732" s="1697"/>
      <c r="BU732" s="1697"/>
      <c r="BV732" s="1697"/>
      <c r="BW732" s="1697"/>
      <c r="BX732" s="1697"/>
      <c r="BY732" s="1697"/>
      <c r="BZ732" s="1697"/>
      <c r="CA732" s="1697"/>
      <c r="CB732" s="1697"/>
      <c r="CC732" s="1697"/>
      <c r="CD732" s="1697"/>
      <c r="CE732" s="1697"/>
      <c r="CF732" s="1697"/>
      <c r="CG732" s="1697"/>
      <c r="CH732" s="1697"/>
      <c r="CI732" s="1697"/>
      <c r="CJ732" s="1697"/>
      <c r="CK732" s="1697"/>
      <c r="CL732" s="1697"/>
      <c r="CM732" s="1697"/>
      <c r="CN732" s="1697"/>
      <c r="CO732" s="1697"/>
      <c r="CP732" s="1697"/>
      <c r="CQ732" s="1697"/>
      <c r="CR732" s="1697"/>
      <c r="CS732" s="1697"/>
      <c r="CT732" s="1697"/>
      <c r="CU732" s="1697"/>
      <c r="CV732" s="1697"/>
      <c r="CW732" s="1697"/>
      <c r="CX732" s="1697"/>
      <c r="CY732" s="1697"/>
      <c r="CZ732" s="1697"/>
      <c r="DA732" s="1697"/>
      <c r="DB732" s="1697"/>
      <c r="DC732" s="1697"/>
      <c r="DD732" s="1697"/>
      <c r="DE732" s="1697"/>
      <c r="DF732" s="1697"/>
      <c r="DG732" s="1697"/>
      <c r="DH732" s="1697"/>
      <c r="DI732" s="1697"/>
      <c r="DJ732" s="1697"/>
      <c r="DK732" s="1697"/>
      <c r="DL732" s="1697"/>
      <c r="DM732" s="1697"/>
      <c r="DN732" s="1697"/>
      <c r="DO732" s="1697"/>
      <c r="DP732" s="1697"/>
      <c r="DQ732" s="1697"/>
      <c r="DR732" s="1697"/>
      <c r="DS732" s="1697"/>
      <c r="DT732" s="1697"/>
      <c r="DU732" s="1697"/>
      <c r="DV732" s="1697"/>
      <c r="DW732" s="1697"/>
      <c r="DX732" s="1697"/>
      <c r="DY732" s="1697"/>
      <c r="DZ732" s="1697"/>
      <c r="EA732" s="1697"/>
      <c r="EB732" s="1697"/>
      <c r="EC732" s="1697"/>
      <c r="ED732" s="1697"/>
      <c r="EE732" s="1697"/>
      <c r="EF732" s="1697"/>
      <c r="EG732" s="1697"/>
      <c r="EH732" s="1697"/>
      <c r="EI732" s="1697"/>
      <c r="EJ732" s="1697"/>
      <c r="EK732" s="1697"/>
      <c r="EL732" s="1697"/>
      <c r="EM732" s="1697"/>
      <c r="EN732" s="1697"/>
      <c r="EO732" s="1697"/>
      <c r="EP732" s="1697"/>
      <c r="EQ732" s="1697"/>
      <c r="ER732" s="1697"/>
      <c r="ES732" s="1697"/>
      <c r="ET732" s="1697"/>
      <c r="EU732" s="1697"/>
      <c r="EV732" s="1697"/>
      <c r="EW732" s="1697"/>
      <c r="EX732" s="1697"/>
      <c r="EY732" s="1697"/>
      <c r="EZ732" s="1697"/>
      <c r="FA732" s="1697"/>
      <c r="FB732" s="1697"/>
      <c r="FC732" s="1697"/>
      <c r="FD732" s="1697"/>
      <c r="FE732" s="1697"/>
      <c r="FF732" s="1697"/>
      <c r="FG732" s="1697"/>
      <c r="FH732" s="1697"/>
      <c r="FI732" s="1697"/>
    </row>
    <row r="733" spans="1:165">
      <c r="A733" s="1697"/>
      <c r="B733" s="1697"/>
      <c r="C733" s="1697"/>
      <c r="D733" s="1697"/>
      <c r="E733" s="1697"/>
      <c r="F733" s="1697"/>
      <c r="G733" s="1697"/>
      <c r="H733" s="1697"/>
      <c r="I733" s="1697"/>
      <c r="J733" s="1697"/>
      <c r="K733" s="1697"/>
      <c r="L733" s="1697"/>
      <c r="M733" s="1697"/>
      <c r="N733" s="1697"/>
      <c r="O733" s="1697"/>
      <c r="P733" s="1697"/>
      <c r="Q733" s="1697"/>
      <c r="R733" s="1697"/>
      <c r="S733" s="1697"/>
      <c r="T733" s="1697"/>
      <c r="U733" s="1697"/>
      <c r="V733" s="1697"/>
      <c r="W733" s="1697"/>
      <c r="X733" s="1697"/>
      <c r="Y733" s="1697"/>
      <c r="Z733" s="1697"/>
      <c r="AA733" s="1697"/>
      <c r="AB733" s="1697"/>
      <c r="AC733" s="1697"/>
      <c r="AD733" s="1697"/>
      <c r="AE733" s="1697"/>
      <c r="AF733" s="1697"/>
      <c r="AG733" s="1697"/>
      <c r="AH733" s="1697"/>
      <c r="AI733" s="1697"/>
      <c r="AJ733" s="1697"/>
      <c r="AK733" s="1697"/>
      <c r="AL733" s="1697"/>
      <c r="AM733" s="1697"/>
      <c r="AN733" s="1697"/>
      <c r="AO733" s="1697"/>
      <c r="AP733" s="1697"/>
      <c r="AQ733" s="1697"/>
      <c r="AR733" s="1697"/>
      <c r="AS733" s="1697"/>
      <c r="AT733" s="1697"/>
      <c r="AU733" s="1697"/>
      <c r="AV733" s="1697"/>
      <c r="AW733" s="1697"/>
      <c r="AX733" s="1697"/>
      <c r="AY733" s="1697"/>
      <c r="AZ733" s="1697"/>
      <c r="BA733" s="1697"/>
      <c r="BB733" s="1697"/>
      <c r="BC733" s="1697"/>
      <c r="BD733" s="1697"/>
      <c r="BE733" s="1697"/>
      <c r="BF733" s="1697"/>
      <c r="BG733" s="1697"/>
      <c r="BH733" s="1697"/>
      <c r="BI733" s="1697"/>
      <c r="BJ733" s="1697"/>
      <c r="BK733" s="1697"/>
      <c r="BL733" s="1697"/>
      <c r="BM733" s="1697"/>
      <c r="BN733" s="1697"/>
      <c r="BO733" s="1697"/>
      <c r="BP733" s="1697"/>
      <c r="BQ733" s="1697"/>
      <c r="BR733" s="1697"/>
      <c r="BS733" s="1697"/>
      <c r="BT733" s="1697"/>
      <c r="BU733" s="1697"/>
      <c r="BV733" s="1697"/>
      <c r="BW733" s="1697"/>
      <c r="BX733" s="1697"/>
      <c r="BY733" s="1697"/>
      <c r="BZ733" s="1697"/>
      <c r="CA733" s="1697"/>
      <c r="CB733" s="1697"/>
      <c r="CC733" s="1697"/>
      <c r="CD733" s="1697"/>
      <c r="CE733" s="1697"/>
      <c r="CF733" s="1697"/>
      <c r="CG733" s="1697"/>
      <c r="CH733" s="1697"/>
      <c r="CI733" s="1697"/>
      <c r="CJ733" s="1697"/>
      <c r="CK733" s="1697"/>
      <c r="CL733" s="1697"/>
      <c r="CM733" s="1697"/>
      <c r="CN733" s="1697"/>
      <c r="CO733" s="1697"/>
      <c r="CP733" s="1697"/>
      <c r="CQ733" s="1697"/>
      <c r="CR733" s="1697"/>
      <c r="CS733" s="1697"/>
      <c r="CT733" s="1697"/>
      <c r="CU733" s="1697"/>
      <c r="CV733" s="1697"/>
      <c r="CW733" s="1697"/>
      <c r="CX733" s="1697"/>
      <c r="CY733" s="1697"/>
      <c r="CZ733" s="1697"/>
      <c r="DA733" s="1697"/>
      <c r="DB733" s="1697"/>
      <c r="DC733" s="1697"/>
      <c r="DD733" s="1697"/>
      <c r="DE733" s="1697"/>
      <c r="DF733" s="1697"/>
      <c r="DG733" s="1697"/>
      <c r="DH733" s="1697"/>
      <c r="DI733" s="1697"/>
      <c r="DJ733" s="1697"/>
      <c r="DK733" s="1697"/>
      <c r="DL733" s="1697"/>
      <c r="DM733" s="1697"/>
      <c r="DN733" s="1697"/>
      <c r="DO733" s="1697"/>
      <c r="DP733" s="1697"/>
      <c r="DQ733" s="1697"/>
      <c r="DR733" s="1697"/>
      <c r="DS733" s="1697"/>
      <c r="DT733" s="1697"/>
      <c r="DU733" s="1697"/>
      <c r="DV733" s="1697"/>
      <c r="DW733" s="1697"/>
      <c r="DX733" s="1697"/>
      <c r="DY733" s="1697"/>
      <c r="DZ733" s="1697"/>
      <c r="EA733" s="1697"/>
      <c r="EB733" s="1697"/>
      <c r="EC733" s="1697"/>
      <c r="ED733" s="1697"/>
      <c r="EE733" s="1697"/>
      <c r="EF733" s="1697"/>
      <c r="EG733" s="1697"/>
      <c r="EH733" s="1697"/>
      <c r="EI733" s="1697"/>
      <c r="EJ733" s="1697"/>
      <c r="EK733" s="1697"/>
      <c r="EL733" s="1697"/>
      <c r="EM733" s="1697"/>
      <c r="EN733" s="1697"/>
      <c r="EO733" s="1697"/>
      <c r="EP733" s="1697"/>
      <c r="EQ733" s="1697"/>
      <c r="ER733" s="1697"/>
      <c r="ES733" s="1697"/>
      <c r="ET733" s="1697"/>
      <c r="EU733" s="1697"/>
      <c r="EV733" s="1697"/>
      <c r="EW733" s="1697"/>
      <c r="EX733" s="1697"/>
      <c r="EY733" s="1697"/>
      <c r="EZ733" s="1697"/>
      <c r="FA733" s="1697"/>
      <c r="FB733" s="1697"/>
      <c r="FC733" s="1697"/>
      <c r="FD733" s="1697"/>
      <c r="FE733" s="1697"/>
      <c r="FF733" s="1697"/>
      <c r="FG733" s="1697"/>
      <c r="FH733" s="1697"/>
      <c r="FI733" s="1697"/>
    </row>
    <row r="734" spans="1:165">
      <c r="A734" s="1697"/>
      <c r="B734" s="1697"/>
      <c r="C734" s="1697"/>
      <c r="D734" s="1697"/>
      <c r="E734" s="1697"/>
      <c r="F734" s="1697"/>
      <c r="G734" s="1697"/>
      <c r="H734" s="1697"/>
      <c r="I734" s="1697"/>
      <c r="J734" s="1697"/>
      <c r="K734" s="1697"/>
      <c r="L734" s="1697"/>
      <c r="M734" s="1697"/>
      <c r="N734" s="1697"/>
      <c r="O734" s="1697"/>
      <c r="P734" s="1697"/>
      <c r="Q734" s="1697"/>
      <c r="R734" s="1697"/>
      <c r="S734" s="1697"/>
      <c r="T734" s="1697"/>
      <c r="U734" s="1697"/>
      <c r="V734" s="1697"/>
      <c r="W734" s="1697"/>
      <c r="X734" s="1697"/>
      <c r="Y734" s="1697"/>
      <c r="Z734" s="1697"/>
      <c r="AA734" s="1697"/>
      <c r="AB734" s="1697"/>
      <c r="AC734" s="1697"/>
      <c r="AD734" s="1697"/>
      <c r="AE734" s="1697"/>
      <c r="AF734" s="1697"/>
      <c r="AG734" s="1697"/>
      <c r="AH734" s="1697"/>
      <c r="AI734" s="1697"/>
      <c r="AJ734" s="1697"/>
      <c r="AK734" s="1697"/>
      <c r="AL734" s="1697"/>
      <c r="AM734" s="1697"/>
      <c r="AN734" s="1697"/>
      <c r="AO734" s="1697"/>
      <c r="AP734" s="1697"/>
      <c r="AQ734" s="1697"/>
      <c r="AR734" s="1697"/>
      <c r="AS734" s="1697"/>
      <c r="AT734" s="1697"/>
      <c r="AU734" s="1697"/>
      <c r="AV734" s="1697"/>
      <c r="AW734" s="1697"/>
      <c r="AX734" s="1697"/>
      <c r="AY734" s="1697"/>
      <c r="AZ734" s="1697"/>
      <c r="BA734" s="1697"/>
      <c r="BB734" s="1697"/>
      <c r="BC734" s="1697"/>
      <c r="BD734" s="1697"/>
      <c r="BE734" s="1697"/>
      <c r="BF734" s="1697"/>
      <c r="BG734" s="1697"/>
      <c r="BH734" s="1697"/>
      <c r="BI734" s="1697"/>
      <c r="BJ734" s="1697"/>
      <c r="BK734" s="1697"/>
      <c r="BL734" s="1697"/>
      <c r="BM734" s="1697"/>
      <c r="BN734" s="1697"/>
      <c r="BO734" s="1697"/>
      <c r="BP734" s="1697"/>
      <c r="BQ734" s="1697"/>
      <c r="BR734" s="1697"/>
      <c r="BS734" s="1697"/>
      <c r="BT734" s="1697"/>
      <c r="BU734" s="1697"/>
      <c r="BV734" s="1697"/>
      <c r="BW734" s="1697"/>
      <c r="BX734" s="1697"/>
      <c r="BY734" s="1697"/>
      <c r="BZ734" s="1697"/>
      <c r="CA734" s="1697"/>
      <c r="CB734" s="1697"/>
      <c r="CC734" s="1697"/>
      <c r="CD734" s="1697"/>
      <c r="CE734" s="1697"/>
      <c r="CF734" s="1697"/>
      <c r="CG734" s="1697"/>
      <c r="CH734" s="1697"/>
      <c r="CI734" s="1697"/>
      <c r="CJ734" s="1697"/>
      <c r="CK734" s="1697"/>
      <c r="CL734" s="1697"/>
      <c r="CM734" s="1697"/>
      <c r="CN734" s="1697"/>
      <c r="CO734" s="1697"/>
      <c r="CP734" s="1697"/>
      <c r="CQ734" s="1697"/>
      <c r="CR734" s="1697"/>
      <c r="CS734" s="1697"/>
      <c r="CT734" s="1697"/>
      <c r="CU734" s="1697"/>
      <c r="CV734" s="1697"/>
      <c r="CW734" s="1697"/>
      <c r="CX734" s="1697"/>
      <c r="CY734" s="1697"/>
      <c r="CZ734" s="1697"/>
      <c r="DA734" s="1697"/>
      <c r="DB734" s="1697"/>
      <c r="DC734" s="1697"/>
      <c r="DD734" s="1697"/>
      <c r="DE734" s="1697"/>
      <c r="DF734" s="1697"/>
      <c r="DG734" s="1697"/>
      <c r="DH734" s="1697"/>
      <c r="DI734" s="1697"/>
      <c r="DJ734" s="1697"/>
      <c r="DK734" s="1697"/>
      <c r="DL734" s="1697"/>
      <c r="DM734" s="1697"/>
      <c r="DN734" s="1697"/>
      <c r="DO734" s="1697"/>
      <c r="DP734" s="1697"/>
      <c r="DQ734" s="1697"/>
      <c r="DR734" s="1697"/>
      <c r="DS734" s="1697"/>
      <c r="DT734" s="1697"/>
      <c r="DU734" s="1697"/>
      <c r="DV734" s="1697"/>
      <c r="DW734" s="1697"/>
      <c r="DX734" s="1697"/>
      <c r="DY734" s="1697"/>
      <c r="DZ734" s="1697"/>
      <c r="EA734" s="1697"/>
      <c r="EB734" s="1697"/>
      <c r="EC734" s="1697"/>
      <c r="ED734" s="1697"/>
      <c r="EE734" s="1697"/>
      <c r="EF734" s="1697"/>
      <c r="EG734" s="1697"/>
      <c r="EH734" s="1697"/>
      <c r="EI734" s="1697"/>
      <c r="EJ734" s="1697"/>
      <c r="EK734" s="1697"/>
      <c r="EL734" s="1697"/>
      <c r="EM734" s="1697"/>
      <c r="EN734" s="1697"/>
      <c r="EO734" s="1697"/>
      <c r="EP734" s="1697"/>
      <c r="EQ734" s="1697"/>
      <c r="ER734" s="1697"/>
      <c r="ES734" s="1697"/>
      <c r="ET734" s="1697"/>
      <c r="EU734" s="1697"/>
      <c r="EV734" s="1697"/>
      <c r="EW734" s="1697"/>
      <c r="EX734" s="1697"/>
      <c r="EY734" s="1697"/>
      <c r="EZ734" s="1697"/>
      <c r="FA734" s="1697"/>
      <c r="FB734" s="1697"/>
      <c r="FC734" s="1697"/>
      <c r="FD734" s="1697"/>
      <c r="FE734" s="1697"/>
      <c r="FF734" s="1697"/>
      <c r="FG734" s="1697"/>
      <c r="FH734" s="1697"/>
      <c r="FI734" s="1697"/>
    </row>
    <row r="735" spans="1:165">
      <c r="A735" s="1697"/>
      <c r="B735" s="1697"/>
      <c r="C735" s="1697"/>
      <c r="D735" s="1697"/>
      <c r="E735" s="1697"/>
      <c r="F735" s="1697"/>
      <c r="G735" s="1697"/>
      <c r="H735" s="1697"/>
      <c r="I735" s="1697"/>
      <c r="J735" s="1697"/>
      <c r="K735" s="1697"/>
      <c r="L735" s="1697"/>
      <c r="M735" s="1697"/>
      <c r="N735" s="1697"/>
      <c r="O735" s="1697"/>
      <c r="P735" s="1697"/>
      <c r="Q735" s="1697"/>
      <c r="R735" s="1697"/>
      <c r="S735" s="1697"/>
      <c r="T735" s="1697"/>
      <c r="U735" s="1697"/>
      <c r="V735" s="1697"/>
      <c r="W735" s="1697"/>
      <c r="X735" s="1697"/>
      <c r="Y735" s="1697"/>
      <c r="Z735" s="1697"/>
      <c r="AA735" s="1697"/>
      <c r="AB735" s="1697"/>
      <c r="AC735" s="1697"/>
      <c r="AD735" s="1697"/>
      <c r="AE735" s="1697"/>
      <c r="AF735" s="1697"/>
      <c r="AG735" s="1697"/>
      <c r="AH735" s="1697"/>
      <c r="AI735" s="1697"/>
      <c r="AJ735" s="1697"/>
      <c r="AK735" s="1697"/>
      <c r="AL735" s="1697"/>
      <c r="AM735" s="1697"/>
      <c r="AN735" s="1697"/>
      <c r="AO735" s="1697"/>
      <c r="AP735" s="1697"/>
      <c r="AQ735" s="1697"/>
      <c r="AR735" s="1697"/>
      <c r="AS735" s="1697"/>
      <c r="AT735" s="1697"/>
      <c r="AU735" s="1697"/>
      <c r="AV735" s="1697"/>
      <c r="AW735" s="1697"/>
      <c r="AX735" s="1697"/>
      <c r="AY735" s="1697"/>
      <c r="AZ735" s="1697"/>
      <c r="BA735" s="1697"/>
      <c r="BB735" s="1697"/>
      <c r="BC735" s="1697"/>
      <c r="BD735" s="1697"/>
      <c r="BE735" s="1697"/>
      <c r="BF735" s="1697"/>
      <c r="BG735" s="1697"/>
      <c r="BH735" s="1697"/>
      <c r="BI735" s="1697"/>
      <c r="BJ735" s="1697"/>
      <c r="BK735" s="1697"/>
      <c r="BL735" s="1697"/>
      <c r="BM735" s="1697"/>
      <c r="BN735" s="1697"/>
      <c r="BO735" s="1697"/>
      <c r="BP735" s="1697"/>
      <c r="BQ735" s="1697"/>
      <c r="BR735" s="1697"/>
      <c r="BS735" s="1697"/>
      <c r="BT735" s="1697"/>
      <c r="BU735" s="1697"/>
      <c r="BV735" s="1697"/>
      <c r="BW735" s="1697"/>
      <c r="BX735" s="1697"/>
      <c r="BY735" s="1697"/>
      <c r="BZ735" s="1697"/>
      <c r="CA735" s="1697"/>
      <c r="CB735" s="1697"/>
      <c r="CC735" s="1697"/>
      <c r="CD735" s="1697"/>
      <c r="CE735" s="1697"/>
      <c r="CF735" s="1697"/>
      <c r="CG735" s="1697"/>
      <c r="CH735" s="1697"/>
      <c r="CI735" s="1697"/>
      <c r="CJ735" s="1697"/>
      <c r="CK735" s="1697"/>
      <c r="CL735" s="1697"/>
      <c r="CM735" s="1697"/>
      <c r="CN735" s="1697"/>
      <c r="CO735" s="1697"/>
      <c r="CP735" s="1697"/>
      <c r="CQ735" s="1697"/>
      <c r="CR735" s="1697"/>
      <c r="CS735" s="1697"/>
      <c r="CT735" s="1697"/>
      <c r="CU735" s="1697"/>
      <c r="CV735" s="1697"/>
      <c r="CW735" s="1697"/>
      <c r="CX735" s="1697"/>
      <c r="CY735" s="1697"/>
      <c r="CZ735" s="1697"/>
      <c r="DA735" s="1697"/>
      <c r="DB735" s="1697"/>
      <c r="DC735" s="1697"/>
      <c r="DD735" s="1697"/>
      <c r="DE735" s="1697"/>
      <c r="DF735" s="1697"/>
      <c r="DG735" s="1697"/>
      <c r="DH735" s="1697"/>
      <c r="DI735" s="1697"/>
      <c r="DJ735" s="1697"/>
      <c r="DK735" s="1697"/>
      <c r="DL735" s="1697"/>
      <c r="DM735" s="1697"/>
      <c r="DN735" s="1697"/>
      <c r="DO735" s="1697"/>
      <c r="DP735" s="1697"/>
      <c r="DQ735" s="1697"/>
      <c r="DR735" s="1697"/>
      <c r="DS735" s="1697"/>
      <c r="DT735" s="1697"/>
      <c r="DU735" s="1697"/>
      <c r="DV735" s="1697"/>
      <c r="DW735" s="1697"/>
      <c r="DX735" s="1697"/>
      <c r="DY735" s="1697"/>
      <c r="DZ735" s="1697"/>
      <c r="EA735" s="1697"/>
      <c r="EB735" s="1697"/>
      <c r="EC735" s="1697"/>
      <c r="ED735" s="1697"/>
      <c r="EE735" s="1697"/>
      <c r="EF735" s="1697"/>
      <c r="EG735" s="1697"/>
      <c r="EH735" s="1697"/>
      <c r="EI735" s="1697"/>
      <c r="EJ735" s="1697"/>
      <c r="EK735" s="1697"/>
      <c r="EL735" s="1697"/>
      <c r="EM735" s="1697"/>
      <c r="EN735" s="1697"/>
      <c r="EO735" s="1697"/>
      <c r="EP735" s="1697"/>
      <c r="EQ735" s="1697"/>
      <c r="ER735" s="1697"/>
      <c r="ES735" s="1697"/>
      <c r="ET735" s="1697"/>
      <c r="EU735" s="1697"/>
      <c r="EV735" s="1697"/>
      <c r="EW735" s="1697"/>
      <c r="EX735" s="1697"/>
      <c r="EY735" s="1697"/>
      <c r="EZ735" s="1697"/>
      <c r="FA735" s="1697"/>
      <c r="FB735" s="1697"/>
      <c r="FC735" s="1697"/>
      <c r="FD735" s="1697"/>
      <c r="FE735" s="1697"/>
      <c r="FF735" s="1697"/>
      <c r="FG735" s="1697"/>
      <c r="FH735" s="1697"/>
      <c r="FI735" s="1697"/>
    </row>
    <row r="736" spans="1:165">
      <c r="A736" s="1697"/>
      <c r="B736" s="1697"/>
      <c r="C736" s="1697"/>
      <c r="D736" s="1697"/>
      <c r="E736" s="1697"/>
      <c r="F736" s="1697"/>
      <c r="G736" s="1697"/>
      <c r="H736" s="1697"/>
      <c r="I736" s="1697"/>
      <c r="J736" s="1697"/>
      <c r="K736" s="1697"/>
      <c r="L736" s="1697"/>
      <c r="M736" s="1697"/>
      <c r="N736" s="1697"/>
      <c r="O736" s="1697"/>
      <c r="P736" s="1697"/>
      <c r="Q736" s="1697"/>
      <c r="R736" s="1697"/>
      <c r="S736" s="1697"/>
      <c r="T736" s="1697"/>
      <c r="U736" s="1697"/>
      <c r="V736" s="1697"/>
      <c r="W736" s="1697"/>
      <c r="X736" s="1697"/>
      <c r="Y736" s="1697"/>
      <c r="Z736" s="1697"/>
      <c r="AA736" s="1697"/>
      <c r="AB736" s="1697"/>
      <c r="AC736" s="1697"/>
      <c r="AD736" s="1697"/>
      <c r="AE736" s="1697"/>
      <c r="AF736" s="1697"/>
      <c r="AG736" s="1697"/>
      <c r="AH736" s="1697"/>
      <c r="AI736" s="1697"/>
      <c r="AJ736" s="1697"/>
      <c r="AK736" s="1697"/>
      <c r="AL736" s="1697"/>
      <c r="AM736" s="1697"/>
      <c r="AN736" s="1697"/>
      <c r="AO736" s="1697"/>
      <c r="AP736" s="1697"/>
      <c r="AQ736" s="1697"/>
      <c r="AR736" s="1697"/>
      <c r="AS736" s="1697"/>
      <c r="AT736" s="1697"/>
      <c r="AU736" s="1697"/>
      <c r="AV736" s="1697"/>
      <c r="AW736" s="1697"/>
      <c r="AX736" s="1697"/>
      <c r="AY736" s="1697"/>
      <c r="AZ736" s="1697"/>
      <c r="BA736" s="1697"/>
      <c r="BB736" s="1697"/>
      <c r="BC736" s="1697"/>
      <c r="BD736" s="1697"/>
      <c r="BE736" s="1697"/>
      <c r="BF736" s="1697"/>
      <c r="BG736" s="1697"/>
      <c r="BH736" s="1697"/>
      <c r="BI736" s="1697"/>
      <c r="BJ736" s="1697"/>
      <c r="BK736" s="1697"/>
      <c r="BL736" s="1697"/>
      <c r="BM736" s="1697"/>
      <c r="BN736" s="1697"/>
      <c r="BO736" s="1697"/>
      <c r="BP736" s="1697"/>
      <c r="BQ736" s="1697"/>
      <c r="BR736" s="1697"/>
      <c r="BS736" s="1697"/>
      <c r="BT736" s="1697"/>
      <c r="BU736" s="1697"/>
      <c r="BV736" s="1697"/>
      <c r="BW736" s="1697"/>
      <c r="BX736" s="1697"/>
      <c r="BY736" s="1697"/>
      <c r="BZ736" s="1697"/>
      <c r="CA736" s="1697"/>
      <c r="CB736" s="1697"/>
      <c r="CC736" s="1697"/>
      <c r="CD736" s="1697"/>
      <c r="CE736" s="1697"/>
      <c r="CF736" s="1697"/>
      <c r="CG736" s="1697"/>
      <c r="CH736" s="1697"/>
      <c r="CI736" s="1697"/>
      <c r="CJ736" s="1697"/>
      <c r="CK736" s="1697"/>
      <c r="CL736" s="1697"/>
      <c r="CM736" s="1697"/>
      <c r="CN736" s="1697"/>
      <c r="CO736" s="1697"/>
      <c r="CP736" s="1697"/>
      <c r="CQ736" s="1697"/>
      <c r="CR736" s="1697"/>
      <c r="CS736" s="1697"/>
      <c r="CT736" s="1697"/>
      <c r="CU736" s="1697"/>
      <c r="CV736" s="1697"/>
      <c r="CW736" s="1697"/>
      <c r="CX736" s="1697"/>
      <c r="CY736" s="1697"/>
      <c r="CZ736" s="1697"/>
      <c r="DA736" s="1697"/>
      <c r="DB736" s="1697"/>
      <c r="DC736" s="1697"/>
      <c r="DD736" s="1697"/>
      <c r="DE736" s="1697"/>
      <c r="DF736" s="1697"/>
      <c r="DG736" s="1697"/>
      <c r="DH736" s="1697"/>
      <c r="DI736" s="1697"/>
      <c r="DJ736" s="1697"/>
      <c r="DK736" s="1697"/>
      <c r="DL736" s="1697"/>
      <c r="DM736" s="1697"/>
      <c r="DN736" s="1697"/>
      <c r="DO736" s="1697"/>
      <c r="DP736" s="1697"/>
      <c r="DQ736" s="1697"/>
      <c r="DR736" s="1697"/>
      <c r="DS736" s="1697"/>
      <c r="DT736" s="1697"/>
      <c r="DU736" s="1697"/>
      <c r="DV736" s="1697"/>
      <c r="DW736" s="1697"/>
      <c r="DX736" s="1697"/>
      <c r="DY736" s="1697"/>
      <c r="DZ736" s="1697"/>
      <c r="EA736" s="1697"/>
      <c r="EB736" s="1697"/>
      <c r="EC736" s="1697"/>
      <c r="ED736" s="1697"/>
      <c r="EE736" s="1697"/>
      <c r="EF736" s="1697"/>
      <c r="EG736" s="1697"/>
      <c r="EH736" s="1697"/>
      <c r="EI736" s="1697"/>
      <c r="EJ736" s="1697"/>
      <c r="EK736" s="1697"/>
      <c r="EL736" s="1697"/>
      <c r="EM736" s="1697"/>
      <c r="EN736" s="1697"/>
      <c r="EO736" s="1697"/>
      <c r="EP736" s="1697"/>
      <c r="EQ736" s="1697"/>
      <c r="ER736" s="1697"/>
      <c r="ES736" s="1697"/>
      <c r="ET736" s="1697"/>
      <c r="EU736" s="1697"/>
      <c r="EV736" s="1697"/>
      <c r="EW736" s="1697"/>
      <c r="EX736" s="1697"/>
      <c r="EY736" s="1697"/>
      <c r="EZ736" s="1697"/>
      <c r="FA736" s="1697"/>
      <c r="FB736" s="1697"/>
      <c r="FC736" s="1697"/>
      <c r="FD736" s="1697"/>
      <c r="FE736" s="1697"/>
      <c r="FF736" s="1697"/>
      <c r="FG736" s="1697"/>
      <c r="FH736" s="1697"/>
      <c r="FI736" s="1697"/>
    </row>
    <row r="737" spans="1:165">
      <c r="A737" s="1697"/>
      <c r="B737" s="1697"/>
      <c r="C737" s="1697"/>
      <c r="D737" s="1697"/>
      <c r="E737" s="1697"/>
      <c r="F737" s="1697"/>
      <c r="G737" s="1697"/>
      <c r="H737" s="1697"/>
      <c r="I737" s="1697"/>
      <c r="J737" s="1697"/>
      <c r="K737" s="1697"/>
      <c r="L737" s="1697"/>
      <c r="M737" s="1697"/>
      <c r="N737" s="1697"/>
      <c r="O737" s="1697"/>
      <c r="P737" s="1697"/>
      <c r="Q737" s="1697"/>
      <c r="R737" s="1697"/>
      <c r="S737" s="1697"/>
      <c r="T737" s="1697"/>
      <c r="U737" s="1697"/>
      <c r="V737" s="1697"/>
      <c r="W737" s="1697"/>
      <c r="X737" s="1697"/>
      <c r="Y737" s="1697"/>
      <c r="Z737" s="1697"/>
      <c r="AA737" s="1697"/>
      <c r="AB737" s="1697"/>
      <c r="AC737" s="1697"/>
      <c r="AD737" s="1697"/>
      <c r="AE737" s="1697"/>
      <c r="AF737" s="1697"/>
      <c r="AG737" s="1697"/>
      <c r="AH737" s="1697"/>
      <c r="AI737" s="1697"/>
      <c r="AJ737" s="1697"/>
      <c r="AK737" s="1697"/>
      <c r="AL737" s="1697"/>
      <c r="AM737" s="1697"/>
      <c r="AN737" s="1697"/>
      <c r="AO737" s="1697"/>
      <c r="AP737" s="1697"/>
      <c r="AQ737" s="1697"/>
      <c r="AR737" s="1697"/>
      <c r="AS737" s="1697"/>
      <c r="AT737" s="1697"/>
      <c r="AU737" s="1697"/>
      <c r="AV737" s="1697"/>
      <c r="AW737" s="1697"/>
      <c r="AX737" s="1697"/>
      <c r="AY737" s="1697"/>
      <c r="AZ737" s="1697"/>
      <c r="BA737" s="1697"/>
      <c r="BB737" s="1697"/>
      <c r="BC737" s="1697"/>
      <c r="BD737" s="1697"/>
      <c r="BE737" s="1697"/>
      <c r="BF737" s="1697"/>
      <c r="BG737" s="1697"/>
      <c r="BH737" s="1697"/>
      <c r="BI737" s="1697"/>
      <c r="BJ737" s="1697"/>
      <c r="BK737" s="1697"/>
      <c r="BL737" s="1697"/>
      <c r="BM737" s="1697"/>
      <c r="BN737" s="1697"/>
      <c r="BO737" s="1697"/>
      <c r="BP737" s="1697"/>
      <c r="BQ737" s="1697"/>
      <c r="BR737" s="1697"/>
      <c r="BS737" s="1697"/>
      <c r="BT737" s="1697"/>
      <c r="BU737" s="1697"/>
      <c r="BV737" s="1697"/>
      <c r="BW737" s="1697"/>
      <c r="BX737" s="1697"/>
      <c r="BY737" s="1697"/>
      <c r="BZ737" s="1697"/>
      <c r="CA737" s="1697"/>
      <c r="CB737" s="1697"/>
      <c r="CC737" s="1697"/>
      <c r="CD737" s="1697"/>
      <c r="CE737" s="1697"/>
      <c r="CF737" s="1697"/>
      <c r="CG737" s="1697"/>
      <c r="CH737" s="1697"/>
      <c r="CI737" s="1697"/>
      <c r="CJ737" s="1697"/>
      <c r="CK737" s="1697"/>
      <c r="CL737" s="1697"/>
      <c r="CM737" s="1697"/>
      <c r="CN737" s="1697"/>
      <c r="CO737" s="1697"/>
      <c r="CP737" s="1697"/>
      <c r="CQ737" s="1697"/>
      <c r="CR737" s="1697"/>
      <c r="CS737" s="1697"/>
      <c r="CT737" s="1697"/>
      <c r="CU737" s="1697"/>
      <c r="CV737" s="1697"/>
      <c r="CW737" s="1697"/>
      <c r="CX737" s="1697"/>
      <c r="CY737" s="1697"/>
      <c r="CZ737" s="1697"/>
      <c r="DA737" s="1697"/>
      <c r="DB737" s="1697"/>
      <c r="DC737" s="1697"/>
      <c r="DD737" s="1697"/>
      <c r="DE737" s="1697"/>
      <c r="DF737" s="1697"/>
      <c r="DG737" s="1697"/>
      <c r="DH737" s="1697"/>
      <c r="DI737" s="1697"/>
      <c r="DJ737" s="1697"/>
      <c r="DK737" s="1697"/>
      <c r="DL737" s="1697"/>
      <c r="DM737" s="1697"/>
      <c r="DN737" s="1697"/>
      <c r="DO737" s="1697"/>
      <c r="DP737" s="1697"/>
      <c r="DQ737" s="1697"/>
      <c r="DR737" s="1697"/>
      <c r="DS737" s="1697"/>
      <c r="DT737" s="1697"/>
      <c r="DU737" s="1697"/>
      <c r="DV737" s="1697"/>
      <c r="DW737" s="1697"/>
      <c r="DX737" s="1697"/>
      <c r="DY737" s="1697"/>
      <c r="DZ737" s="1697"/>
      <c r="EA737" s="1697"/>
      <c r="EB737" s="1697"/>
      <c r="EC737" s="1697"/>
      <c r="ED737" s="1697"/>
      <c r="EE737" s="1697"/>
      <c r="EF737" s="1697"/>
      <c r="EG737" s="1697"/>
      <c r="EH737" s="1697"/>
      <c r="EI737" s="1697"/>
      <c r="EJ737" s="1697"/>
      <c r="EK737" s="1697"/>
      <c r="EL737" s="1697"/>
      <c r="EM737" s="1697"/>
      <c r="EN737" s="1697"/>
      <c r="EO737" s="1697"/>
      <c r="EP737" s="1697"/>
      <c r="EQ737" s="1697"/>
      <c r="ER737" s="1697"/>
      <c r="ES737" s="1697"/>
      <c r="ET737" s="1697"/>
      <c r="EU737" s="1697"/>
      <c r="EV737" s="1697"/>
      <c r="EW737" s="1697"/>
      <c r="EX737" s="1697"/>
      <c r="EY737" s="1697"/>
      <c r="EZ737" s="1697"/>
      <c r="FA737" s="1697"/>
      <c r="FB737" s="1697"/>
      <c r="FC737" s="1697"/>
      <c r="FD737" s="1697"/>
      <c r="FE737" s="1697"/>
      <c r="FF737" s="1697"/>
      <c r="FG737" s="1697"/>
      <c r="FH737" s="1697"/>
      <c r="FI737" s="1697"/>
    </row>
    <row r="738" spans="1:165">
      <c r="A738" s="1697"/>
      <c r="B738" s="1697"/>
      <c r="C738" s="1697"/>
      <c r="D738" s="1697"/>
      <c r="E738" s="1697"/>
      <c r="F738" s="1697"/>
      <c r="G738" s="1697"/>
      <c r="H738" s="1697"/>
      <c r="I738" s="1697"/>
      <c r="J738" s="1697"/>
      <c r="K738" s="1697"/>
      <c r="L738" s="1697"/>
      <c r="M738" s="1697"/>
      <c r="N738" s="1697"/>
      <c r="O738" s="1697"/>
      <c r="P738" s="1697"/>
      <c r="Q738" s="1697"/>
      <c r="R738" s="1697"/>
      <c r="S738" s="1697"/>
      <c r="T738" s="1697"/>
      <c r="U738" s="1697"/>
      <c r="V738" s="1697"/>
      <c r="W738" s="1697"/>
      <c r="X738" s="1697"/>
      <c r="Y738" s="1697"/>
      <c r="Z738" s="1697"/>
      <c r="AA738" s="1697"/>
      <c r="AB738" s="1697"/>
      <c r="AC738" s="1697"/>
      <c r="AD738" s="1697"/>
      <c r="AE738" s="1697"/>
      <c r="AF738" s="1697"/>
      <c r="AG738" s="1697"/>
      <c r="AH738" s="1697"/>
      <c r="AI738" s="1697"/>
      <c r="AJ738" s="1697"/>
      <c r="AK738" s="1697"/>
      <c r="AL738" s="1697"/>
      <c r="AM738" s="1697"/>
      <c r="AN738" s="1697"/>
      <c r="AO738" s="1697"/>
      <c r="AP738" s="1697"/>
      <c r="AQ738" s="1697"/>
      <c r="AR738" s="1697"/>
      <c r="AS738" s="1697"/>
      <c r="AT738" s="1697"/>
      <c r="AU738" s="1697"/>
      <c r="AV738" s="1697"/>
      <c r="AW738" s="1697"/>
      <c r="AX738" s="1697"/>
      <c r="AY738" s="1697"/>
      <c r="AZ738" s="1697"/>
      <c r="BA738" s="1697"/>
      <c r="BB738" s="1697"/>
      <c r="BC738" s="1697"/>
      <c r="BD738" s="1697"/>
      <c r="BE738" s="1697"/>
      <c r="BF738" s="1697"/>
      <c r="BG738" s="1697"/>
      <c r="BH738" s="1697"/>
      <c r="BI738" s="1697"/>
      <c r="BJ738" s="1697"/>
      <c r="BK738" s="1697"/>
      <c r="BL738" s="1697"/>
      <c r="BM738" s="1697"/>
      <c r="BN738" s="1697"/>
      <c r="BO738" s="1697"/>
      <c r="BP738" s="1697"/>
      <c r="BQ738" s="1697"/>
      <c r="BR738" s="1697"/>
      <c r="BS738" s="1697"/>
      <c r="BT738" s="1697"/>
      <c r="BU738" s="1697"/>
      <c r="BV738" s="1697"/>
      <c r="BW738" s="1697"/>
      <c r="BX738" s="1697"/>
      <c r="BY738" s="1697"/>
      <c r="BZ738" s="1697"/>
      <c r="CA738" s="1697"/>
      <c r="CB738" s="1697"/>
      <c r="CC738" s="1697"/>
      <c r="CD738" s="1697"/>
      <c r="CE738" s="1697"/>
      <c r="CF738" s="1697"/>
      <c r="CG738" s="1697"/>
      <c r="CH738" s="1697"/>
      <c r="CI738" s="1697"/>
      <c r="CJ738" s="1697"/>
      <c r="CK738" s="1697"/>
      <c r="CL738" s="1697"/>
      <c r="CM738" s="1697"/>
      <c r="CN738" s="1697"/>
      <c r="CO738" s="1697"/>
      <c r="CP738" s="1697"/>
      <c r="CQ738" s="1697"/>
      <c r="CR738" s="1697"/>
      <c r="CS738" s="1697"/>
      <c r="CT738" s="1697"/>
      <c r="CU738" s="1697"/>
      <c r="CV738" s="1697"/>
      <c r="CW738" s="1697"/>
      <c r="CX738" s="1697"/>
      <c r="CY738" s="1697"/>
      <c r="CZ738" s="1697"/>
      <c r="DA738" s="1697"/>
      <c r="DB738" s="1697"/>
      <c r="DC738" s="1697"/>
      <c r="DD738" s="1697"/>
      <c r="DE738" s="1697"/>
      <c r="DF738" s="1697"/>
      <c r="DG738" s="1697"/>
      <c r="DH738" s="1697"/>
      <c r="DI738" s="1697"/>
      <c r="DJ738" s="1697"/>
      <c r="DK738" s="1697"/>
      <c r="DL738" s="1697"/>
      <c r="DM738" s="1697"/>
      <c r="DN738" s="1697"/>
      <c r="DO738" s="1697"/>
      <c r="DP738" s="1697"/>
      <c r="DQ738" s="1697"/>
      <c r="DR738" s="1697"/>
      <c r="DS738" s="1697"/>
      <c r="DT738" s="1697"/>
      <c r="DU738" s="1697"/>
      <c r="DV738" s="1697"/>
      <c r="DW738" s="1697"/>
      <c r="DX738" s="1697"/>
      <c r="DY738" s="1697"/>
      <c r="DZ738" s="1697"/>
      <c r="EA738" s="1697"/>
      <c r="EB738" s="1697"/>
      <c r="EC738" s="1697"/>
      <c r="ED738" s="1697"/>
      <c r="EE738" s="1697"/>
      <c r="EF738" s="1697"/>
      <c r="EG738" s="1697"/>
      <c r="EH738" s="1697"/>
      <c r="EI738" s="1697"/>
      <c r="EJ738" s="1697"/>
      <c r="EK738" s="1697"/>
      <c r="EL738" s="1697"/>
      <c r="EM738" s="1697"/>
      <c r="EN738" s="1697"/>
      <c r="EO738" s="1697"/>
      <c r="EP738" s="1697"/>
      <c r="EQ738" s="1697"/>
      <c r="ER738" s="1697"/>
      <c r="ES738" s="1697"/>
      <c r="ET738" s="1697"/>
      <c r="EU738" s="1697"/>
      <c r="EV738" s="1697"/>
      <c r="EW738" s="1697"/>
      <c r="EX738" s="1697"/>
      <c r="EY738" s="1697"/>
      <c r="EZ738" s="1697"/>
      <c r="FA738" s="1697"/>
      <c r="FB738" s="1697"/>
      <c r="FC738" s="1697"/>
      <c r="FD738" s="1697"/>
      <c r="FE738" s="1697"/>
      <c r="FF738" s="1697"/>
      <c r="FG738" s="1697"/>
      <c r="FH738" s="1697"/>
      <c r="FI738" s="1697"/>
    </row>
    <row r="739" spans="1:165">
      <c r="A739" s="1697"/>
      <c r="B739" s="1697"/>
      <c r="C739" s="1697"/>
      <c r="D739" s="1697"/>
      <c r="E739" s="1697"/>
      <c r="F739" s="1697"/>
      <c r="G739" s="1697"/>
      <c r="H739" s="1697"/>
      <c r="I739" s="1697"/>
      <c r="J739" s="1697"/>
      <c r="K739" s="1697"/>
      <c r="L739" s="1697"/>
      <c r="M739" s="1697"/>
      <c r="N739" s="1697"/>
      <c r="O739" s="1697"/>
      <c r="P739" s="1697"/>
      <c r="Q739" s="1697"/>
      <c r="R739" s="1697"/>
      <c r="S739" s="1697"/>
      <c r="T739" s="1697"/>
      <c r="U739" s="1697"/>
      <c r="V739" s="1697"/>
      <c r="W739" s="1697"/>
      <c r="X739" s="1697"/>
      <c r="Y739" s="1697"/>
      <c r="Z739" s="1697"/>
      <c r="AA739" s="1697"/>
      <c r="AB739" s="1697"/>
      <c r="AC739" s="1697"/>
      <c r="AD739" s="1697"/>
      <c r="AE739" s="1697"/>
      <c r="AF739" s="1697"/>
      <c r="AG739" s="1697"/>
      <c r="AH739" s="1697"/>
      <c r="AI739" s="1697"/>
      <c r="AJ739" s="1697"/>
      <c r="AK739" s="1697"/>
      <c r="AL739" s="1697"/>
      <c r="AM739" s="1697"/>
      <c r="AN739" s="1697"/>
      <c r="AO739" s="1697"/>
      <c r="AP739" s="1697"/>
      <c r="AQ739" s="1697"/>
      <c r="AR739" s="1697"/>
      <c r="AS739" s="1697"/>
      <c r="AT739" s="1697"/>
      <c r="AU739" s="1697"/>
      <c r="AV739" s="1697"/>
      <c r="AW739" s="1697"/>
      <c r="AX739" s="1697"/>
      <c r="AY739" s="1697"/>
      <c r="AZ739" s="1697"/>
      <c r="BA739" s="1697"/>
      <c r="BB739" s="1697"/>
      <c r="BC739" s="1697"/>
      <c r="BD739" s="1697"/>
      <c r="BE739" s="1697"/>
      <c r="BF739" s="1697"/>
      <c r="BG739" s="1697"/>
      <c r="BH739" s="1697"/>
      <c r="BI739" s="1697"/>
      <c r="BJ739" s="1697"/>
      <c r="BK739" s="1697"/>
      <c r="BL739" s="1697"/>
      <c r="BM739" s="1697"/>
      <c r="BN739" s="1697"/>
      <c r="BO739" s="1697"/>
      <c r="BP739" s="1697"/>
      <c r="BQ739" s="1697"/>
      <c r="BR739" s="1697"/>
      <c r="BS739" s="1697"/>
      <c r="BT739" s="1697"/>
      <c r="BU739" s="1697"/>
      <c r="BV739" s="1697"/>
      <c r="BW739" s="1697"/>
      <c r="BX739" s="1697"/>
      <c r="BY739" s="1697"/>
      <c r="BZ739" s="1697"/>
      <c r="CA739" s="1697"/>
      <c r="CB739" s="1697"/>
      <c r="CC739" s="1697"/>
      <c r="CD739" s="1697"/>
      <c r="CE739" s="1697"/>
      <c r="CF739" s="1697"/>
      <c r="CG739" s="1697"/>
      <c r="CH739" s="1697"/>
      <c r="CI739" s="1697"/>
      <c r="CJ739" s="1697"/>
      <c r="CK739" s="1697"/>
      <c r="CL739" s="1697"/>
      <c r="CM739" s="1697"/>
      <c r="CN739" s="1697"/>
      <c r="CO739" s="1697"/>
      <c r="CP739" s="1697"/>
      <c r="CQ739" s="1697"/>
      <c r="CR739" s="1697"/>
      <c r="CS739" s="1697"/>
      <c r="CT739" s="1697"/>
      <c r="CU739" s="1697"/>
      <c r="CV739" s="1697"/>
      <c r="CW739" s="1697"/>
      <c r="CX739" s="1697"/>
      <c r="CY739" s="1697"/>
      <c r="CZ739" s="1697"/>
      <c r="DA739" s="1697"/>
      <c r="DB739" s="1697"/>
      <c r="DC739" s="1697"/>
      <c r="DD739" s="1697"/>
      <c r="DE739" s="1697"/>
      <c r="DF739" s="1697"/>
      <c r="DG739" s="1697"/>
      <c r="DH739" s="1697"/>
      <c r="DI739" s="1697"/>
      <c r="DJ739" s="1697"/>
      <c r="DK739" s="1697"/>
      <c r="DL739" s="1697"/>
      <c r="DM739" s="1697"/>
      <c r="DN739" s="1697"/>
      <c r="DO739" s="1697"/>
      <c r="DP739" s="1697"/>
      <c r="DQ739" s="1697"/>
      <c r="DR739" s="1697"/>
      <c r="DS739" s="1697"/>
      <c r="DT739" s="1697"/>
      <c r="DU739" s="1697"/>
      <c r="DV739" s="1697"/>
      <c r="DW739" s="1697"/>
      <c r="DX739" s="1697"/>
      <c r="DY739" s="1697"/>
      <c r="DZ739" s="1697"/>
      <c r="EA739" s="1697"/>
      <c r="EB739" s="1697"/>
      <c r="EC739" s="1697"/>
      <c r="ED739" s="1697"/>
      <c r="EE739" s="1697"/>
      <c r="EF739" s="1697"/>
      <c r="EG739" s="1697"/>
      <c r="EH739" s="1697"/>
      <c r="EI739" s="1697"/>
      <c r="EJ739" s="1697"/>
      <c r="EK739" s="1697"/>
      <c r="EL739" s="1697"/>
      <c r="EM739" s="1697"/>
      <c r="EN739" s="1697"/>
      <c r="EO739" s="1697"/>
      <c r="EP739" s="1697"/>
      <c r="EQ739" s="1697"/>
      <c r="ER739" s="1697"/>
      <c r="ES739" s="1697"/>
      <c r="ET739" s="1697"/>
      <c r="EU739" s="1697"/>
      <c r="EV739" s="1697"/>
      <c r="EW739" s="1697"/>
      <c r="EX739" s="1697"/>
      <c r="EY739" s="1697"/>
      <c r="EZ739" s="1697"/>
      <c r="FA739" s="1697"/>
      <c r="FB739" s="1697"/>
      <c r="FC739" s="1697"/>
      <c r="FD739" s="1697"/>
      <c r="FE739" s="1697"/>
      <c r="FF739" s="1697"/>
      <c r="FG739" s="1697"/>
      <c r="FH739" s="1697"/>
      <c r="FI739" s="1697"/>
    </row>
    <row r="740" spans="1:165">
      <c r="A740" s="1697"/>
      <c r="B740" s="1697"/>
      <c r="C740" s="1697"/>
      <c r="D740" s="1697"/>
      <c r="E740" s="1697"/>
      <c r="F740" s="1697"/>
      <c r="G740" s="1697"/>
      <c r="H740" s="1697"/>
      <c r="I740" s="1697"/>
      <c r="J740" s="1697"/>
      <c r="K740" s="1697"/>
      <c r="L740" s="1697"/>
      <c r="M740" s="1697"/>
      <c r="N740" s="1697"/>
      <c r="O740" s="1697"/>
      <c r="P740" s="1697"/>
      <c r="Q740" s="1697"/>
      <c r="R740" s="1697"/>
      <c r="S740" s="1697"/>
      <c r="T740" s="1697"/>
      <c r="U740" s="1697"/>
      <c r="V740" s="1697"/>
      <c r="W740" s="1697"/>
      <c r="X740" s="1697"/>
      <c r="Y740" s="1697"/>
      <c r="Z740" s="1697"/>
      <c r="AA740" s="1697"/>
      <c r="AB740" s="1697"/>
      <c r="AC740" s="1697"/>
      <c r="AD740" s="1697"/>
      <c r="AE740" s="1697"/>
      <c r="AF740" s="1697"/>
      <c r="AG740" s="1697"/>
      <c r="AH740" s="1697"/>
      <c r="AI740" s="1697"/>
      <c r="AJ740" s="1697"/>
      <c r="AK740" s="1697"/>
      <c r="AL740" s="1697"/>
      <c r="AM740" s="1697"/>
      <c r="AN740" s="1697"/>
      <c r="AO740" s="1697"/>
      <c r="AP740" s="1697"/>
      <c r="AQ740" s="1697"/>
      <c r="AR740" s="1697"/>
      <c r="AS740" s="1697"/>
      <c r="AT740" s="1697"/>
      <c r="AU740" s="1697"/>
      <c r="AV740" s="1697"/>
      <c r="AW740" s="1697"/>
      <c r="AX740" s="1697"/>
      <c r="AY740" s="1697"/>
      <c r="AZ740" s="1697"/>
      <c r="BA740" s="1697"/>
      <c r="BB740" s="1697"/>
      <c r="BC740" s="1697"/>
      <c r="BD740" s="1697"/>
      <c r="BE740" s="1697"/>
      <c r="BF740" s="1697"/>
      <c r="BG740" s="1697"/>
      <c r="BH740" s="1697"/>
      <c r="BI740" s="1697"/>
      <c r="BJ740" s="1697"/>
      <c r="BK740" s="1697"/>
      <c r="BL740" s="1697"/>
      <c r="BM740" s="1697"/>
      <c r="BN740" s="1697"/>
      <c r="BO740" s="1697"/>
      <c r="BP740" s="1697"/>
      <c r="BQ740" s="1697"/>
      <c r="BR740" s="1697"/>
      <c r="BS740" s="1697"/>
      <c r="BT740" s="1697"/>
      <c r="BU740" s="1697"/>
      <c r="BV740" s="1697"/>
      <c r="BW740" s="1697"/>
      <c r="BX740" s="1697"/>
      <c r="BY740" s="1697"/>
      <c r="BZ740" s="1697"/>
      <c r="CA740" s="1697"/>
      <c r="CB740" s="1697"/>
      <c r="CC740" s="1697"/>
      <c r="CD740" s="1697"/>
      <c r="CE740" s="1697"/>
      <c r="CF740" s="1697"/>
      <c r="CG740" s="1697"/>
      <c r="CH740" s="1697"/>
      <c r="CI740" s="1697"/>
      <c r="CJ740" s="1697"/>
      <c r="CK740" s="1697"/>
      <c r="CL740" s="1697"/>
      <c r="CM740" s="1697"/>
      <c r="CN740" s="1697"/>
      <c r="CO740" s="1697"/>
      <c r="CP740" s="1697"/>
      <c r="CQ740" s="1697"/>
      <c r="CR740" s="1697"/>
      <c r="CS740" s="1697"/>
      <c r="CT740" s="1697"/>
      <c r="CU740" s="1697"/>
      <c r="CV740" s="1697"/>
      <c r="CW740" s="1697"/>
      <c r="CX740" s="1697"/>
      <c r="CY740" s="1697"/>
      <c r="CZ740" s="1697"/>
      <c r="DA740" s="1697"/>
      <c r="DB740" s="1697"/>
      <c r="DC740" s="1697"/>
      <c r="DD740" s="1697"/>
      <c r="DE740" s="1697"/>
      <c r="DF740" s="1697"/>
      <c r="DG740" s="1697"/>
      <c r="DH740" s="1697"/>
      <c r="DI740" s="1697"/>
      <c r="DJ740" s="1697"/>
      <c r="DK740" s="1697"/>
      <c r="DL740" s="1697"/>
      <c r="DM740" s="1697"/>
      <c r="DN740" s="1697"/>
      <c r="DO740" s="1697"/>
      <c r="DP740" s="1697"/>
      <c r="DQ740" s="1697"/>
      <c r="DR740" s="1697"/>
      <c r="DS740" s="1697"/>
      <c r="DT740" s="1697"/>
      <c r="DU740" s="1697"/>
      <c r="DV740" s="1697"/>
      <c r="DW740" s="1697"/>
      <c r="DX740" s="1697"/>
      <c r="DY740" s="1697"/>
      <c r="DZ740" s="1697"/>
      <c r="EA740" s="1697"/>
      <c r="EB740" s="1697"/>
      <c r="EC740" s="1697"/>
      <c r="ED740" s="1697"/>
      <c r="EE740" s="1697"/>
      <c r="EF740" s="1697"/>
      <c r="EG740" s="1697"/>
      <c r="EH740" s="1697"/>
      <c r="EI740" s="1697"/>
      <c r="EJ740" s="1697"/>
      <c r="EK740" s="1697"/>
      <c r="EL740" s="1697"/>
      <c r="EM740" s="1697"/>
      <c r="EN740" s="1697"/>
      <c r="EO740" s="1697"/>
      <c r="EP740" s="1697"/>
      <c r="EQ740" s="1697"/>
      <c r="ER740" s="1697"/>
      <c r="ES740" s="1697"/>
      <c r="ET740" s="1697"/>
      <c r="EU740" s="1697"/>
      <c r="EV740" s="1697"/>
      <c r="EW740" s="1697"/>
      <c r="EX740" s="1697"/>
      <c r="EY740" s="1697"/>
      <c r="EZ740" s="1697"/>
      <c r="FA740" s="1697"/>
      <c r="FB740" s="1697"/>
      <c r="FC740" s="1697"/>
      <c r="FD740" s="1697"/>
      <c r="FE740" s="1697"/>
      <c r="FF740" s="1697"/>
      <c r="FG740" s="1697"/>
      <c r="FH740" s="1697"/>
      <c r="FI740" s="1697"/>
    </row>
    <row r="741" spans="1:165">
      <c r="A741" s="1697"/>
      <c r="B741" s="1697"/>
      <c r="C741" s="1697"/>
      <c r="D741" s="1697"/>
      <c r="E741" s="1697"/>
      <c r="F741" s="1697"/>
      <c r="G741" s="1697"/>
      <c r="H741" s="1697"/>
      <c r="I741" s="1697"/>
      <c r="J741" s="1697"/>
      <c r="K741" s="1697"/>
      <c r="L741" s="1697"/>
      <c r="M741" s="1697"/>
      <c r="N741" s="1697"/>
      <c r="O741" s="1697"/>
      <c r="P741" s="1697"/>
      <c r="Q741" s="1697"/>
      <c r="R741" s="1697"/>
      <c r="S741" s="1697"/>
      <c r="T741" s="1697"/>
      <c r="U741" s="1697"/>
      <c r="V741" s="1697"/>
      <c r="W741" s="1697"/>
      <c r="X741" s="1697"/>
      <c r="Y741" s="1697"/>
      <c r="Z741" s="1697"/>
      <c r="AA741" s="1697"/>
      <c r="AB741" s="1697"/>
      <c r="AC741" s="1697"/>
      <c r="AD741" s="1697"/>
      <c r="AE741" s="1697"/>
      <c r="AF741" s="1697"/>
      <c r="AG741" s="1697"/>
      <c r="AH741" s="1697"/>
      <c r="AI741" s="1697"/>
      <c r="AJ741" s="1697"/>
      <c r="AK741" s="1697"/>
      <c r="AL741" s="1697"/>
      <c r="AM741" s="1697"/>
      <c r="AN741" s="1697"/>
      <c r="AO741" s="1697"/>
      <c r="AP741" s="1697"/>
      <c r="AQ741" s="1697"/>
      <c r="AR741" s="1697"/>
      <c r="AS741" s="1697"/>
      <c r="AT741" s="1697"/>
      <c r="AU741" s="1697"/>
      <c r="AV741" s="1697"/>
      <c r="AW741" s="1697"/>
      <c r="AX741" s="1697"/>
      <c r="AY741" s="1697"/>
      <c r="AZ741" s="1697"/>
      <c r="BA741" s="1697"/>
      <c r="BB741" s="1697"/>
      <c r="BC741" s="1697"/>
      <c r="BD741" s="1697"/>
      <c r="BE741" s="1697"/>
      <c r="BF741" s="1697"/>
      <c r="BG741" s="1697"/>
      <c r="BH741" s="1697"/>
      <c r="BI741" s="1697"/>
      <c r="BJ741" s="1697"/>
      <c r="BK741" s="1697"/>
      <c r="BL741" s="1697"/>
      <c r="BM741" s="1697"/>
      <c r="BN741" s="1697"/>
      <c r="BO741" s="1697"/>
      <c r="BP741" s="1697"/>
      <c r="BQ741" s="1697"/>
      <c r="BR741" s="1697"/>
      <c r="BS741" s="1697"/>
      <c r="BT741" s="1697"/>
      <c r="BU741" s="1697"/>
      <c r="BV741" s="1697"/>
      <c r="BW741" s="1697"/>
      <c r="BX741" s="1697"/>
      <c r="BY741" s="1697"/>
      <c r="BZ741" s="1697"/>
      <c r="CA741" s="1697"/>
      <c r="CB741" s="1697"/>
      <c r="CC741" s="1697"/>
      <c r="CD741" s="1697"/>
      <c r="CE741" s="1697"/>
      <c r="CF741" s="1697"/>
      <c r="CG741" s="1697"/>
      <c r="CH741" s="1697"/>
      <c r="CI741" s="1697"/>
      <c r="CJ741" s="1697"/>
      <c r="CK741" s="1697"/>
      <c r="CL741" s="1697"/>
      <c r="CM741" s="1697"/>
      <c r="CN741" s="1697"/>
      <c r="CO741" s="1697"/>
      <c r="CP741" s="1697"/>
      <c r="CQ741" s="1697"/>
      <c r="CR741" s="1697"/>
      <c r="CS741" s="1697"/>
      <c r="CT741" s="1697"/>
      <c r="CU741" s="1697"/>
      <c r="CV741" s="1697"/>
      <c r="CW741" s="1697"/>
      <c r="CX741" s="1697"/>
      <c r="CY741" s="1697"/>
      <c r="CZ741" s="1697"/>
      <c r="DA741" s="1697"/>
      <c r="DB741" s="1697"/>
      <c r="DC741" s="1697"/>
      <c r="DD741" s="1697"/>
      <c r="DE741" s="1697"/>
      <c r="DF741" s="1697"/>
      <c r="DG741" s="1697"/>
      <c r="DH741" s="1697"/>
      <c r="DI741" s="1697"/>
      <c r="DJ741" s="1697"/>
      <c r="DK741" s="1697"/>
      <c r="DL741" s="1697"/>
      <c r="DM741" s="1697"/>
      <c r="DN741" s="1697"/>
      <c r="DO741" s="1697"/>
      <c r="DP741" s="1697"/>
      <c r="DQ741" s="1697"/>
      <c r="DR741" s="1697"/>
      <c r="DS741" s="1697"/>
      <c r="DT741" s="1697"/>
      <c r="DU741" s="1697"/>
      <c r="DV741" s="1697"/>
      <c r="DW741" s="1697"/>
      <c r="DX741" s="1697"/>
      <c r="DY741" s="1697"/>
      <c r="DZ741" s="1697"/>
      <c r="EA741" s="1697"/>
      <c r="EB741" s="1697"/>
      <c r="EC741" s="1697"/>
      <c r="ED741" s="1697"/>
      <c r="EE741" s="1697"/>
      <c r="EF741" s="1697"/>
      <c r="EG741" s="1697"/>
      <c r="EH741" s="1697"/>
      <c r="EI741" s="1697"/>
      <c r="EJ741" s="1697"/>
      <c r="EK741" s="1697"/>
      <c r="EL741" s="1697"/>
      <c r="EM741" s="1697"/>
      <c r="EN741" s="1697"/>
      <c r="EO741" s="1697"/>
      <c r="EP741" s="1697"/>
      <c r="EQ741" s="1697"/>
      <c r="ER741" s="1697"/>
      <c r="ES741" s="1697"/>
      <c r="ET741" s="1697"/>
      <c r="EU741" s="1697"/>
      <c r="EV741" s="1697"/>
      <c r="EW741" s="1697"/>
      <c r="EX741" s="1697"/>
      <c r="EY741" s="1697"/>
      <c r="EZ741" s="1697"/>
      <c r="FA741" s="1697"/>
      <c r="FB741" s="1697"/>
      <c r="FC741" s="1697"/>
      <c r="FD741" s="1697"/>
      <c r="FE741" s="1697"/>
      <c r="FF741" s="1697"/>
      <c r="FG741" s="1697"/>
      <c r="FH741" s="1697"/>
      <c r="FI741" s="1697"/>
    </row>
    <row r="742" spans="1:165">
      <c r="A742" s="1697"/>
      <c r="B742" s="1697"/>
      <c r="C742" s="1697"/>
      <c r="D742" s="1697"/>
      <c r="E742" s="1697"/>
      <c r="F742" s="1697"/>
      <c r="G742" s="1697"/>
      <c r="H742" s="1697"/>
      <c r="I742" s="1697"/>
      <c r="J742" s="1697"/>
      <c r="K742" s="1697"/>
      <c r="L742" s="1697"/>
      <c r="M742" s="1697"/>
      <c r="N742" s="1697"/>
      <c r="O742" s="1697"/>
      <c r="P742" s="1697"/>
      <c r="Q742" s="1697"/>
      <c r="R742" s="1697"/>
      <c r="S742" s="1697"/>
      <c r="T742" s="1697"/>
      <c r="U742" s="1697"/>
      <c r="V742" s="1697"/>
      <c r="W742" s="1697"/>
      <c r="X742" s="1697"/>
      <c r="Y742" s="1697"/>
      <c r="Z742" s="1697"/>
      <c r="AA742" s="1697"/>
      <c r="AB742" s="1697"/>
      <c r="AC742" s="1697"/>
      <c r="AD742" s="1697"/>
      <c r="AE742" s="1697"/>
      <c r="AF742" s="1697"/>
      <c r="AG742" s="1697"/>
      <c r="AH742" s="1697"/>
      <c r="AI742" s="1697"/>
      <c r="AJ742" s="1697"/>
      <c r="AK742" s="1697"/>
      <c r="AL742" s="1697"/>
      <c r="AM742" s="1697"/>
      <c r="AN742" s="1697"/>
      <c r="AO742" s="1697"/>
      <c r="AP742" s="1697"/>
      <c r="AQ742" s="1697"/>
      <c r="AR742" s="1697"/>
      <c r="AS742" s="1697"/>
      <c r="AT742" s="1697"/>
      <c r="AU742" s="1697"/>
      <c r="AV742" s="1697"/>
      <c r="AW742" s="1697"/>
      <c r="AX742" s="1697"/>
      <c r="AY742" s="1697"/>
      <c r="AZ742" s="1697"/>
      <c r="BA742" s="1697"/>
      <c r="BB742" s="1697"/>
      <c r="BC742" s="1697"/>
      <c r="BD742" s="1697"/>
      <c r="BE742" s="1697"/>
      <c r="BF742" s="1697"/>
      <c r="BG742" s="1697"/>
      <c r="BH742" s="1697"/>
      <c r="BI742" s="1697"/>
      <c r="BJ742" s="1697"/>
      <c r="BK742" s="1697"/>
      <c r="BL742" s="1697"/>
      <c r="BM742" s="1697"/>
      <c r="BN742" s="1697"/>
      <c r="BO742" s="1697"/>
      <c r="BP742" s="1697"/>
      <c r="BQ742" s="1697"/>
      <c r="BR742" s="1697"/>
      <c r="BS742" s="1697"/>
      <c r="BT742" s="1697"/>
      <c r="BU742" s="1697"/>
      <c r="BV742" s="1697"/>
      <c r="BW742" s="1697"/>
      <c r="BX742" s="1697"/>
      <c r="BY742" s="1697"/>
      <c r="BZ742" s="1697"/>
      <c r="CA742" s="1697"/>
      <c r="CB742" s="1697"/>
      <c r="CC742" s="1697"/>
      <c r="CD742" s="1697"/>
      <c r="CE742" s="1697"/>
      <c r="CF742" s="1697"/>
      <c r="CG742" s="1697"/>
      <c r="CH742" s="1697"/>
      <c r="CI742" s="1697"/>
      <c r="CJ742" s="1697"/>
      <c r="CK742" s="1697"/>
      <c r="CL742" s="1697"/>
      <c r="CM742" s="1697"/>
      <c r="CN742" s="1697"/>
      <c r="CO742" s="1697"/>
      <c r="CP742" s="1697"/>
      <c r="CQ742" s="1697"/>
      <c r="CR742" s="1697"/>
      <c r="CS742" s="1697"/>
      <c r="CT742" s="1697"/>
      <c r="CU742" s="1697"/>
      <c r="CV742" s="1697"/>
      <c r="CW742" s="1697"/>
      <c r="CX742" s="1697"/>
      <c r="CY742" s="1697"/>
      <c r="CZ742" s="1697"/>
      <c r="DA742" s="1697"/>
      <c r="DB742" s="1697"/>
      <c r="DC742" s="1697"/>
      <c r="DD742" s="1697"/>
      <c r="DE742" s="1697"/>
      <c r="DF742" s="1697"/>
      <c r="DG742" s="1697"/>
      <c r="DH742" s="1697"/>
      <c r="DI742" s="1697"/>
      <c r="DJ742" s="1697"/>
      <c r="DK742" s="1697"/>
      <c r="DL742" s="1697"/>
      <c r="DM742" s="1697"/>
      <c r="DN742" s="1697"/>
      <c r="DO742" s="1697"/>
      <c r="DP742" s="1697"/>
      <c r="DQ742" s="1697"/>
      <c r="DR742" s="1697"/>
      <c r="DS742" s="1697"/>
      <c r="DT742" s="1697"/>
      <c r="DU742" s="1697"/>
      <c r="DV742" s="1697"/>
      <c r="DW742" s="1697"/>
      <c r="DX742" s="1697"/>
      <c r="DY742" s="1697"/>
      <c r="DZ742" s="1697"/>
      <c r="EA742" s="1697"/>
      <c r="EB742" s="1697"/>
      <c r="EC742" s="1697"/>
      <c r="ED742" s="1697"/>
      <c r="EE742" s="1697"/>
      <c r="EF742" s="1697"/>
      <c r="EG742" s="1697"/>
      <c r="EH742" s="1697"/>
      <c r="EI742" s="1697"/>
      <c r="EJ742" s="1697"/>
      <c r="EK742" s="1697"/>
      <c r="EL742" s="1697"/>
      <c r="EM742" s="1697"/>
      <c r="EN742" s="1697"/>
      <c r="EO742" s="1697"/>
      <c r="EP742" s="1697"/>
      <c r="EQ742" s="1697"/>
      <c r="ER742" s="1697"/>
      <c r="ES742" s="1697"/>
      <c r="ET742" s="1697"/>
      <c r="EU742" s="1697"/>
      <c r="EV742" s="1697"/>
      <c r="EW742" s="1697"/>
      <c r="EX742" s="1697"/>
      <c r="EY742" s="1697"/>
      <c r="EZ742" s="1697"/>
      <c r="FA742" s="1697"/>
      <c r="FB742" s="1697"/>
      <c r="FC742" s="1697"/>
      <c r="FD742" s="1697"/>
      <c r="FE742" s="1697"/>
      <c r="FF742" s="1697"/>
      <c r="FG742" s="1697"/>
      <c r="FH742" s="1697"/>
      <c r="FI742" s="1697"/>
    </row>
    <row r="743" spans="1:165">
      <c r="A743" s="1697"/>
      <c r="B743" s="1697"/>
      <c r="C743" s="1697"/>
      <c r="D743" s="1697"/>
      <c r="E743" s="1697"/>
      <c r="F743" s="1697"/>
      <c r="G743" s="1697"/>
      <c r="H743" s="1697"/>
      <c r="I743" s="1697"/>
      <c r="J743" s="1697"/>
      <c r="K743" s="1697"/>
      <c r="L743" s="1697"/>
      <c r="M743" s="1697"/>
      <c r="N743" s="1697"/>
      <c r="O743" s="1697"/>
      <c r="P743" s="1697"/>
      <c r="Q743" s="1697"/>
      <c r="R743" s="1697"/>
      <c r="S743" s="1697"/>
      <c r="T743" s="1697"/>
      <c r="U743" s="1697"/>
      <c r="V743" s="1697"/>
      <c r="W743" s="1697"/>
      <c r="X743" s="1697"/>
      <c r="Y743" s="1697"/>
      <c r="Z743" s="1697"/>
      <c r="AA743" s="1697"/>
      <c r="AB743" s="1697"/>
      <c r="AC743" s="1697"/>
      <c r="AD743" s="1697"/>
      <c r="AE743" s="1697"/>
      <c r="AF743" s="1697"/>
      <c r="AG743" s="1697"/>
      <c r="AH743" s="1697"/>
      <c r="AI743" s="1697"/>
      <c r="AJ743" s="1697"/>
      <c r="AK743" s="1697"/>
      <c r="AL743" s="1697"/>
      <c r="AM743" s="1697"/>
      <c r="AN743" s="1697"/>
      <c r="AO743" s="1697"/>
      <c r="AP743" s="1697"/>
      <c r="AQ743" s="1697"/>
      <c r="AR743" s="1697"/>
      <c r="AS743" s="1697"/>
      <c r="AT743" s="1697"/>
      <c r="AU743" s="1697"/>
      <c r="AV743" s="1697"/>
      <c r="AW743" s="1697"/>
      <c r="AX743" s="1697"/>
      <c r="AY743" s="1697"/>
      <c r="AZ743" s="1697"/>
      <c r="BA743" s="1697"/>
      <c r="BB743" s="1697"/>
      <c r="BC743" s="1697"/>
      <c r="BD743" s="1697"/>
      <c r="BE743" s="1697"/>
      <c r="BF743" s="1697"/>
      <c r="BG743" s="1697"/>
      <c r="BH743" s="1697"/>
      <c r="BI743" s="1697"/>
      <c r="BJ743" s="1697"/>
      <c r="BK743" s="1697"/>
      <c r="BL743" s="1697"/>
      <c r="BM743" s="1697"/>
      <c r="BN743" s="1697"/>
      <c r="BO743" s="1697"/>
      <c r="BP743" s="1697"/>
      <c r="BQ743" s="1697"/>
      <c r="BR743" s="1697"/>
      <c r="BS743" s="1697"/>
      <c r="BT743" s="1697"/>
      <c r="BU743" s="1697"/>
      <c r="BV743" s="1697"/>
      <c r="BW743" s="1697"/>
      <c r="BX743" s="1697"/>
      <c r="BY743" s="1697"/>
      <c r="BZ743" s="1697"/>
      <c r="CA743" s="1697"/>
      <c r="CB743" s="1697"/>
      <c r="CC743" s="1697"/>
      <c r="CD743" s="1697"/>
      <c r="CE743" s="1697"/>
      <c r="CF743" s="1697"/>
      <c r="CG743" s="1697"/>
      <c r="CH743" s="1697"/>
      <c r="CI743" s="1697"/>
      <c r="CJ743" s="1697"/>
      <c r="CK743" s="1697"/>
      <c r="CL743" s="1697"/>
      <c r="CM743" s="1697"/>
      <c r="CN743" s="1697"/>
      <c r="CO743" s="1697"/>
      <c r="CP743" s="1697"/>
      <c r="CQ743" s="1697"/>
      <c r="CR743" s="1697"/>
      <c r="CS743" s="1697"/>
      <c r="CT743" s="1697"/>
      <c r="CU743" s="1697"/>
      <c r="CV743" s="1697"/>
      <c r="CW743" s="1697"/>
      <c r="CX743" s="1697"/>
      <c r="CY743" s="1697"/>
      <c r="CZ743" s="1697"/>
      <c r="DA743" s="1697"/>
      <c r="DB743" s="1697"/>
      <c r="DC743" s="1697"/>
      <c r="DD743" s="1697"/>
      <c r="DE743" s="1697"/>
      <c r="DF743" s="1697"/>
      <c r="DG743" s="1697"/>
      <c r="DH743" s="1697"/>
      <c r="DI743" s="1697"/>
      <c r="DJ743" s="1697"/>
      <c r="DK743" s="1697"/>
      <c r="DL743" s="1697"/>
      <c r="DM743" s="1697"/>
      <c r="DN743" s="1697"/>
      <c r="DO743" s="1697"/>
      <c r="DP743" s="1697"/>
      <c r="DQ743" s="1697"/>
      <c r="DR743" s="1697"/>
      <c r="DS743" s="1697"/>
      <c r="DT743" s="1697"/>
      <c r="DU743" s="1697"/>
      <c r="DV743" s="1697"/>
      <c r="DW743" s="1697"/>
      <c r="DX743" s="1697"/>
      <c r="DY743" s="1697"/>
      <c r="DZ743" s="1697"/>
      <c r="EA743" s="1697"/>
      <c r="EB743" s="1697"/>
      <c r="EC743" s="1697"/>
      <c r="ED743" s="1697"/>
      <c r="EE743" s="1697"/>
      <c r="EF743" s="1697"/>
      <c r="EG743" s="1697"/>
      <c r="EH743" s="1697"/>
      <c r="EI743" s="1697"/>
      <c r="EJ743" s="1697"/>
      <c r="EK743" s="1697"/>
      <c r="EL743" s="1697"/>
      <c r="EM743" s="1697"/>
      <c r="EN743" s="1697"/>
      <c r="EO743" s="1697"/>
      <c r="EP743" s="1697"/>
      <c r="EQ743" s="1697"/>
      <c r="ER743" s="1697"/>
      <c r="ES743" s="1697"/>
      <c r="ET743" s="1697"/>
      <c r="EU743" s="1697"/>
      <c r="EV743" s="1697"/>
      <c r="EW743" s="1697"/>
      <c r="EX743" s="1697"/>
      <c r="EY743" s="1697"/>
      <c r="EZ743" s="1697"/>
      <c r="FA743" s="1697"/>
      <c r="FB743" s="1697"/>
      <c r="FC743" s="1697"/>
      <c r="FD743" s="1697"/>
      <c r="FE743" s="1697"/>
      <c r="FF743" s="1697"/>
      <c r="FG743" s="1697"/>
      <c r="FH743" s="1697"/>
      <c r="FI743" s="1697"/>
    </row>
    <row r="744" spans="1:165">
      <c r="A744" s="1697"/>
      <c r="B744" s="1697"/>
      <c r="C744" s="1697"/>
      <c r="D744" s="1697"/>
      <c r="E744" s="1697"/>
      <c r="F744" s="1697"/>
      <c r="G744" s="1697"/>
      <c r="H744" s="1697"/>
      <c r="I744" s="1697"/>
      <c r="J744" s="1697"/>
      <c r="K744" s="1697"/>
      <c r="L744" s="1697"/>
      <c r="M744" s="1697"/>
      <c r="N744" s="1697"/>
      <c r="O744" s="1697"/>
      <c r="P744" s="1697"/>
      <c r="Q744" s="1697"/>
      <c r="R744" s="1697"/>
      <c r="S744" s="1697"/>
      <c r="T744" s="1697"/>
      <c r="U744" s="1697"/>
      <c r="V744" s="1697"/>
      <c r="W744" s="1697"/>
      <c r="X744" s="1697"/>
      <c r="Y744" s="1697"/>
      <c r="Z744" s="1697"/>
      <c r="AA744" s="1697"/>
      <c r="AB744" s="1697"/>
      <c r="AC744" s="1697"/>
      <c r="AD744" s="1697"/>
      <c r="AE744" s="1697"/>
      <c r="AF744" s="1697"/>
      <c r="AG744" s="1697"/>
      <c r="AH744" s="1697"/>
      <c r="AI744" s="1697"/>
      <c r="AJ744" s="1697"/>
      <c r="AK744" s="1697"/>
      <c r="AL744" s="1697"/>
      <c r="AM744" s="1697"/>
      <c r="AN744" s="1697"/>
      <c r="AO744" s="1697"/>
      <c r="AP744" s="1697"/>
      <c r="AQ744" s="1697"/>
      <c r="AR744" s="1697"/>
      <c r="AS744" s="1697"/>
      <c r="AT744" s="1697"/>
      <c r="AU744" s="1697"/>
      <c r="AV744" s="1697"/>
      <c r="AW744" s="1697"/>
      <c r="AX744" s="1697"/>
      <c r="AY744" s="1697"/>
      <c r="AZ744" s="1697"/>
      <c r="BA744" s="1697"/>
      <c r="BB744" s="1697"/>
      <c r="BC744" s="1697"/>
      <c r="BD744" s="1697"/>
      <c r="BE744" s="1697"/>
      <c r="BF744" s="1697"/>
      <c r="BG744" s="1697"/>
      <c r="BH744" s="1697"/>
      <c r="BI744" s="1697"/>
      <c r="BJ744" s="1697"/>
      <c r="BK744" s="1697"/>
      <c r="BL744" s="1697"/>
      <c r="BM744" s="1697"/>
      <c r="BN744" s="1697"/>
      <c r="BO744" s="1697"/>
      <c r="BP744" s="1697"/>
      <c r="BQ744" s="1697"/>
      <c r="BR744" s="1697"/>
      <c r="BS744" s="1697"/>
      <c r="BT744" s="1697"/>
      <c r="BU744" s="1697"/>
      <c r="BV744" s="1697"/>
      <c r="BW744" s="1697"/>
      <c r="BX744" s="1697"/>
      <c r="BY744" s="1697"/>
      <c r="BZ744" s="1697"/>
      <c r="CA744" s="1697"/>
      <c r="CB744" s="1697"/>
      <c r="CC744" s="1697"/>
      <c r="CD744" s="1697"/>
      <c r="CE744" s="1697"/>
      <c r="CF744" s="1697"/>
      <c r="CG744" s="1697"/>
      <c r="CH744" s="1697"/>
      <c r="CI744" s="1697"/>
      <c r="CJ744" s="1697"/>
      <c r="CK744" s="1697"/>
      <c r="CL744" s="1697"/>
      <c r="CM744" s="1697"/>
      <c r="CN744" s="1697"/>
      <c r="CO744" s="1697"/>
      <c r="CP744" s="1697"/>
      <c r="CQ744" s="1697"/>
      <c r="CR744" s="1697"/>
      <c r="CS744" s="1697"/>
      <c r="CT744" s="1697"/>
      <c r="CU744" s="1697"/>
      <c r="CV744" s="1697"/>
      <c r="CW744" s="1697"/>
      <c r="CX744" s="1697"/>
      <c r="CY744" s="1697"/>
      <c r="CZ744" s="1697"/>
      <c r="DA744" s="1697"/>
      <c r="DB744" s="1697"/>
      <c r="DC744" s="1697"/>
      <c r="DD744" s="1697"/>
      <c r="DE744" s="1697"/>
      <c r="DF744" s="1697"/>
      <c r="DG744" s="1697"/>
      <c r="DH744" s="1697"/>
      <c r="DI744" s="1697"/>
      <c r="DJ744" s="1697"/>
      <c r="DK744" s="1697"/>
      <c r="DL744" s="1697"/>
      <c r="DM744" s="1697"/>
      <c r="DN744" s="1697"/>
      <c r="DO744" s="1697"/>
      <c r="DP744" s="1697"/>
      <c r="DQ744" s="1697"/>
      <c r="DR744" s="1697"/>
      <c r="DS744" s="1697"/>
      <c r="DT744" s="1697"/>
      <c r="DU744" s="1697"/>
      <c r="DV744" s="1697"/>
      <c r="DW744" s="1697"/>
      <c r="DX744" s="1697"/>
      <c r="DY744" s="1697"/>
      <c r="DZ744" s="1697"/>
      <c r="EA744" s="1697"/>
      <c r="EB744" s="1697"/>
      <c r="EC744" s="1697"/>
      <c r="ED744" s="1697"/>
      <c r="EE744" s="1697"/>
      <c r="EF744" s="1697"/>
      <c r="EG744" s="1697"/>
      <c r="EH744" s="1697"/>
      <c r="EI744" s="1697"/>
      <c r="EJ744" s="1697"/>
      <c r="EK744" s="1697"/>
      <c r="EL744" s="1697"/>
      <c r="EM744" s="1697"/>
      <c r="EN744" s="1697"/>
      <c r="EO744" s="1697"/>
      <c r="EP744" s="1697"/>
      <c r="EQ744" s="1697"/>
      <c r="ER744" s="1697"/>
      <c r="ES744" s="1697"/>
      <c r="ET744" s="1697"/>
      <c r="EU744" s="1697"/>
      <c r="EV744" s="1697"/>
      <c r="EW744" s="1697"/>
      <c r="EX744" s="1697"/>
      <c r="EY744" s="1697"/>
      <c r="EZ744" s="1697"/>
      <c r="FA744" s="1697"/>
      <c r="FB744" s="1697"/>
      <c r="FC744" s="1697"/>
      <c r="FD744" s="1697"/>
      <c r="FE744" s="1697"/>
      <c r="FF744" s="1697"/>
      <c r="FG744" s="1697"/>
      <c r="FH744" s="1697"/>
      <c r="FI744" s="1697"/>
    </row>
    <row r="745" spans="1:165">
      <c r="A745" s="1697"/>
      <c r="B745" s="1697"/>
      <c r="C745" s="1697"/>
      <c r="D745" s="1697"/>
      <c r="E745" s="1697"/>
      <c r="F745" s="1697"/>
      <c r="G745" s="1697"/>
      <c r="H745" s="1697"/>
      <c r="I745" s="1697"/>
      <c r="J745" s="1697"/>
      <c r="K745" s="1697"/>
      <c r="L745" s="1697"/>
      <c r="M745" s="1697"/>
      <c r="N745" s="1697"/>
      <c r="O745" s="1697"/>
      <c r="P745" s="1697"/>
      <c r="Q745" s="1697"/>
      <c r="R745" s="1697"/>
      <c r="S745" s="1697"/>
      <c r="T745" s="1697"/>
      <c r="U745" s="1697"/>
      <c r="V745" s="1697"/>
      <c r="W745" s="1697"/>
      <c r="X745" s="1697"/>
      <c r="Y745" s="1697"/>
      <c r="Z745" s="1697"/>
      <c r="AA745" s="1697"/>
      <c r="AB745" s="1697"/>
      <c r="AC745" s="1697"/>
      <c r="AD745" s="1697"/>
      <c r="AE745" s="1697"/>
      <c r="AF745" s="1697"/>
      <c r="AG745" s="1697"/>
      <c r="AH745" s="1697"/>
      <c r="AI745" s="1697"/>
      <c r="AJ745" s="1697"/>
      <c r="AK745" s="1697"/>
      <c r="AL745" s="1697"/>
      <c r="AM745" s="1697"/>
      <c r="AN745" s="1697"/>
      <c r="AO745" s="1697"/>
      <c r="AP745" s="1697"/>
      <c r="AQ745" s="1697"/>
      <c r="AR745" s="1697"/>
      <c r="AS745" s="1697"/>
      <c r="AT745" s="1697"/>
      <c r="AU745" s="1697"/>
      <c r="AV745" s="1697"/>
      <c r="AW745" s="1697"/>
      <c r="AX745" s="1697"/>
      <c r="AY745" s="1697"/>
      <c r="AZ745" s="1697"/>
      <c r="BA745" s="1697"/>
      <c r="BB745" s="1697"/>
      <c r="BC745" s="1697"/>
      <c r="BD745" s="1697"/>
      <c r="BE745" s="1697"/>
      <c r="BF745" s="1697"/>
      <c r="BG745" s="1697"/>
      <c r="BH745" s="1697"/>
      <c r="BI745" s="1697"/>
      <c r="BJ745" s="1697"/>
      <c r="BK745" s="1697"/>
      <c r="BL745" s="1697"/>
      <c r="BM745" s="1697"/>
      <c r="BN745" s="1697"/>
      <c r="BO745" s="1697"/>
      <c r="BP745" s="1697"/>
      <c r="BQ745" s="1697"/>
      <c r="BR745" s="1697"/>
      <c r="BS745" s="1697"/>
      <c r="BT745" s="1697"/>
      <c r="BU745" s="1697"/>
      <c r="BV745" s="1697"/>
      <c r="BW745" s="1697"/>
      <c r="BX745" s="1697"/>
      <c r="BY745" s="1697"/>
      <c r="BZ745" s="1697"/>
      <c r="CA745" s="1697"/>
      <c r="CB745" s="1697"/>
      <c r="CC745" s="1697"/>
      <c r="CD745" s="1697"/>
      <c r="CE745" s="1697"/>
      <c r="CF745" s="1697"/>
      <c r="CG745" s="1697"/>
      <c r="CH745" s="1697"/>
      <c r="CI745" s="1697"/>
      <c r="CJ745" s="1697"/>
      <c r="CK745" s="1697"/>
      <c r="CL745" s="1697"/>
      <c r="CM745" s="1697"/>
      <c r="CN745" s="1697"/>
      <c r="CO745" s="1697"/>
      <c r="CP745" s="1697"/>
      <c r="CQ745" s="1697"/>
      <c r="CR745" s="1697"/>
      <c r="CS745" s="1697"/>
      <c r="CT745" s="1697"/>
      <c r="CU745" s="1697"/>
      <c r="CV745" s="1697"/>
      <c r="CW745" s="1697"/>
      <c r="CX745" s="1697"/>
      <c r="CY745" s="1697"/>
      <c r="CZ745" s="1697"/>
      <c r="DA745" s="1697"/>
      <c r="DB745" s="1697"/>
      <c r="DC745" s="1697"/>
      <c r="DD745" s="1697"/>
      <c r="DE745" s="1697"/>
      <c r="DF745" s="1697"/>
      <c r="DG745" s="1697"/>
      <c r="DH745" s="1697"/>
      <c r="DI745" s="1697"/>
      <c r="DJ745" s="1697"/>
      <c r="DK745" s="1697"/>
      <c r="DL745" s="1697"/>
      <c r="DM745" s="1697"/>
      <c r="DN745" s="1697"/>
      <c r="DO745" s="1697"/>
      <c r="DP745" s="1697"/>
      <c r="DQ745" s="1697"/>
      <c r="DR745" s="1697"/>
      <c r="DS745" s="1697"/>
      <c r="DT745" s="1697"/>
      <c r="DU745" s="1697"/>
      <c r="DV745" s="1697"/>
      <c r="DW745" s="1697"/>
      <c r="DX745" s="1697"/>
      <c r="DY745" s="1697"/>
      <c r="DZ745" s="1697"/>
      <c r="EA745" s="1697"/>
      <c r="EB745" s="1697"/>
      <c r="EC745" s="1697"/>
      <c r="ED745" s="1697"/>
      <c r="EE745" s="1697"/>
      <c r="EF745" s="1697"/>
      <c r="EG745" s="1697"/>
      <c r="EH745" s="1697"/>
      <c r="EI745" s="1697"/>
      <c r="EJ745" s="1697"/>
      <c r="EK745" s="1697"/>
      <c r="EL745" s="1697"/>
      <c r="EM745" s="1697"/>
      <c r="EN745" s="1697"/>
      <c r="EO745" s="1697"/>
      <c r="EP745" s="1697"/>
      <c r="EQ745" s="1697"/>
      <c r="ER745" s="1697"/>
      <c r="ES745" s="1697"/>
      <c r="ET745" s="1697"/>
      <c r="EU745" s="1697"/>
      <c r="EV745" s="1697"/>
      <c r="EW745" s="1697"/>
      <c r="EX745" s="1697"/>
      <c r="EY745" s="1697"/>
      <c r="EZ745" s="1697"/>
      <c r="FA745" s="1697"/>
      <c r="FB745" s="1697"/>
      <c r="FC745" s="1697"/>
      <c r="FD745" s="1697"/>
      <c r="FE745" s="1697"/>
      <c r="FF745" s="1697"/>
      <c r="FG745" s="1697"/>
      <c r="FH745" s="1697"/>
      <c r="FI745" s="1697"/>
    </row>
    <row r="746" spans="1:165">
      <c r="A746" s="1697"/>
      <c r="B746" s="1697"/>
      <c r="C746" s="1697"/>
      <c r="D746" s="1697"/>
      <c r="E746" s="1697"/>
      <c r="F746" s="1697"/>
      <c r="G746" s="1697"/>
      <c r="H746" s="1697"/>
      <c r="I746" s="1697"/>
      <c r="J746" s="1697"/>
      <c r="K746" s="1697"/>
      <c r="L746" s="1697"/>
      <c r="M746" s="1697"/>
      <c r="N746" s="1697"/>
      <c r="O746" s="1697"/>
      <c r="P746" s="1697"/>
      <c r="Q746" s="1697"/>
      <c r="R746" s="1697"/>
      <c r="S746" s="1697"/>
      <c r="T746" s="1697"/>
      <c r="U746" s="1697"/>
      <c r="V746" s="1697"/>
      <c r="W746" s="1697"/>
      <c r="X746" s="1697"/>
      <c r="Y746" s="1697"/>
      <c r="Z746" s="1697"/>
      <c r="AA746" s="1697"/>
      <c r="AB746" s="1697"/>
      <c r="AC746" s="1697"/>
      <c r="AD746" s="1697"/>
      <c r="AE746" s="1697"/>
      <c r="AF746" s="1697"/>
      <c r="AG746" s="1697"/>
      <c r="AH746" s="1697"/>
      <c r="AI746" s="1697"/>
      <c r="AJ746" s="1697"/>
      <c r="AK746" s="1697"/>
      <c r="AL746" s="1697"/>
      <c r="AM746" s="1697"/>
      <c r="AN746" s="1697"/>
      <c r="AO746" s="1697"/>
      <c r="AP746" s="1697"/>
      <c r="AQ746" s="1697"/>
      <c r="AR746" s="1697"/>
      <c r="AS746" s="1697"/>
      <c r="AT746" s="1697"/>
      <c r="AU746" s="1697"/>
      <c r="AV746" s="1697"/>
      <c r="AW746" s="1697"/>
      <c r="AX746" s="1697"/>
      <c r="AY746" s="1697"/>
      <c r="AZ746" s="1697"/>
      <c r="BA746" s="1697"/>
      <c r="BB746" s="1697"/>
      <c r="BC746" s="1697"/>
      <c r="BD746" s="1697"/>
      <c r="BE746" s="1697"/>
      <c r="BF746" s="1697"/>
      <c r="BG746" s="1697"/>
      <c r="BH746" s="1697"/>
      <c r="BI746" s="1697"/>
      <c r="BJ746" s="1697"/>
      <c r="BK746" s="1697"/>
      <c r="BL746" s="1697"/>
      <c r="BM746" s="1697"/>
      <c r="BN746" s="1697"/>
      <c r="BO746" s="1697"/>
      <c r="BP746" s="1697"/>
      <c r="BQ746" s="1697"/>
      <c r="BR746" s="1697"/>
      <c r="BS746" s="1697"/>
      <c r="BT746" s="1697"/>
      <c r="BU746" s="1697"/>
      <c r="BV746" s="1697"/>
      <c r="BW746" s="1697"/>
      <c r="BX746" s="1697"/>
      <c r="BY746" s="1697"/>
      <c r="BZ746" s="1697"/>
      <c r="CA746" s="1697"/>
      <c r="CB746" s="1697"/>
      <c r="CC746" s="1697"/>
      <c r="CD746" s="1697"/>
      <c r="CE746" s="1697"/>
      <c r="CF746" s="1697"/>
      <c r="CG746" s="1697"/>
      <c r="CH746" s="1697"/>
      <c r="CI746" s="1697"/>
      <c r="CJ746" s="1697"/>
      <c r="CK746" s="1697"/>
      <c r="CL746" s="1697"/>
      <c r="CM746" s="1697"/>
      <c r="CN746" s="1697"/>
      <c r="CO746" s="1697"/>
      <c r="CP746" s="1697"/>
      <c r="CQ746" s="1697"/>
      <c r="CR746" s="1697"/>
      <c r="CS746" s="1697"/>
      <c r="CT746" s="1697"/>
      <c r="CU746" s="1697"/>
      <c r="CV746" s="1697"/>
      <c r="CW746" s="1697"/>
      <c r="CX746" s="1697"/>
      <c r="CY746" s="1697"/>
      <c r="CZ746" s="1697"/>
      <c r="DA746" s="1697"/>
      <c r="DB746" s="1697"/>
      <c r="DC746" s="1697"/>
      <c r="DD746" s="1697"/>
      <c r="DE746" s="1697"/>
      <c r="DF746" s="1697"/>
      <c r="DG746" s="1697"/>
      <c r="DH746" s="1697"/>
      <c r="DI746" s="1697"/>
      <c r="DJ746" s="1697"/>
      <c r="DK746" s="1697"/>
      <c r="DL746" s="1697"/>
      <c r="DM746" s="1697"/>
      <c r="DN746" s="1697"/>
      <c r="DO746" s="1697"/>
      <c r="DP746" s="1697"/>
      <c r="DQ746" s="1697"/>
      <c r="DR746" s="1697"/>
      <c r="DS746" s="1697"/>
      <c r="DT746" s="1697"/>
      <c r="DU746" s="1697"/>
      <c r="DV746" s="1697"/>
      <c r="DW746" s="1697"/>
      <c r="DX746" s="1697"/>
      <c r="DY746" s="1697"/>
      <c r="DZ746" s="1697"/>
      <c r="EA746" s="1697"/>
      <c r="EB746" s="1697"/>
      <c r="EC746" s="1697"/>
      <c r="ED746" s="1697"/>
      <c r="EE746" s="1697"/>
      <c r="EF746" s="1697"/>
      <c r="EG746" s="1697"/>
      <c r="EH746" s="1697"/>
      <c r="EI746" s="1697"/>
      <c r="EJ746" s="1697"/>
      <c r="EK746" s="1697"/>
      <c r="EL746" s="1697"/>
      <c r="EM746" s="1697"/>
      <c r="EN746" s="1697"/>
      <c r="EO746" s="1697"/>
      <c r="EP746" s="1697"/>
      <c r="EQ746" s="1697"/>
      <c r="ER746" s="1697"/>
      <c r="ES746" s="1697"/>
      <c r="ET746" s="1697"/>
      <c r="EU746" s="1697"/>
      <c r="EV746" s="1697"/>
      <c r="EW746" s="1697"/>
      <c r="EX746" s="1697"/>
      <c r="EY746" s="1697"/>
      <c r="EZ746" s="1697"/>
      <c r="FA746" s="1697"/>
      <c r="FB746" s="1697"/>
      <c r="FC746" s="1697"/>
      <c r="FD746" s="1697"/>
      <c r="FE746" s="1697"/>
      <c r="FF746" s="1697"/>
      <c r="FG746" s="1697"/>
      <c r="FH746" s="1697"/>
      <c r="FI746" s="1697"/>
    </row>
    <row r="747" spans="1:165">
      <c r="A747" s="1697"/>
      <c r="B747" s="1697"/>
      <c r="C747" s="1697"/>
      <c r="D747" s="1697"/>
      <c r="E747" s="1697"/>
      <c r="F747" s="1697"/>
      <c r="G747" s="1697"/>
      <c r="H747" s="1697"/>
      <c r="I747" s="1697"/>
      <c r="J747" s="1697"/>
      <c r="K747" s="1697"/>
      <c r="L747" s="1697"/>
      <c r="M747" s="1697"/>
      <c r="N747" s="1697"/>
      <c r="O747" s="1697"/>
      <c r="P747" s="1697"/>
      <c r="Q747" s="1697"/>
      <c r="R747" s="1697"/>
      <c r="S747" s="1697"/>
      <c r="T747" s="1697"/>
      <c r="U747" s="1697"/>
      <c r="V747" s="1697"/>
      <c r="W747" s="1697"/>
      <c r="X747" s="1697"/>
      <c r="Y747" s="1697"/>
      <c r="Z747" s="1697"/>
      <c r="AA747" s="1697"/>
      <c r="AB747" s="1697"/>
      <c r="AC747" s="1697"/>
      <c r="AD747" s="1697"/>
      <c r="AE747" s="1697"/>
      <c r="AF747" s="1697"/>
      <c r="AG747" s="1697"/>
      <c r="AH747" s="1697"/>
      <c r="AI747" s="1697"/>
      <c r="AJ747" s="1697"/>
      <c r="AK747" s="1697"/>
      <c r="AL747" s="1697"/>
      <c r="AM747" s="1697"/>
      <c r="AN747" s="1697"/>
      <c r="AO747" s="1697"/>
      <c r="AP747" s="1697"/>
      <c r="AQ747" s="1697"/>
      <c r="AR747" s="1697"/>
      <c r="AS747" s="1697"/>
      <c r="AT747" s="1697"/>
      <c r="AU747" s="1697"/>
      <c r="AV747" s="1697"/>
      <c r="AW747" s="1697"/>
      <c r="AX747" s="1697"/>
      <c r="AY747" s="1697"/>
      <c r="AZ747" s="1697"/>
      <c r="BA747" s="1697"/>
      <c r="BB747" s="1697"/>
      <c r="BC747" s="1697"/>
      <c r="BD747" s="1697"/>
      <c r="BE747" s="1697"/>
      <c r="BF747" s="1697"/>
      <c r="BG747" s="1697"/>
      <c r="BH747" s="1697"/>
      <c r="BI747" s="1697"/>
      <c r="BJ747" s="1697"/>
      <c r="BK747" s="1697"/>
      <c r="BL747" s="1697"/>
      <c r="BM747" s="1697"/>
      <c r="BN747" s="1697"/>
      <c r="BO747" s="1697"/>
      <c r="BP747" s="1697"/>
      <c r="BQ747" s="1697"/>
      <c r="BR747" s="1697"/>
      <c r="BS747" s="1697"/>
      <c r="BT747" s="1697"/>
      <c r="BU747" s="1697"/>
      <c r="BV747" s="1697"/>
      <c r="BW747" s="1697"/>
      <c r="BX747" s="1697"/>
      <c r="BY747" s="1697"/>
      <c r="BZ747" s="1697"/>
      <c r="CA747" s="1697"/>
      <c r="CB747" s="1697"/>
      <c r="CC747" s="1697"/>
      <c r="CD747" s="1697"/>
      <c r="CE747" s="1697"/>
      <c r="CF747" s="1697"/>
      <c r="CG747" s="1697"/>
      <c r="CH747" s="1697"/>
      <c r="CI747" s="1697"/>
      <c r="CJ747" s="1697"/>
      <c r="CK747" s="1697"/>
      <c r="CL747" s="1697"/>
      <c r="CM747" s="1697"/>
      <c r="CN747" s="1697"/>
      <c r="CO747" s="1697"/>
      <c r="CP747" s="1697"/>
      <c r="CQ747" s="1697"/>
      <c r="CR747" s="1697"/>
      <c r="CS747" s="1697"/>
      <c r="CT747" s="1697"/>
      <c r="CU747" s="1697"/>
      <c r="CV747" s="1697"/>
      <c r="CW747" s="1697"/>
      <c r="CX747" s="1697"/>
      <c r="CY747" s="1697"/>
      <c r="CZ747" s="1697"/>
      <c r="DA747" s="1697"/>
      <c r="DB747" s="1697"/>
      <c r="DC747" s="1697"/>
      <c r="DD747" s="1697"/>
      <c r="DE747" s="1697"/>
      <c r="DF747" s="1697"/>
      <c r="DG747" s="1697"/>
      <c r="DH747" s="1697"/>
      <c r="DI747" s="1697"/>
      <c r="DJ747" s="1697"/>
      <c r="DK747" s="1697"/>
      <c r="DL747" s="1697"/>
      <c r="DM747" s="1697"/>
      <c r="DN747" s="1697"/>
      <c r="DO747" s="1697"/>
      <c r="DP747" s="1697"/>
      <c r="DQ747" s="1697"/>
      <c r="DR747" s="1697"/>
      <c r="DS747" s="1697"/>
      <c r="DT747" s="1697"/>
      <c r="DU747" s="1697"/>
      <c r="DV747" s="1697"/>
      <c r="DW747" s="1697"/>
      <c r="DX747" s="1697"/>
      <c r="DY747" s="1697"/>
      <c r="DZ747" s="1697"/>
      <c r="EA747" s="1697"/>
      <c r="EB747" s="1697"/>
      <c r="EC747" s="1697"/>
      <c r="ED747" s="1697"/>
      <c r="EE747" s="1697"/>
      <c r="EF747" s="1697"/>
      <c r="EG747" s="1697"/>
      <c r="EH747" s="1697"/>
      <c r="EI747" s="1697"/>
      <c r="EJ747" s="1697"/>
      <c r="EK747" s="1697"/>
      <c r="EL747" s="1697"/>
      <c r="EM747" s="1697"/>
      <c r="EN747" s="1697"/>
      <c r="EO747" s="1697"/>
      <c r="EP747" s="1697"/>
      <c r="EQ747" s="1697"/>
      <c r="ER747" s="1697"/>
      <c r="ES747" s="1697"/>
      <c r="ET747" s="1697"/>
      <c r="EU747" s="1697"/>
      <c r="EV747" s="1697"/>
      <c r="EW747" s="1697"/>
      <c r="EX747" s="1697"/>
      <c r="EY747" s="1697"/>
      <c r="EZ747" s="1697"/>
      <c r="FA747" s="1697"/>
      <c r="FB747" s="1697"/>
      <c r="FC747" s="1697"/>
      <c r="FD747" s="1697"/>
      <c r="FE747" s="1697"/>
      <c r="FF747" s="1697"/>
      <c r="FG747" s="1697"/>
      <c r="FH747" s="1697"/>
      <c r="FI747" s="1697"/>
    </row>
    <row r="748" spans="1:165">
      <c r="A748" s="1697"/>
      <c r="B748" s="1697"/>
      <c r="C748" s="1697"/>
      <c r="D748" s="1697"/>
      <c r="E748" s="1697"/>
      <c r="F748" s="1697"/>
      <c r="G748" s="1697"/>
      <c r="H748" s="1697"/>
      <c r="I748" s="1697"/>
      <c r="J748" s="1697"/>
      <c r="K748" s="1697"/>
      <c r="L748" s="1697"/>
      <c r="M748" s="1697"/>
      <c r="N748" s="1697"/>
      <c r="O748" s="1697"/>
      <c r="P748" s="1697"/>
      <c r="Q748" s="1697"/>
      <c r="R748" s="1697"/>
      <c r="S748" s="1697"/>
      <c r="T748" s="1697"/>
      <c r="U748" s="1697"/>
      <c r="V748" s="1697"/>
      <c r="W748" s="1697"/>
      <c r="X748" s="1697"/>
      <c r="Y748" s="1697"/>
      <c r="Z748" s="1697"/>
      <c r="AA748" s="1697"/>
      <c r="AB748" s="1697"/>
      <c r="AC748" s="1697"/>
      <c r="AD748" s="1697"/>
      <c r="AE748" s="1697"/>
      <c r="AF748" s="1697"/>
      <c r="AG748" s="1697"/>
      <c r="AH748" s="1697"/>
      <c r="AI748" s="1697"/>
      <c r="AJ748" s="1697"/>
      <c r="AK748" s="1697"/>
      <c r="AL748" s="1697"/>
      <c r="AM748" s="1697"/>
      <c r="AN748" s="1697"/>
      <c r="AO748" s="1697"/>
      <c r="AP748" s="1697"/>
      <c r="AQ748" s="1697"/>
      <c r="AR748" s="1697"/>
      <c r="AS748" s="1697"/>
      <c r="AT748" s="1697"/>
      <c r="AU748" s="1697"/>
      <c r="AV748" s="1697"/>
      <c r="AW748" s="1697"/>
      <c r="AX748" s="1697"/>
      <c r="AY748" s="1697"/>
      <c r="AZ748" s="1697"/>
      <c r="BA748" s="1697"/>
      <c r="BB748" s="1697"/>
      <c r="BC748" s="1697"/>
      <c r="BD748" s="1697"/>
      <c r="BE748" s="1697"/>
      <c r="BF748" s="1697"/>
      <c r="BG748" s="1697"/>
      <c r="BH748" s="1697"/>
      <c r="BI748" s="1697"/>
      <c r="BJ748" s="1697"/>
      <c r="BK748" s="1697"/>
      <c r="BL748" s="1697"/>
      <c r="BM748" s="1697"/>
      <c r="BN748" s="1697"/>
      <c r="BO748" s="1697"/>
      <c r="BP748" s="1697"/>
      <c r="BQ748" s="1697"/>
      <c r="BR748" s="1697"/>
      <c r="BS748" s="1697"/>
      <c r="BT748" s="1697"/>
      <c r="BU748" s="1697"/>
      <c r="BV748" s="1697"/>
      <c r="BW748" s="1697"/>
      <c r="BX748" s="1697"/>
      <c r="BY748" s="1697"/>
      <c r="BZ748" s="1697"/>
      <c r="CA748" s="1697"/>
      <c r="CB748" s="1697"/>
      <c r="CC748" s="1697"/>
      <c r="CD748" s="1697"/>
      <c r="CE748" s="1697"/>
      <c r="CF748" s="1697"/>
      <c r="CG748" s="1697"/>
      <c r="CH748" s="1697"/>
      <c r="CI748" s="1697"/>
      <c r="CJ748" s="1697"/>
      <c r="CK748" s="1697"/>
      <c r="CL748" s="1697"/>
      <c r="CM748" s="1697"/>
      <c r="CN748" s="1697"/>
      <c r="CO748" s="1697"/>
      <c r="CP748" s="1697"/>
      <c r="CQ748" s="1697"/>
      <c r="CR748" s="1697"/>
      <c r="CS748" s="1697"/>
      <c r="CT748" s="1697"/>
      <c r="CU748" s="1697"/>
      <c r="CV748" s="1697"/>
      <c r="CW748" s="1697"/>
      <c r="CX748" s="1697"/>
      <c r="CY748" s="1697"/>
      <c r="CZ748" s="1697"/>
      <c r="DA748" s="1697"/>
      <c r="DB748" s="1697"/>
      <c r="DC748" s="1697"/>
      <c r="DD748" s="1697"/>
      <c r="DE748" s="1697"/>
      <c r="DF748" s="1697"/>
      <c r="DG748" s="1697"/>
      <c r="DH748" s="1697"/>
      <c r="DI748" s="1697"/>
      <c r="DJ748" s="1697"/>
      <c r="DK748" s="1697"/>
      <c r="DL748" s="1697"/>
      <c r="DM748" s="1697"/>
      <c r="DN748" s="1697"/>
      <c r="DO748" s="1697"/>
      <c r="DP748" s="1697"/>
      <c r="DQ748" s="1697"/>
      <c r="DR748" s="1697"/>
      <c r="DS748" s="1697"/>
      <c r="DT748" s="1697"/>
      <c r="DU748" s="1697"/>
      <c r="DV748" s="1697"/>
      <c r="DW748" s="1697"/>
      <c r="DX748" s="1697"/>
      <c r="DY748" s="1697"/>
      <c r="DZ748" s="1697"/>
      <c r="EA748" s="1697"/>
      <c r="EB748" s="1697"/>
      <c r="EC748" s="1697"/>
      <c r="ED748" s="1697"/>
      <c r="EE748" s="1697"/>
      <c r="EF748" s="1697"/>
      <c r="EG748" s="1697"/>
      <c r="EH748" s="1697"/>
      <c r="EI748" s="1697"/>
      <c r="EJ748" s="1697"/>
      <c r="EK748" s="1697"/>
      <c r="EL748" s="1697"/>
      <c r="EM748" s="1697"/>
      <c r="EN748" s="1697"/>
      <c r="EO748" s="1697"/>
      <c r="EP748" s="1697"/>
      <c r="EQ748" s="1697"/>
      <c r="ER748" s="1697"/>
      <c r="ES748" s="1697"/>
      <c r="ET748" s="1697"/>
      <c r="EU748" s="1697"/>
      <c r="EV748" s="1697"/>
      <c r="EW748" s="1697"/>
      <c r="EX748" s="1697"/>
      <c r="EY748" s="1697"/>
      <c r="EZ748" s="1697"/>
      <c r="FA748" s="1697"/>
      <c r="FB748" s="1697"/>
      <c r="FC748" s="1697"/>
      <c r="FD748" s="1697"/>
      <c r="FE748" s="1697"/>
      <c r="FF748" s="1697"/>
      <c r="FG748" s="1697"/>
      <c r="FH748" s="1697"/>
      <c r="FI748" s="1697"/>
    </row>
    <row r="749" spans="1:165">
      <c r="A749" s="1697"/>
      <c r="B749" s="1697"/>
      <c r="C749" s="1697"/>
      <c r="D749" s="1697"/>
      <c r="E749" s="1697"/>
      <c r="F749" s="1697"/>
      <c r="G749" s="1697"/>
      <c r="H749" s="1697"/>
      <c r="I749" s="1697"/>
      <c r="J749" s="1697"/>
      <c r="K749" s="1697"/>
      <c r="L749" s="1697"/>
      <c r="M749" s="1697"/>
      <c r="N749" s="1697"/>
      <c r="O749" s="1697"/>
      <c r="P749" s="1697"/>
      <c r="Q749" s="1697"/>
      <c r="R749" s="1697"/>
      <c r="S749" s="1697"/>
      <c r="T749" s="1697"/>
      <c r="U749" s="1697"/>
      <c r="V749" s="1697"/>
      <c r="W749" s="1697"/>
      <c r="X749" s="1697"/>
      <c r="Y749" s="1697"/>
      <c r="Z749" s="1697"/>
      <c r="AA749" s="1697"/>
      <c r="AB749" s="1697"/>
      <c r="AC749" s="1697"/>
      <c r="AD749" s="1697"/>
      <c r="AE749" s="1697"/>
      <c r="AF749" s="1697"/>
      <c r="AG749" s="1697"/>
      <c r="AH749" s="1697"/>
      <c r="AI749" s="1697"/>
      <c r="AJ749" s="1697"/>
      <c r="AK749" s="1697"/>
      <c r="AL749" s="1697"/>
      <c r="AM749" s="1697"/>
      <c r="AN749" s="1697"/>
      <c r="AO749" s="1697"/>
      <c r="AP749" s="1697"/>
      <c r="AQ749" s="1697"/>
      <c r="AR749" s="1697"/>
      <c r="AS749" s="1697"/>
      <c r="AT749" s="1697"/>
      <c r="AU749" s="1697"/>
      <c r="AV749" s="1697"/>
      <c r="AW749" s="1697"/>
      <c r="AX749" s="1697"/>
      <c r="AY749" s="1697"/>
      <c r="AZ749" s="1697"/>
      <c r="BA749" s="1697"/>
      <c r="BB749" s="1697"/>
      <c r="BC749" s="1697"/>
      <c r="BD749" s="1697"/>
      <c r="BE749" s="1697"/>
      <c r="BF749" s="1697"/>
      <c r="BG749" s="1697"/>
      <c r="BH749" s="1697"/>
      <c r="BI749" s="1697"/>
      <c r="BJ749" s="1697"/>
      <c r="BK749" s="1697"/>
      <c r="BL749" s="1697"/>
      <c r="BM749" s="1697"/>
      <c r="BN749" s="1697"/>
      <c r="BO749" s="1697"/>
      <c r="BP749" s="1697"/>
      <c r="BQ749" s="1697"/>
      <c r="BR749" s="1697"/>
      <c r="BS749" s="1697"/>
      <c r="BT749" s="1697"/>
      <c r="BU749" s="1697"/>
      <c r="BV749" s="1697"/>
      <c r="BW749" s="1697"/>
      <c r="BX749" s="1697"/>
      <c r="BY749" s="1697"/>
      <c r="BZ749" s="1697"/>
      <c r="CA749" s="1697"/>
      <c r="CB749" s="1697"/>
      <c r="CC749" s="1697"/>
      <c r="CD749" s="1697"/>
      <c r="CE749" s="1697"/>
      <c r="CF749" s="1697"/>
      <c r="CG749" s="1697"/>
      <c r="CH749" s="1697"/>
      <c r="CI749" s="1697"/>
      <c r="CJ749" s="1697"/>
      <c r="CK749" s="1697"/>
      <c r="CL749" s="1697"/>
      <c r="CM749" s="1697"/>
      <c r="CN749" s="1697"/>
      <c r="CO749" s="1697"/>
      <c r="CP749" s="1697"/>
      <c r="CQ749" s="1697"/>
      <c r="CR749" s="1697"/>
      <c r="CS749" s="1697"/>
      <c r="CT749" s="1697"/>
      <c r="CU749" s="1697"/>
      <c r="CV749" s="1697"/>
      <c r="CW749" s="1697"/>
      <c r="CX749" s="1697"/>
      <c r="CY749" s="1697"/>
      <c r="CZ749" s="1697"/>
      <c r="DA749" s="1697"/>
      <c r="DB749" s="1697"/>
      <c r="DC749" s="1697"/>
      <c r="DD749" s="1697"/>
      <c r="DE749" s="1697"/>
      <c r="DF749" s="1697"/>
      <c r="DG749" s="1697"/>
      <c r="DH749" s="1697"/>
      <c r="DI749" s="1697"/>
      <c r="DJ749" s="1697"/>
      <c r="DK749" s="1697"/>
      <c r="DL749" s="1697"/>
      <c r="DM749" s="1697"/>
      <c r="DN749" s="1697"/>
      <c r="DO749" s="1697"/>
      <c r="DP749" s="1697"/>
      <c r="DQ749" s="1697"/>
      <c r="DR749" s="1697"/>
      <c r="DS749" s="1697"/>
      <c r="DT749" s="1697"/>
      <c r="DU749" s="1697"/>
      <c r="DV749" s="1697"/>
      <c r="DW749" s="1697"/>
      <c r="DX749" s="1697"/>
      <c r="DY749" s="1697"/>
      <c r="DZ749" s="1697"/>
      <c r="EA749" s="1697"/>
      <c r="EB749" s="1697"/>
      <c r="EC749" s="1697"/>
      <c r="ED749" s="1697"/>
      <c r="EE749" s="1697"/>
      <c r="EF749" s="1697"/>
      <c r="EG749" s="1697"/>
      <c r="EH749" s="1697"/>
      <c r="EI749" s="1697"/>
      <c r="EJ749" s="1697"/>
      <c r="EK749" s="1697"/>
      <c r="EL749" s="1697"/>
      <c r="EM749" s="1697"/>
      <c r="EN749" s="1697"/>
      <c r="EO749" s="1697"/>
      <c r="EP749" s="1697"/>
      <c r="EQ749" s="1697"/>
      <c r="ER749" s="1697"/>
      <c r="ES749" s="1697"/>
      <c r="ET749" s="1697"/>
      <c r="EU749" s="1697"/>
      <c r="EV749" s="1697"/>
      <c r="EW749" s="1697"/>
      <c r="EX749" s="1697"/>
      <c r="EY749" s="1697"/>
      <c r="EZ749" s="1697"/>
      <c r="FA749" s="1697"/>
      <c r="FB749" s="1697"/>
      <c r="FC749" s="1697"/>
      <c r="FD749" s="1697"/>
      <c r="FE749" s="1697"/>
      <c r="FF749" s="1697"/>
      <c r="FG749" s="1697"/>
      <c r="FH749" s="1697"/>
      <c r="FI749" s="1697"/>
    </row>
    <row r="750" spans="1:165">
      <c r="A750" s="1697"/>
      <c r="B750" s="1697"/>
      <c r="C750" s="1697"/>
      <c r="D750" s="1697"/>
      <c r="E750" s="1697"/>
      <c r="F750" s="1697"/>
      <c r="G750" s="1697"/>
      <c r="H750" s="1697"/>
      <c r="I750" s="1697"/>
      <c r="J750" s="1697"/>
      <c r="K750" s="1697"/>
      <c r="L750" s="1697"/>
      <c r="M750" s="1697"/>
      <c r="N750" s="1697"/>
      <c r="O750" s="1697"/>
      <c r="P750" s="1697"/>
      <c r="Q750" s="1697"/>
      <c r="R750" s="1697"/>
      <c r="S750" s="1697"/>
      <c r="T750" s="1697"/>
      <c r="U750" s="1697"/>
      <c r="V750" s="1697"/>
      <c r="W750" s="1697"/>
      <c r="X750" s="1697"/>
      <c r="Y750" s="1697"/>
      <c r="Z750" s="1697"/>
      <c r="AA750" s="1697"/>
      <c r="AB750" s="1697"/>
      <c r="AC750" s="1697"/>
      <c r="AD750" s="1697"/>
      <c r="AE750" s="1697"/>
      <c r="AF750" s="1697"/>
      <c r="AG750" s="1697"/>
      <c r="AH750" s="1697"/>
      <c r="AI750" s="1697"/>
      <c r="AJ750" s="1697"/>
      <c r="AK750" s="1697"/>
      <c r="AL750" s="1697"/>
      <c r="AM750" s="1697"/>
      <c r="AN750" s="1697"/>
      <c r="AO750" s="1697"/>
      <c r="AP750" s="1697"/>
      <c r="AQ750" s="1697"/>
      <c r="AR750" s="1697"/>
      <c r="AS750" s="1697"/>
      <c r="AT750" s="1697"/>
      <c r="AU750" s="1697"/>
      <c r="AV750" s="1697"/>
      <c r="AW750" s="1697"/>
      <c r="AX750" s="1697"/>
      <c r="AY750" s="1697"/>
      <c r="AZ750" s="1697"/>
      <c r="BA750" s="1697"/>
      <c r="BB750" s="1697"/>
      <c r="BC750" s="1697"/>
      <c r="BD750" s="1697"/>
      <c r="BE750" s="1697"/>
      <c r="BF750" s="1697"/>
      <c r="BG750" s="1697"/>
      <c r="BH750" s="1697"/>
      <c r="BI750" s="1697"/>
      <c r="BJ750" s="1697"/>
      <c r="BK750" s="1697"/>
      <c r="BL750" s="1697"/>
      <c r="BM750" s="1697"/>
      <c r="BN750" s="1697"/>
      <c r="BO750" s="1697"/>
      <c r="BP750" s="1697"/>
      <c r="BQ750" s="1697"/>
      <c r="BR750" s="1697"/>
      <c r="BS750" s="1697"/>
      <c r="BT750" s="1697"/>
      <c r="BU750" s="1697"/>
      <c r="BV750" s="1697"/>
      <c r="BW750" s="1697"/>
      <c r="BX750" s="1697"/>
      <c r="BY750" s="1697"/>
      <c r="BZ750" s="1697"/>
      <c r="CA750" s="1697"/>
      <c r="CB750" s="1697"/>
      <c r="CC750" s="1697"/>
      <c r="CD750" s="1697"/>
      <c r="CE750" s="1697"/>
      <c r="CF750" s="1697"/>
      <c r="CG750" s="1697"/>
      <c r="CH750" s="1697"/>
      <c r="CI750" s="1697"/>
      <c r="CJ750" s="1697"/>
      <c r="CK750" s="1697"/>
      <c r="CL750" s="1697"/>
      <c r="CM750" s="1697"/>
      <c r="CN750" s="1697"/>
      <c r="CO750" s="1697"/>
      <c r="CP750" s="1697"/>
      <c r="CQ750" s="1697"/>
      <c r="CR750" s="1697"/>
      <c r="CS750" s="1697"/>
      <c r="CT750" s="1697"/>
      <c r="CU750" s="1697"/>
      <c r="CV750" s="1697"/>
      <c r="CW750" s="1697"/>
      <c r="CX750" s="1697"/>
      <c r="CY750" s="1697"/>
      <c r="CZ750" s="1697"/>
      <c r="DA750" s="1697"/>
      <c r="DB750" s="1697"/>
      <c r="DC750" s="1697"/>
      <c r="DD750" s="1697"/>
      <c r="DE750" s="1697"/>
      <c r="DF750" s="1697"/>
      <c r="DG750" s="1697"/>
      <c r="DH750" s="1697"/>
      <c r="DI750" s="1697"/>
      <c r="DJ750" s="1697"/>
      <c r="DK750" s="1697"/>
      <c r="DL750" s="1697"/>
      <c r="DM750" s="1697"/>
      <c r="DN750" s="1697"/>
      <c r="DO750" s="1697"/>
      <c r="DP750" s="1697"/>
      <c r="DQ750" s="1697"/>
      <c r="DR750" s="1697"/>
      <c r="DS750" s="1697"/>
      <c r="DT750" s="1697"/>
      <c r="DU750" s="1697"/>
      <c r="DV750" s="1697"/>
      <c r="DW750" s="1697"/>
      <c r="DX750" s="1697"/>
      <c r="DY750" s="1697"/>
      <c r="DZ750" s="1697"/>
      <c r="EA750" s="1697"/>
      <c r="EB750" s="1697"/>
      <c r="EC750" s="1697"/>
      <c r="ED750" s="1697"/>
      <c r="EE750" s="1697"/>
      <c r="EF750" s="1697"/>
      <c r="EG750" s="1697"/>
      <c r="EH750" s="1697"/>
      <c r="EI750" s="1697"/>
      <c r="EJ750" s="1697"/>
      <c r="EK750" s="1697"/>
      <c r="EL750" s="1697"/>
      <c r="EM750" s="1697"/>
      <c r="EN750" s="1697"/>
      <c r="EO750" s="1697"/>
      <c r="EP750" s="1697"/>
      <c r="EQ750" s="1697"/>
      <c r="ER750" s="1697"/>
      <c r="ES750" s="1697"/>
      <c r="ET750" s="1697"/>
      <c r="EU750" s="1697"/>
      <c r="EV750" s="1697"/>
      <c r="EW750" s="1697"/>
      <c r="EX750" s="1697"/>
      <c r="EY750" s="1697"/>
      <c r="EZ750" s="1697"/>
      <c r="FA750" s="1697"/>
      <c r="FB750" s="1697"/>
      <c r="FC750" s="1697"/>
      <c r="FD750" s="1697"/>
      <c r="FE750" s="1697"/>
      <c r="FF750" s="1697"/>
      <c r="FG750" s="1697"/>
      <c r="FH750" s="1697"/>
      <c r="FI750" s="1697"/>
    </row>
    <row r="751" spans="1:165">
      <c r="A751" s="1697"/>
      <c r="B751" s="1697"/>
      <c r="C751" s="1697"/>
      <c r="D751" s="1697"/>
      <c r="E751" s="1697"/>
      <c r="F751" s="1697"/>
      <c r="G751" s="1697"/>
      <c r="H751" s="1697"/>
      <c r="I751" s="1697"/>
      <c r="J751" s="1697"/>
      <c r="K751" s="1697"/>
      <c r="L751" s="1697"/>
      <c r="M751" s="1697"/>
      <c r="N751" s="1697"/>
      <c r="O751" s="1697"/>
      <c r="P751" s="1697"/>
      <c r="Q751" s="1697"/>
      <c r="R751" s="1697"/>
      <c r="S751" s="1697"/>
      <c r="T751" s="1697"/>
      <c r="U751" s="1697"/>
      <c r="V751" s="1697"/>
      <c r="W751" s="1697"/>
      <c r="X751" s="1697"/>
      <c r="Y751" s="1697"/>
      <c r="Z751" s="1697"/>
      <c r="AA751" s="1697"/>
      <c r="AB751" s="1697"/>
      <c r="AC751" s="1697"/>
      <c r="AD751" s="1697"/>
      <c r="AE751" s="1697"/>
      <c r="AF751" s="1697"/>
      <c r="AG751" s="1697"/>
      <c r="AH751" s="1697"/>
      <c r="AI751" s="1697"/>
      <c r="AJ751" s="1697"/>
      <c r="AK751" s="1697"/>
      <c r="AL751" s="1697"/>
      <c r="AM751" s="1697"/>
      <c r="AN751" s="1697"/>
      <c r="AO751" s="1697"/>
      <c r="AP751" s="1697"/>
      <c r="AQ751" s="1697"/>
      <c r="AR751" s="1697"/>
      <c r="AS751" s="1697"/>
      <c r="AT751" s="1697"/>
      <c r="AU751" s="1697"/>
      <c r="AV751" s="1697"/>
      <c r="AW751" s="1697"/>
      <c r="AX751" s="1697"/>
      <c r="AY751" s="1697"/>
      <c r="AZ751" s="1697"/>
      <c r="BA751" s="1697"/>
      <c r="BB751" s="1697"/>
      <c r="BC751" s="1697"/>
      <c r="BD751" s="1697"/>
      <c r="BE751" s="1697"/>
      <c r="BF751" s="1697"/>
      <c r="BG751" s="1697"/>
      <c r="BH751" s="1697"/>
      <c r="BI751" s="1697"/>
      <c r="BJ751" s="1697"/>
      <c r="BK751" s="1697"/>
      <c r="BL751" s="1697"/>
      <c r="BM751" s="1697"/>
      <c r="BN751" s="1697"/>
      <c r="BO751" s="1697"/>
      <c r="BP751" s="1697"/>
      <c r="BQ751" s="1697"/>
      <c r="BR751" s="1697"/>
      <c r="BS751" s="1697"/>
      <c r="BT751" s="1697"/>
      <c r="BU751" s="1697"/>
      <c r="BV751" s="1697"/>
      <c r="BW751" s="1697"/>
      <c r="BX751" s="1697"/>
      <c r="BY751" s="1697"/>
      <c r="BZ751" s="1697"/>
      <c r="CA751" s="1697"/>
      <c r="CB751" s="1697"/>
      <c r="CC751" s="1697"/>
      <c r="CD751" s="1697"/>
      <c r="CE751" s="1697"/>
      <c r="CF751" s="1697"/>
      <c r="CG751" s="1697"/>
      <c r="CH751" s="1697"/>
      <c r="CI751" s="1697"/>
      <c r="CJ751" s="1697"/>
      <c r="CK751" s="1697"/>
      <c r="CL751" s="1697"/>
      <c r="CM751" s="1697"/>
      <c r="CN751" s="1697"/>
      <c r="CO751" s="1697"/>
      <c r="CP751" s="1697"/>
      <c r="CQ751" s="1697"/>
      <c r="CR751" s="1697"/>
      <c r="CS751" s="1697"/>
      <c r="CT751" s="1697"/>
      <c r="CU751" s="1697"/>
      <c r="CV751" s="1697"/>
      <c r="CW751" s="1697"/>
      <c r="CX751" s="1697"/>
      <c r="CY751" s="1697"/>
      <c r="CZ751" s="1697"/>
      <c r="DA751" s="1697"/>
      <c r="DB751" s="1697"/>
      <c r="DC751" s="1697"/>
      <c r="DD751" s="1697"/>
      <c r="DE751" s="1697"/>
      <c r="DF751" s="1697"/>
      <c r="DG751" s="1697"/>
      <c r="DH751" s="1697"/>
      <c r="DI751" s="1697"/>
      <c r="DJ751" s="1697"/>
      <c r="DK751" s="1697"/>
      <c r="DL751" s="1697"/>
      <c r="DM751" s="1697"/>
      <c r="DN751" s="1697"/>
      <c r="DO751" s="1697"/>
      <c r="DP751" s="1697"/>
      <c r="DQ751" s="1697"/>
      <c r="DR751" s="1697"/>
      <c r="DS751" s="1697"/>
      <c r="DT751" s="1697"/>
      <c r="DU751" s="1697"/>
      <c r="DV751" s="1697"/>
      <c r="DW751" s="1697"/>
      <c r="DX751" s="1697"/>
      <c r="DY751" s="1697"/>
      <c r="DZ751" s="1697"/>
      <c r="EA751" s="1697"/>
      <c r="EB751" s="1697"/>
      <c r="EC751" s="1697"/>
      <c r="ED751" s="1697"/>
      <c r="EE751" s="1697"/>
      <c r="EF751" s="1697"/>
      <c r="EG751" s="1697"/>
      <c r="EH751" s="1697"/>
      <c r="EI751" s="1697"/>
      <c r="EJ751" s="1697"/>
      <c r="EK751" s="1697"/>
      <c r="EL751" s="1697"/>
      <c r="EM751" s="1697"/>
      <c r="EN751" s="1697"/>
      <c r="EO751" s="1697"/>
      <c r="EP751" s="1697"/>
      <c r="EQ751" s="1697"/>
      <c r="ER751" s="1697"/>
      <c r="ES751" s="1697"/>
      <c r="ET751" s="1697"/>
      <c r="EU751" s="1697"/>
      <c r="EV751" s="1697"/>
      <c r="EW751" s="1697"/>
      <c r="EX751" s="1697"/>
      <c r="EY751" s="1697"/>
      <c r="EZ751" s="1697"/>
      <c r="FA751" s="1697"/>
      <c r="FB751" s="1697"/>
      <c r="FC751" s="1697"/>
      <c r="FD751" s="1697"/>
      <c r="FE751" s="1697"/>
      <c r="FF751" s="1697"/>
      <c r="FG751" s="1697"/>
      <c r="FH751" s="1697"/>
      <c r="FI751" s="1697"/>
    </row>
    <row r="752" spans="1:165">
      <c r="A752" s="1697"/>
      <c r="B752" s="1697"/>
      <c r="C752" s="1697"/>
      <c r="D752" s="1697"/>
      <c r="E752" s="1697"/>
      <c r="F752" s="1697"/>
      <c r="G752" s="1697"/>
      <c r="H752" s="1697"/>
      <c r="I752" s="1697"/>
      <c r="J752" s="1697"/>
      <c r="K752" s="1697"/>
      <c r="L752" s="1697"/>
      <c r="M752" s="1697"/>
      <c r="N752" s="1697"/>
      <c r="O752" s="1697"/>
      <c r="P752" s="1697"/>
      <c r="Q752" s="1697"/>
      <c r="R752" s="1697"/>
      <c r="S752" s="1697"/>
      <c r="T752" s="1697"/>
      <c r="U752" s="1697"/>
      <c r="V752" s="1697"/>
      <c r="W752" s="1697"/>
      <c r="X752" s="1697"/>
      <c r="Y752" s="1697"/>
      <c r="Z752" s="1697"/>
      <c r="AA752" s="1697"/>
      <c r="AB752" s="1697"/>
      <c r="AC752" s="1697"/>
      <c r="AD752" s="1697"/>
      <c r="AE752" s="1697"/>
      <c r="AF752" s="1697"/>
      <c r="AG752" s="1697"/>
      <c r="AH752" s="1697"/>
      <c r="AI752" s="1697"/>
      <c r="AJ752" s="1697"/>
      <c r="AK752" s="1697"/>
      <c r="AL752" s="1697"/>
      <c r="AM752" s="1697"/>
      <c r="AN752" s="1697"/>
      <c r="AO752" s="1697"/>
      <c r="AP752" s="1697"/>
      <c r="AQ752" s="1697"/>
      <c r="AR752" s="1697"/>
      <c r="AS752" s="1697"/>
      <c r="AT752" s="1697"/>
      <c r="AU752" s="1697"/>
      <c r="AV752" s="1697"/>
      <c r="AW752" s="1697"/>
      <c r="AX752" s="1697"/>
      <c r="AY752" s="1697"/>
      <c r="AZ752" s="1697"/>
      <c r="BA752" s="1697"/>
      <c r="BB752" s="1697"/>
      <c r="BC752" s="1697"/>
      <c r="BD752" s="1697"/>
      <c r="BE752" s="1697"/>
      <c r="BF752" s="1697"/>
      <c r="BG752" s="1697"/>
      <c r="BH752" s="1697"/>
      <c r="BI752" s="1697"/>
      <c r="BJ752" s="1697"/>
      <c r="BK752" s="1697"/>
      <c r="BL752" s="1697"/>
      <c r="BM752" s="1697"/>
      <c r="BN752" s="1697"/>
      <c r="BO752" s="1697"/>
      <c r="BP752" s="1697"/>
      <c r="BQ752" s="1697"/>
      <c r="BR752" s="1697"/>
      <c r="BS752" s="1697"/>
      <c r="BT752" s="1697"/>
      <c r="BU752" s="1697"/>
      <c r="BV752" s="1697"/>
      <c r="BW752" s="1697"/>
      <c r="BX752" s="1697"/>
      <c r="BY752" s="1697"/>
      <c r="BZ752" s="1697"/>
      <c r="CA752" s="1697"/>
      <c r="CB752" s="1697"/>
      <c r="CC752" s="1697"/>
      <c r="CD752" s="1697"/>
      <c r="CE752" s="1697"/>
      <c r="CF752" s="1697"/>
      <c r="CG752" s="1697"/>
      <c r="CH752" s="1697"/>
      <c r="CI752" s="1697"/>
      <c r="CJ752" s="1697"/>
      <c r="CK752" s="1697"/>
      <c r="CL752" s="1697"/>
      <c r="CM752" s="1697"/>
      <c r="CN752" s="1697"/>
      <c r="CO752" s="1697"/>
      <c r="CP752" s="1697"/>
      <c r="CQ752" s="1697"/>
      <c r="CR752" s="1697"/>
      <c r="CS752" s="1697"/>
      <c r="CT752" s="1697"/>
      <c r="CU752" s="1697"/>
      <c r="CV752" s="1697"/>
      <c r="CW752" s="1697"/>
      <c r="CX752" s="1697"/>
      <c r="CY752" s="1697"/>
      <c r="CZ752" s="1697"/>
      <c r="DA752" s="1697"/>
      <c r="DB752" s="1697"/>
      <c r="DC752" s="1697"/>
      <c r="DD752" s="1697"/>
      <c r="DE752" s="1697"/>
      <c r="DF752" s="1697"/>
      <c r="DG752" s="1697"/>
      <c r="DH752" s="1697"/>
      <c r="DI752" s="1697"/>
      <c r="DJ752" s="1697"/>
      <c r="DK752" s="1697"/>
      <c r="DL752" s="1697"/>
      <c r="DM752" s="1697"/>
      <c r="DN752" s="1697"/>
      <c r="DO752" s="1697"/>
      <c r="DP752" s="1697"/>
      <c r="DQ752" s="1697"/>
      <c r="DR752" s="1697"/>
      <c r="DS752" s="1697"/>
      <c r="DT752" s="1697"/>
      <c r="DU752" s="1697"/>
      <c r="DV752" s="1697"/>
      <c r="DW752" s="1697"/>
      <c r="DX752" s="1697"/>
      <c r="DY752" s="1697"/>
      <c r="DZ752" s="1697"/>
      <c r="EA752" s="1697"/>
      <c r="EB752" s="1697"/>
      <c r="EC752" s="1697"/>
      <c r="ED752" s="1697"/>
      <c r="EE752" s="1697"/>
      <c r="EF752" s="1697"/>
      <c r="EG752" s="1697"/>
      <c r="EH752" s="1697"/>
      <c r="EI752" s="1697"/>
      <c r="EJ752" s="1697"/>
      <c r="EK752" s="1697"/>
      <c r="EL752" s="1697"/>
      <c r="EM752" s="1697"/>
      <c r="EN752" s="1697"/>
      <c r="EO752" s="1697"/>
      <c r="EP752" s="1697"/>
      <c r="EQ752" s="1697"/>
      <c r="ER752" s="1697"/>
      <c r="ES752" s="1697"/>
      <c r="ET752" s="1697"/>
      <c r="EU752" s="1697"/>
      <c r="EV752" s="1697"/>
      <c r="EW752" s="1697"/>
      <c r="EX752" s="1697"/>
      <c r="EY752" s="1697"/>
      <c r="EZ752" s="1697"/>
      <c r="FA752" s="1697"/>
      <c r="FB752" s="1697"/>
      <c r="FC752" s="1697"/>
      <c r="FD752" s="1697"/>
      <c r="FE752" s="1697"/>
      <c r="FF752" s="1697"/>
      <c r="FG752" s="1697"/>
      <c r="FH752" s="1697"/>
      <c r="FI752" s="1697"/>
    </row>
    <row r="753" spans="1:165">
      <c r="A753" s="1697"/>
      <c r="B753" s="1697"/>
      <c r="C753" s="1697"/>
      <c r="D753" s="1697"/>
      <c r="E753" s="1697"/>
      <c r="F753" s="1697"/>
      <c r="G753" s="1697"/>
      <c r="H753" s="1697"/>
      <c r="I753" s="1697"/>
      <c r="J753" s="1697"/>
      <c r="K753" s="1697"/>
      <c r="L753" s="1697"/>
      <c r="M753" s="1697"/>
      <c r="N753" s="1697"/>
      <c r="O753" s="1697"/>
      <c r="P753" s="1697"/>
      <c r="Q753" s="1697"/>
      <c r="R753" s="1697"/>
      <c r="S753" s="1697"/>
      <c r="T753" s="1697"/>
      <c r="U753" s="1697"/>
      <c r="V753" s="1697"/>
      <c r="W753" s="1697"/>
      <c r="X753" s="1697"/>
      <c r="Y753" s="1697"/>
      <c r="Z753" s="1697"/>
      <c r="AA753" s="1697"/>
      <c r="AB753" s="1697"/>
      <c r="AC753" s="1697"/>
      <c r="AD753" s="1697"/>
      <c r="AE753" s="1697"/>
      <c r="AF753" s="1697"/>
      <c r="AG753" s="1697"/>
      <c r="AH753" s="1697"/>
      <c r="AI753" s="1697"/>
      <c r="AJ753" s="1697"/>
      <c r="AK753" s="1697"/>
      <c r="AL753" s="1697"/>
      <c r="AM753" s="1697"/>
      <c r="AN753" s="1697"/>
      <c r="AO753" s="1697"/>
      <c r="AP753" s="1697"/>
      <c r="AQ753" s="1697"/>
      <c r="AR753" s="1697"/>
      <c r="AS753" s="1697"/>
      <c r="AT753" s="1697"/>
      <c r="AU753" s="1697"/>
      <c r="AV753" s="1697"/>
      <c r="AW753" s="1697"/>
      <c r="AX753" s="1697"/>
      <c r="AY753" s="1697"/>
      <c r="AZ753" s="1697"/>
      <c r="BA753" s="1697"/>
      <c r="BB753" s="1697"/>
      <c r="BC753" s="1697"/>
      <c r="BD753" s="1697"/>
      <c r="BE753" s="1697"/>
      <c r="BF753" s="1697"/>
      <c r="BG753" s="1697"/>
      <c r="BH753" s="1697"/>
      <c r="BI753" s="1697"/>
      <c r="BJ753" s="1697"/>
      <c r="BK753" s="1697"/>
      <c r="BL753" s="1697"/>
      <c r="BM753" s="1697"/>
      <c r="BN753" s="1697"/>
      <c r="BO753" s="1697"/>
      <c r="BP753" s="1697"/>
      <c r="BQ753" s="1697"/>
      <c r="BR753" s="1697"/>
      <c r="BS753" s="1697"/>
      <c r="BT753" s="1697"/>
      <c r="BU753" s="1697"/>
      <c r="BV753" s="1697"/>
      <c r="BW753" s="1697"/>
      <c r="BX753" s="1697"/>
      <c r="BY753" s="1697"/>
      <c r="BZ753" s="1697"/>
      <c r="CA753" s="1697"/>
      <c r="CB753" s="1697"/>
      <c r="CC753" s="1697"/>
      <c r="CD753" s="1697"/>
      <c r="CE753" s="1697"/>
      <c r="CF753" s="1697"/>
      <c r="CG753" s="1697"/>
      <c r="CH753" s="1697"/>
      <c r="CI753" s="1697"/>
      <c r="CJ753" s="1697"/>
      <c r="CK753" s="1697"/>
      <c r="CL753" s="1697"/>
      <c r="CM753" s="1697"/>
      <c r="CN753" s="1697"/>
      <c r="CO753" s="1697"/>
      <c r="CP753" s="1697"/>
      <c r="CQ753" s="1697"/>
      <c r="CR753" s="1697"/>
      <c r="CS753" s="1697"/>
      <c r="CT753" s="1697"/>
      <c r="CU753" s="1697"/>
      <c r="CV753" s="1697"/>
      <c r="CW753" s="1697"/>
      <c r="CX753" s="1697"/>
      <c r="CY753" s="1697"/>
      <c r="CZ753" s="1697"/>
      <c r="DA753" s="1697"/>
      <c r="DB753" s="1697"/>
      <c r="DC753" s="1697"/>
      <c r="DD753" s="1697"/>
      <c r="DE753" s="1697"/>
      <c r="DF753" s="1697"/>
      <c r="DG753" s="1697"/>
      <c r="DH753" s="1697"/>
      <c r="DI753" s="1697"/>
      <c r="DJ753" s="1697"/>
      <c r="DK753" s="1697"/>
      <c r="DL753" s="1697"/>
      <c r="DM753" s="1697"/>
      <c r="DN753" s="1697"/>
      <c r="DO753" s="1697"/>
      <c r="DP753" s="1697"/>
      <c r="DQ753" s="1697"/>
      <c r="DR753" s="1697"/>
      <c r="DS753" s="1697"/>
      <c r="DT753" s="1697"/>
      <c r="DU753" s="1697"/>
      <c r="DV753" s="1697"/>
      <c r="DW753" s="1697"/>
      <c r="DX753" s="1697"/>
      <c r="DY753" s="1697"/>
      <c r="DZ753" s="1697"/>
      <c r="EA753" s="1697"/>
      <c r="EB753" s="1697"/>
      <c r="EC753" s="1697"/>
      <c r="ED753" s="1697"/>
      <c r="EE753" s="1697"/>
      <c r="EF753" s="1697"/>
      <c r="EG753" s="1697"/>
      <c r="EH753" s="1697"/>
      <c r="EI753" s="1697"/>
      <c r="EJ753" s="1697"/>
      <c r="EK753" s="1697"/>
      <c r="EL753" s="1697"/>
      <c r="EM753" s="1697"/>
      <c r="EN753" s="1697"/>
      <c r="EO753" s="1697"/>
      <c r="EP753" s="1697"/>
      <c r="EQ753" s="1697"/>
      <c r="ER753" s="1697"/>
      <c r="ES753" s="1697"/>
      <c r="ET753" s="1697"/>
      <c r="EU753" s="1697"/>
      <c r="EV753" s="1697"/>
      <c r="EW753" s="1697"/>
      <c r="EX753" s="1697"/>
      <c r="EY753" s="1697"/>
      <c r="EZ753" s="1697"/>
      <c r="FA753" s="1697"/>
      <c r="FB753" s="1697"/>
      <c r="FC753" s="1697"/>
      <c r="FD753" s="1697"/>
      <c r="FE753" s="1697"/>
      <c r="FF753" s="1697"/>
      <c r="FG753" s="1697"/>
      <c r="FH753" s="1697"/>
      <c r="FI753" s="1697"/>
    </row>
    <row r="754" spans="1:165">
      <c r="A754" s="1697"/>
      <c r="B754" s="1697"/>
      <c r="C754" s="1697"/>
      <c r="D754" s="1697"/>
      <c r="E754" s="1697"/>
      <c r="F754" s="1697"/>
      <c r="G754" s="1697"/>
      <c r="H754" s="1697"/>
      <c r="I754" s="1697"/>
      <c r="J754" s="1697"/>
      <c r="K754" s="1697"/>
      <c r="L754" s="1697"/>
      <c r="M754" s="1697"/>
      <c r="N754" s="1697"/>
      <c r="O754" s="1697"/>
      <c r="P754" s="1697"/>
      <c r="Q754" s="1697"/>
      <c r="R754" s="1697"/>
      <c r="S754" s="1697"/>
      <c r="T754" s="1697"/>
      <c r="U754" s="1697"/>
      <c r="V754" s="1697"/>
      <c r="W754" s="1697"/>
      <c r="X754" s="1697"/>
      <c r="Y754" s="1697"/>
      <c r="Z754" s="1697"/>
      <c r="AA754" s="1697"/>
      <c r="AB754" s="1697"/>
      <c r="AC754" s="1697"/>
      <c r="AD754" s="1697"/>
      <c r="AE754" s="1697"/>
      <c r="AF754" s="1697"/>
      <c r="AG754" s="1697"/>
      <c r="AH754" s="1697"/>
      <c r="AI754" s="1697"/>
      <c r="AJ754" s="1697"/>
      <c r="AK754" s="1697"/>
      <c r="AL754" s="1697"/>
      <c r="AM754" s="1697"/>
      <c r="AN754" s="1697"/>
      <c r="AO754" s="1697"/>
      <c r="AP754" s="1697"/>
      <c r="AQ754" s="1697"/>
      <c r="AR754" s="1697"/>
      <c r="AS754" s="1697"/>
      <c r="AT754" s="1697"/>
      <c r="AU754" s="1697"/>
      <c r="AV754" s="1697"/>
      <c r="AW754" s="1697"/>
      <c r="AX754" s="1697"/>
      <c r="AY754" s="1697"/>
      <c r="AZ754" s="1697"/>
      <c r="BA754" s="1697"/>
      <c r="BB754" s="1697"/>
      <c r="BC754" s="1697"/>
      <c r="BD754" s="1697"/>
      <c r="BE754" s="1697"/>
      <c r="BF754" s="1697"/>
      <c r="BG754" s="1697"/>
      <c r="BH754" s="1697"/>
      <c r="BI754" s="1697"/>
      <c r="BJ754" s="1697"/>
      <c r="BK754" s="1697"/>
      <c r="BL754" s="1697"/>
      <c r="BM754" s="1697"/>
      <c r="BN754" s="1697"/>
      <c r="BO754" s="1697"/>
      <c r="BP754" s="1697"/>
      <c r="BQ754" s="1697"/>
      <c r="BR754" s="1697"/>
      <c r="BS754" s="1697"/>
      <c r="BT754" s="1697"/>
      <c r="BU754" s="1697"/>
      <c r="BV754" s="1697"/>
      <c r="BW754" s="1697"/>
      <c r="BX754" s="1697"/>
      <c r="BY754" s="1697"/>
      <c r="BZ754" s="1697"/>
      <c r="CA754" s="1697"/>
      <c r="CB754" s="1697"/>
      <c r="CC754" s="1697"/>
      <c r="CD754" s="1697"/>
      <c r="CE754" s="1697"/>
      <c r="CF754" s="1697"/>
      <c r="CG754" s="1697"/>
      <c r="CH754" s="1697"/>
      <c r="CI754" s="1697"/>
      <c r="CJ754" s="1697"/>
      <c r="CK754" s="1697"/>
      <c r="CL754" s="1697"/>
      <c r="CM754" s="1697"/>
      <c r="CN754" s="1697"/>
      <c r="CO754" s="1697"/>
      <c r="CP754" s="1697"/>
      <c r="CQ754" s="1697"/>
      <c r="CR754" s="1697"/>
      <c r="CS754" s="1697"/>
      <c r="CT754" s="1697"/>
      <c r="CU754" s="1697"/>
      <c r="CV754" s="1697"/>
      <c r="CW754" s="1697"/>
      <c r="CX754" s="1697"/>
      <c r="CY754" s="1697"/>
      <c r="CZ754" s="1697"/>
      <c r="DA754" s="1697"/>
      <c r="DB754" s="1697"/>
      <c r="DC754" s="1697"/>
      <c r="DD754" s="1697"/>
      <c r="DE754" s="1697"/>
      <c r="DF754" s="1697"/>
      <c r="DG754" s="1697"/>
      <c r="DH754" s="1697"/>
      <c r="DI754" s="1697"/>
      <c r="DJ754" s="1697"/>
      <c r="DK754" s="1697"/>
      <c r="DL754" s="1697"/>
      <c r="DM754" s="1697"/>
      <c r="DN754" s="1697"/>
      <c r="DO754" s="1697"/>
      <c r="DP754" s="1697"/>
      <c r="DQ754" s="1697"/>
      <c r="DR754" s="1697"/>
      <c r="DS754" s="1697"/>
      <c r="DT754" s="1697"/>
      <c r="DU754" s="1697"/>
      <c r="DV754" s="1697"/>
      <c r="DW754" s="1697"/>
      <c r="DX754" s="1697"/>
      <c r="DY754" s="1697"/>
      <c r="DZ754" s="1697"/>
      <c r="EA754" s="1697"/>
      <c r="EB754" s="1697"/>
      <c r="EC754" s="1697"/>
      <c r="ED754" s="1697"/>
      <c r="EE754" s="1697"/>
      <c r="EF754" s="1697"/>
      <c r="EG754" s="1697"/>
      <c r="EH754" s="1697"/>
      <c r="EI754" s="1697"/>
      <c r="EJ754" s="1697"/>
      <c r="EK754" s="1697"/>
      <c r="EL754" s="1697"/>
      <c r="EM754" s="1697"/>
      <c r="EN754" s="1697"/>
      <c r="EO754" s="1697"/>
      <c r="EP754" s="1697"/>
      <c r="EQ754" s="1697"/>
      <c r="ER754" s="1697"/>
      <c r="ES754" s="1697"/>
      <c r="ET754" s="1697"/>
      <c r="EU754" s="1697"/>
      <c r="EV754" s="1697"/>
      <c r="EW754" s="1697"/>
      <c r="EX754" s="1697"/>
      <c r="EY754" s="1697"/>
      <c r="EZ754" s="1697"/>
      <c r="FA754" s="1697"/>
      <c r="FB754" s="1697"/>
      <c r="FC754" s="1697"/>
      <c r="FD754" s="1697"/>
      <c r="FE754" s="1697"/>
      <c r="FF754" s="1697"/>
      <c r="FG754" s="1697"/>
      <c r="FH754" s="1697"/>
      <c r="FI754" s="1697"/>
    </row>
    <row r="755" spans="1:165">
      <c r="A755" s="1697"/>
      <c r="B755" s="1697"/>
      <c r="C755" s="1697"/>
      <c r="D755" s="1697"/>
      <c r="E755" s="1697"/>
      <c r="F755" s="1697"/>
      <c r="G755" s="1697"/>
      <c r="H755" s="1697"/>
      <c r="I755" s="1697"/>
      <c r="J755" s="1697"/>
      <c r="K755" s="1697"/>
      <c r="L755" s="1697"/>
      <c r="M755" s="1697"/>
      <c r="N755" s="1697"/>
      <c r="O755" s="1697"/>
      <c r="P755" s="1697"/>
      <c r="Q755" s="1697"/>
      <c r="R755" s="1697"/>
      <c r="S755" s="1697"/>
      <c r="T755" s="1697"/>
      <c r="U755" s="1697"/>
      <c r="V755" s="1697"/>
      <c r="W755" s="1697"/>
      <c r="X755" s="1697"/>
      <c r="Y755" s="1697"/>
      <c r="Z755" s="1697"/>
      <c r="AA755" s="1697"/>
      <c r="AB755" s="1697"/>
      <c r="AC755" s="1697"/>
      <c r="AD755" s="1697"/>
      <c r="AE755" s="1697"/>
      <c r="AF755" s="1697"/>
      <c r="AG755" s="1697"/>
      <c r="AH755" s="1697"/>
      <c r="AI755" s="1697"/>
      <c r="AJ755" s="1697"/>
      <c r="AK755" s="1697"/>
      <c r="AL755" s="1697"/>
      <c r="AM755" s="1697"/>
      <c r="AN755" s="1697"/>
      <c r="AO755" s="1697"/>
      <c r="AP755" s="1697"/>
      <c r="AQ755" s="1697"/>
      <c r="AR755" s="1697"/>
      <c r="AS755" s="1697"/>
      <c r="AT755" s="1697"/>
      <c r="AU755" s="1697"/>
      <c r="AV755" s="1697"/>
      <c r="AW755" s="1697"/>
      <c r="AX755" s="1697"/>
      <c r="AY755" s="1697"/>
      <c r="AZ755" s="1697"/>
      <c r="BA755" s="1697"/>
      <c r="BB755" s="1697"/>
      <c r="BC755" s="1697"/>
      <c r="BD755" s="1697"/>
      <c r="BE755" s="1697"/>
      <c r="BF755" s="1697"/>
      <c r="BG755" s="1697"/>
      <c r="BH755" s="1697"/>
      <c r="BI755" s="1697"/>
      <c r="BJ755" s="1697"/>
      <c r="BK755" s="1697"/>
      <c r="BL755" s="1697"/>
      <c r="BM755" s="1697"/>
      <c r="BN755" s="1697"/>
      <c r="BO755" s="1697"/>
      <c r="BP755" s="1697"/>
      <c r="BQ755" s="1697"/>
      <c r="BR755" s="1697"/>
      <c r="BS755" s="1697"/>
      <c r="BT755" s="1697"/>
      <c r="BU755" s="1697"/>
      <c r="BV755" s="1697"/>
      <c r="BW755" s="1697"/>
      <c r="BX755" s="1697"/>
      <c r="BY755" s="1697"/>
      <c r="BZ755" s="1697"/>
      <c r="CA755" s="1697"/>
      <c r="CB755" s="1697"/>
      <c r="CC755" s="1697"/>
      <c r="CD755" s="1697"/>
      <c r="CE755" s="1697"/>
      <c r="CF755" s="1697"/>
      <c r="CG755" s="1697"/>
      <c r="CH755" s="1697"/>
      <c r="CI755" s="1697"/>
      <c r="CJ755" s="1697"/>
      <c r="CK755" s="1697"/>
      <c r="CL755" s="1697"/>
      <c r="CM755" s="1697"/>
      <c r="CN755" s="1697"/>
      <c r="CO755" s="1697"/>
      <c r="CP755" s="1697"/>
      <c r="CQ755" s="1697"/>
      <c r="CR755" s="1697"/>
      <c r="CS755" s="1697"/>
      <c r="CT755" s="1697"/>
      <c r="CU755" s="1697"/>
      <c r="CV755" s="1697"/>
      <c r="CW755" s="1697"/>
      <c r="CX755" s="1697"/>
      <c r="CY755" s="1697"/>
      <c r="CZ755" s="1697"/>
      <c r="DA755" s="1697"/>
      <c r="DB755" s="1697"/>
      <c r="DC755" s="1697"/>
      <c r="DD755" s="1697"/>
      <c r="DE755" s="1697"/>
      <c r="DF755" s="1697"/>
      <c r="DG755" s="1697"/>
      <c r="DH755" s="1697"/>
      <c r="DI755" s="1697"/>
      <c r="DJ755" s="1697"/>
      <c r="DK755" s="1697"/>
      <c r="DL755" s="1697"/>
      <c r="DM755" s="1697"/>
      <c r="DN755" s="1697"/>
      <c r="DO755" s="1697"/>
      <c r="DP755" s="1697"/>
      <c r="DQ755" s="1697"/>
      <c r="DR755" s="1697"/>
      <c r="DS755" s="1697"/>
      <c r="DT755" s="1697"/>
      <c r="DU755" s="1697"/>
      <c r="DV755" s="1697"/>
      <c r="DW755" s="1697"/>
      <c r="DX755" s="1697"/>
      <c r="DY755" s="1697"/>
      <c r="DZ755" s="1697"/>
      <c r="EA755" s="1697"/>
      <c r="EB755" s="1697"/>
      <c r="EC755" s="1697"/>
      <c r="ED755" s="1697"/>
      <c r="EE755" s="1697"/>
      <c r="EF755" s="1697"/>
      <c r="EG755" s="1697"/>
      <c r="EH755" s="1697"/>
      <c r="EI755" s="1697"/>
      <c r="EJ755" s="1697"/>
      <c r="EK755" s="1697"/>
      <c r="EL755" s="1697"/>
      <c r="EM755" s="1697"/>
      <c r="EN755" s="1697"/>
      <c r="EO755" s="1697"/>
      <c r="EP755" s="1697"/>
      <c r="EQ755" s="1697"/>
      <c r="ER755" s="1697"/>
      <c r="ES755" s="1697"/>
      <c r="ET755" s="1697"/>
      <c r="EU755" s="1697"/>
      <c r="EV755" s="1697"/>
      <c r="EW755" s="1697"/>
      <c r="EX755" s="1697"/>
      <c r="EY755" s="1697"/>
      <c r="EZ755" s="1697"/>
      <c r="FA755" s="1697"/>
      <c r="FB755" s="1697"/>
      <c r="FC755" s="1697"/>
      <c r="FD755" s="1697"/>
      <c r="FE755" s="1697"/>
      <c r="FF755" s="1697"/>
      <c r="FG755" s="1697"/>
      <c r="FH755" s="1697"/>
      <c r="FI755" s="1697"/>
    </row>
    <row r="756" spans="1:165">
      <c r="A756" s="1697"/>
      <c r="B756" s="1697"/>
      <c r="C756" s="1697"/>
      <c r="D756" s="1697"/>
      <c r="E756" s="1697"/>
      <c r="F756" s="1697"/>
      <c r="G756" s="1697"/>
      <c r="H756" s="1697"/>
      <c r="I756" s="1697"/>
      <c r="J756" s="1697"/>
      <c r="K756" s="1697"/>
      <c r="L756" s="1697"/>
      <c r="M756" s="1697"/>
      <c r="N756" s="1697"/>
      <c r="O756" s="1697"/>
      <c r="P756" s="1697"/>
      <c r="Q756" s="1697"/>
      <c r="R756" s="1697"/>
      <c r="S756" s="1697"/>
      <c r="T756" s="1697"/>
      <c r="U756" s="1697"/>
      <c r="V756" s="1697"/>
      <c r="W756" s="1697"/>
      <c r="X756" s="1697"/>
      <c r="Y756" s="1697"/>
      <c r="Z756" s="1697"/>
      <c r="AA756" s="1697"/>
      <c r="AB756" s="1697"/>
      <c r="AC756" s="1697"/>
      <c r="AD756" s="1697"/>
      <c r="AE756" s="1697"/>
      <c r="AF756" s="1697"/>
      <c r="AG756" s="1697"/>
      <c r="AH756" s="1697"/>
      <c r="AI756" s="1697"/>
      <c r="AJ756" s="1697"/>
      <c r="AK756" s="1697"/>
      <c r="AL756" s="1697"/>
      <c r="AM756" s="1697"/>
      <c r="AN756" s="1697"/>
      <c r="AO756" s="1697"/>
      <c r="AP756" s="1697"/>
      <c r="AQ756" s="1697"/>
      <c r="AR756" s="1697"/>
      <c r="AS756" s="1697"/>
      <c r="AT756" s="1697"/>
      <c r="AU756" s="1697"/>
      <c r="AV756" s="1697"/>
      <c r="AW756" s="1697"/>
      <c r="AX756" s="1697"/>
      <c r="AY756" s="1697"/>
      <c r="AZ756" s="1697"/>
      <c r="BA756" s="1697"/>
      <c r="BB756" s="1697"/>
      <c r="BC756" s="1697"/>
      <c r="BD756" s="1697"/>
      <c r="BE756" s="1697"/>
      <c r="BF756" s="1697"/>
      <c r="BG756" s="1697"/>
      <c r="BH756" s="1697"/>
      <c r="BI756" s="1697"/>
      <c r="BJ756" s="1697"/>
      <c r="BK756" s="1697"/>
      <c r="BL756" s="1697"/>
      <c r="BM756" s="1697"/>
      <c r="BN756" s="1697"/>
      <c r="BO756" s="1697"/>
      <c r="BP756" s="1697"/>
      <c r="BQ756" s="1697"/>
      <c r="BR756" s="1697"/>
      <c r="BS756" s="1697"/>
      <c r="BT756" s="1697"/>
      <c r="BU756" s="1697"/>
      <c r="BV756" s="1697"/>
      <c r="BW756" s="1697"/>
      <c r="BX756" s="1697"/>
      <c r="BY756" s="1697"/>
      <c r="BZ756" s="1697"/>
      <c r="CA756" s="1697"/>
      <c r="CB756" s="1697"/>
      <c r="CC756" s="1697"/>
      <c r="CD756" s="1697"/>
      <c r="CE756" s="1697"/>
      <c r="CF756" s="1697"/>
      <c r="CG756" s="1697"/>
      <c r="CH756" s="1697"/>
      <c r="CI756" s="1697"/>
      <c r="CJ756" s="1697"/>
      <c r="CK756" s="1697"/>
      <c r="CL756" s="1697"/>
      <c r="CM756" s="1697"/>
      <c r="CN756" s="1697"/>
      <c r="CO756" s="1697"/>
      <c r="CP756" s="1697"/>
      <c r="CQ756" s="1697"/>
      <c r="CR756" s="1697"/>
      <c r="CS756" s="1697"/>
      <c r="CT756" s="1697"/>
      <c r="CU756" s="1697"/>
      <c r="CV756" s="1697"/>
      <c r="CW756" s="1697"/>
      <c r="CX756" s="1697"/>
      <c r="CY756" s="1697"/>
      <c r="CZ756" s="1697"/>
      <c r="DA756" s="1697"/>
      <c r="DB756" s="1697"/>
      <c r="DC756" s="1697"/>
      <c r="DD756" s="1697"/>
      <c r="DE756" s="1697"/>
      <c r="DF756" s="1697"/>
      <c r="DG756" s="1697"/>
      <c r="DH756" s="1697"/>
      <c r="DI756" s="1697"/>
      <c r="DJ756" s="1697"/>
      <c r="DK756" s="1697"/>
      <c r="DL756" s="1697"/>
      <c r="DM756" s="1697"/>
      <c r="DN756" s="1697"/>
      <c r="DO756" s="1697"/>
      <c r="DP756" s="1697"/>
      <c r="DQ756" s="1697"/>
      <c r="DR756" s="1697"/>
      <c r="DS756" s="1697"/>
      <c r="DT756" s="1697"/>
      <c r="DU756" s="1697"/>
      <c r="DV756" s="1697"/>
      <c r="DW756" s="1697"/>
      <c r="DX756" s="1697"/>
      <c r="DY756" s="1697"/>
      <c r="DZ756" s="1697"/>
      <c r="EA756" s="1697"/>
      <c r="EB756" s="1697"/>
      <c r="EC756" s="1697"/>
      <c r="ED756" s="1697"/>
      <c r="EE756" s="1697"/>
      <c r="EF756" s="1697"/>
      <c r="EG756" s="1697"/>
      <c r="EH756" s="1697"/>
      <c r="EI756" s="1697"/>
      <c r="EJ756" s="1697"/>
      <c r="EK756" s="1697"/>
      <c r="EL756" s="1697"/>
      <c r="EM756" s="1697"/>
      <c r="EN756" s="1697"/>
      <c r="EO756" s="1697"/>
      <c r="EP756" s="1697"/>
      <c r="EQ756" s="1697"/>
      <c r="ER756" s="1697"/>
      <c r="ES756" s="1697"/>
      <c r="ET756" s="1697"/>
      <c r="EU756" s="1697"/>
      <c r="EV756" s="1697"/>
      <c r="EW756" s="1697"/>
      <c r="EX756" s="1697"/>
      <c r="EY756" s="1697"/>
      <c r="EZ756" s="1697"/>
      <c r="FA756" s="1697"/>
      <c r="FB756" s="1697"/>
      <c r="FC756" s="1697"/>
      <c r="FD756" s="1697"/>
      <c r="FE756" s="1697"/>
      <c r="FF756" s="1697"/>
      <c r="FG756" s="1697"/>
      <c r="FH756" s="1697"/>
      <c r="FI756" s="1697"/>
    </row>
    <row r="757" spans="1:165">
      <c r="A757" s="1697"/>
      <c r="B757" s="1697"/>
      <c r="C757" s="1697"/>
      <c r="D757" s="1697"/>
      <c r="E757" s="1697"/>
      <c r="F757" s="1697"/>
      <c r="G757" s="1697"/>
      <c r="H757" s="1697"/>
      <c r="I757" s="1697"/>
      <c r="J757" s="1697"/>
      <c r="K757" s="1697"/>
      <c r="L757" s="1697"/>
      <c r="M757" s="1697"/>
      <c r="N757" s="1697"/>
      <c r="O757" s="1697"/>
      <c r="P757" s="1697"/>
      <c r="Q757" s="1697"/>
      <c r="R757" s="1697"/>
      <c r="S757" s="1697"/>
      <c r="T757" s="1697"/>
      <c r="U757" s="1697"/>
      <c r="V757" s="1697"/>
      <c r="W757" s="1697"/>
      <c r="X757" s="1697"/>
      <c r="Y757" s="1697"/>
      <c r="Z757" s="1697"/>
      <c r="AA757" s="1697"/>
      <c r="AB757" s="1697"/>
      <c r="AC757" s="1697"/>
      <c r="AD757" s="1697"/>
      <c r="AE757" s="1697"/>
      <c r="AF757" s="1697"/>
      <c r="AG757" s="1697"/>
      <c r="AH757" s="1697"/>
      <c r="AI757" s="1697"/>
      <c r="AJ757" s="1697"/>
      <c r="AK757" s="1697"/>
      <c r="AL757" s="1697"/>
      <c r="AM757" s="1697"/>
      <c r="AN757" s="1697"/>
      <c r="AO757" s="1697"/>
      <c r="AP757" s="1697"/>
      <c r="AQ757" s="1697"/>
      <c r="AR757" s="1697"/>
      <c r="AS757" s="1697"/>
      <c r="AT757" s="1697"/>
      <c r="AU757" s="1697"/>
      <c r="AV757" s="1697"/>
      <c r="AW757" s="1697"/>
      <c r="AX757" s="1697"/>
      <c r="AY757" s="1697"/>
      <c r="AZ757" s="1697"/>
      <c r="BA757" s="1697"/>
      <c r="BB757" s="1697"/>
      <c r="BC757" s="1697"/>
      <c r="BD757" s="1697"/>
      <c r="BE757" s="1697"/>
      <c r="BF757" s="1697"/>
      <c r="BG757" s="1697"/>
      <c r="BH757" s="1697"/>
      <c r="BI757" s="1697"/>
      <c r="BJ757" s="1697"/>
      <c r="BK757" s="1697"/>
      <c r="BL757" s="1697"/>
      <c r="BM757" s="1697"/>
      <c r="BN757" s="1697"/>
      <c r="BO757" s="1697"/>
      <c r="BP757" s="1697"/>
      <c r="BQ757" s="1697"/>
      <c r="BR757" s="1697"/>
      <c r="BS757" s="1697"/>
      <c r="BT757" s="1697"/>
      <c r="BU757" s="1697"/>
      <c r="BV757" s="1697"/>
      <c r="BW757" s="1697"/>
      <c r="BX757" s="1697"/>
      <c r="BY757" s="1697"/>
      <c r="BZ757" s="1697"/>
      <c r="CA757" s="1697"/>
      <c r="CB757" s="1697"/>
      <c r="CC757" s="1697"/>
      <c r="CD757" s="1697"/>
      <c r="CE757" s="1697"/>
      <c r="CF757" s="1697"/>
      <c r="CG757" s="1697"/>
      <c r="CH757" s="1697"/>
      <c r="CI757" s="1697"/>
      <c r="CJ757" s="1697"/>
      <c r="CK757" s="1697"/>
      <c r="CL757" s="1697"/>
      <c r="CM757" s="1697"/>
      <c r="CN757" s="1697"/>
      <c r="CO757" s="1697"/>
      <c r="CP757" s="1697"/>
      <c r="CQ757" s="1697"/>
      <c r="CR757" s="1697"/>
      <c r="CS757" s="1697"/>
      <c r="CT757" s="1697"/>
      <c r="CU757" s="1697"/>
      <c r="CV757" s="1697"/>
      <c r="CW757" s="1697"/>
      <c r="CX757" s="1697"/>
      <c r="CY757" s="1697"/>
      <c r="CZ757" s="1697"/>
      <c r="DA757" s="1697"/>
      <c r="DB757" s="1697"/>
      <c r="DC757" s="1697"/>
      <c r="DD757" s="1697"/>
      <c r="DE757" s="1697"/>
      <c r="DF757" s="1697"/>
      <c r="DG757" s="1697"/>
      <c r="DH757" s="1697"/>
      <c r="DI757" s="1697"/>
      <c r="DJ757" s="1697"/>
      <c r="DK757" s="1697"/>
      <c r="DL757" s="1697"/>
      <c r="DM757" s="1697"/>
      <c r="DN757" s="1697"/>
      <c r="DO757" s="1697"/>
      <c r="DP757" s="1697"/>
      <c r="DQ757" s="1697"/>
      <c r="DR757" s="1697"/>
      <c r="DS757" s="1697"/>
      <c r="DT757" s="1697"/>
      <c r="DU757" s="1697"/>
      <c r="DV757" s="1697"/>
      <c r="DW757" s="1697"/>
      <c r="DX757" s="1697"/>
      <c r="DY757" s="1697"/>
      <c r="DZ757" s="1697"/>
      <c r="EA757" s="1697"/>
      <c r="EB757" s="1697"/>
      <c r="EC757" s="1697"/>
      <c r="ED757" s="1697"/>
      <c r="EE757" s="1697"/>
      <c r="EF757" s="1697"/>
      <c r="EG757" s="1697"/>
      <c r="EH757" s="1697"/>
      <c r="EI757" s="1697"/>
      <c r="EJ757" s="1697"/>
      <c r="EK757" s="1697"/>
      <c r="EL757" s="1697"/>
      <c r="EM757" s="1697"/>
      <c r="EN757" s="1697"/>
      <c r="EO757" s="1697"/>
      <c r="EP757" s="1697"/>
      <c r="EQ757" s="1697"/>
      <c r="ER757" s="1697"/>
      <c r="ES757" s="1697"/>
      <c r="ET757" s="1697"/>
      <c r="EU757" s="1697"/>
      <c r="EV757" s="1697"/>
      <c r="EW757" s="1697"/>
      <c r="EX757" s="1697"/>
      <c r="EY757" s="1697"/>
      <c r="EZ757" s="1697"/>
      <c r="FA757" s="1697"/>
      <c r="FB757" s="1697"/>
      <c r="FC757" s="1697"/>
      <c r="FD757" s="1697"/>
      <c r="FE757" s="1697"/>
      <c r="FF757" s="1697"/>
      <c r="FG757" s="1697"/>
      <c r="FH757" s="1697"/>
      <c r="FI757" s="1697"/>
    </row>
    <row r="758" spans="1:165">
      <c r="A758" s="1697"/>
      <c r="B758" s="1697"/>
      <c r="C758" s="1697"/>
      <c r="D758" s="1697"/>
      <c r="E758" s="1697"/>
      <c r="F758" s="1697"/>
      <c r="G758" s="1697"/>
      <c r="H758" s="1697"/>
      <c r="I758" s="1697"/>
      <c r="J758" s="1697"/>
      <c r="K758" s="1697"/>
      <c r="L758" s="1697"/>
      <c r="M758" s="1697"/>
      <c r="N758" s="1697"/>
      <c r="O758" s="1697"/>
      <c r="P758" s="1697"/>
      <c r="Q758" s="1697"/>
      <c r="R758" s="1697"/>
      <c r="S758" s="1697"/>
      <c r="T758" s="1697"/>
      <c r="U758" s="1697"/>
      <c r="V758" s="1697"/>
      <c r="W758" s="1697"/>
      <c r="X758" s="1697"/>
      <c r="Y758" s="1697"/>
      <c r="Z758" s="1697"/>
      <c r="AA758" s="1697"/>
      <c r="AB758" s="1697"/>
      <c r="AC758" s="1697"/>
      <c r="AD758" s="1697"/>
      <c r="AE758" s="1697"/>
      <c r="AF758" s="1697"/>
      <c r="AG758" s="1697"/>
      <c r="AH758" s="1697"/>
      <c r="AI758" s="1697"/>
      <c r="AJ758" s="1697"/>
      <c r="AK758" s="1697"/>
      <c r="AL758" s="1697"/>
      <c r="AM758" s="1697"/>
      <c r="AN758" s="1697"/>
      <c r="AO758" s="1697"/>
      <c r="AP758" s="1697"/>
      <c r="AQ758" s="1697"/>
      <c r="AR758" s="1697"/>
      <c r="AS758" s="1697"/>
      <c r="AT758" s="1697"/>
      <c r="AU758" s="1697"/>
      <c r="AV758" s="1697"/>
      <c r="AW758" s="1697"/>
      <c r="AX758" s="1697"/>
      <c r="AY758" s="1697"/>
      <c r="AZ758" s="1697"/>
      <c r="BA758" s="1697"/>
      <c r="BB758" s="1697"/>
      <c r="BC758" s="1697"/>
      <c r="BD758" s="1697"/>
      <c r="BE758" s="1697"/>
      <c r="BF758" s="1697"/>
      <c r="BG758" s="1697"/>
      <c r="BH758" s="1697"/>
      <c r="BI758" s="1697"/>
      <c r="BJ758" s="1697"/>
      <c r="BK758" s="1697"/>
      <c r="BL758" s="1697"/>
      <c r="BM758" s="1697"/>
      <c r="BN758" s="1697"/>
      <c r="BO758" s="1697"/>
      <c r="BP758" s="1697"/>
      <c r="BQ758" s="1697"/>
      <c r="BR758" s="1697"/>
      <c r="BS758" s="1697"/>
      <c r="BT758" s="1697"/>
      <c r="BU758" s="1697"/>
      <c r="BV758" s="1697"/>
      <c r="BW758" s="1697"/>
      <c r="BX758" s="1697"/>
      <c r="BY758" s="1697"/>
      <c r="BZ758" s="1697"/>
      <c r="CA758" s="1697"/>
      <c r="CB758" s="1697"/>
      <c r="CC758" s="1697"/>
      <c r="CD758" s="1697"/>
      <c r="CE758" s="1697"/>
      <c r="CF758" s="1697"/>
      <c r="CG758" s="1697"/>
      <c r="CH758" s="1697"/>
      <c r="CI758" s="1697"/>
      <c r="CJ758" s="1697"/>
      <c r="CK758" s="1697"/>
      <c r="CL758" s="1697"/>
      <c r="CM758" s="1697"/>
      <c r="CN758" s="1697"/>
      <c r="CO758" s="1697"/>
      <c r="CP758" s="1697"/>
      <c r="CQ758" s="1697"/>
      <c r="CR758" s="1697"/>
      <c r="CS758" s="1697"/>
      <c r="CT758" s="1697"/>
      <c r="CU758" s="1697"/>
      <c r="CV758" s="1697"/>
      <c r="CW758" s="1697"/>
      <c r="CX758" s="1697"/>
      <c r="CY758" s="1697"/>
      <c r="CZ758" s="1697"/>
      <c r="DA758" s="1697"/>
      <c r="DB758" s="1697"/>
      <c r="DC758" s="1697"/>
      <c r="DD758" s="1697"/>
      <c r="DE758" s="1697"/>
      <c r="DF758" s="1697"/>
      <c r="DG758" s="1697"/>
      <c r="DH758" s="1697"/>
      <c r="DI758" s="1697"/>
      <c r="DJ758" s="1697"/>
      <c r="DK758" s="1697"/>
      <c r="DL758" s="1697"/>
      <c r="DM758" s="1697"/>
      <c r="DN758" s="1697"/>
      <c r="DO758" s="1697"/>
      <c r="DP758" s="1697"/>
      <c r="DQ758" s="1697"/>
      <c r="DR758" s="1697"/>
      <c r="DS758" s="1697"/>
      <c r="DT758" s="1697"/>
      <c r="DU758" s="1697"/>
      <c r="DV758" s="1697"/>
      <c r="DW758" s="1697"/>
      <c r="DX758" s="1697"/>
      <c r="DY758" s="1697"/>
      <c r="DZ758" s="1697"/>
      <c r="EA758" s="1697"/>
      <c r="EB758" s="1697"/>
      <c r="EC758" s="1697"/>
      <c r="ED758" s="1697"/>
      <c r="EE758" s="1697"/>
      <c r="EF758" s="1697"/>
      <c r="EG758" s="1697"/>
      <c r="EH758" s="1697"/>
      <c r="EI758" s="1697"/>
      <c r="EJ758" s="1697"/>
      <c r="EK758" s="1697"/>
      <c r="EL758" s="1697"/>
      <c r="EM758" s="1697"/>
      <c r="EN758" s="1697"/>
      <c r="EO758" s="1697"/>
      <c r="EP758" s="1697"/>
      <c r="EQ758" s="1697"/>
      <c r="ER758" s="1697"/>
      <c r="ES758" s="1697"/>
      <c r="ET758" s="1697"/>
      <c r="EU758" s="1697"/>
      <c r="EV758" s="1697"/>
      <c r="EW758" s="1697"/>
      <c r="EX758" s="1697"/>
      <c r="EY758" s="1697"/>
      <c r="EZ758" s="1697"/>
      <c r="FA758" s="1697"/>
      <c r="FB758" s="1697"/>
      <c r="FC758" s="1697"/>
      <c r="FD758" s="1697"/>
      <c r="FE758" s="1697"/>
      <c r="FF758" s="1697"/>
      <c r="FG758" s="1697"/>
      <c r="FH758" s="1697"/>
      <c r="FI758" s="1697"/>
    </row>
    <row r="759" spans="1:165">
      <c r="A759" s="1697"/>
      <c r="B759" s="1697"/>
      <c r="C759" s="1697"/>
      <c r="D759" s="1697"/>
      <c r="E759" s="1697"/>
      <c r="F759" s="1697"/>
      <c r="G759" s="1697"/>
      <c r="H759" s="1697"/>
      <c r="I759" s="1697"/>
      <c r="J759" s="1697"/>
      <c r="K759" s="1697"/>
      <c r="L759" s="1697"/>
      <c r="M759" s="1697"/>
      <c r="N759" s="1697"/>
      <c r="O759" s="1697"/>
      <c r="P759" s="1697"/>
      <c r="Q759" s="1697"/>
      <c r="R759" s="1697"/>
      <c r="S759" s="1697"/>
      <c r="T759" s="1697"/>
      <c r="U759" s="1697"/>
      <c r="V759" s="1697"/>
      <c r="W759" s="1697"/>
      <c r="X759" s="1697"/>
      <c r="Y759" s="1697"/>
      <c r="Z759" s="1697"/>
      <c r="AA759" s="1697"/>
      <c r="AB759" s="1697"/>
      <c r="AC759" s="1697"/>
      <c r="AD759" s="1697"/>
      <c r="AE759" s="1697"/>
      <c r="AF759" s="1697"/>
      <c r="AG759" s="1697"/>
      <c r="AH759" s="1697"/>
      <c r="AI759" s="1697"/>
      <c r="AJ759" s="1697"/>
      <c r="AK759" s="1697"/>
      <c r="AL759" s="1697"/>
      <c r="AM759" s="1697"/>
      <c r="AN759" s="1697"/>
      <c r="AO759" s="1697"/>
      <c r="AP759" s="1697"/>
      <c r="AQ759" s="1697"/>
      <c r="AR759" s="1697"/>
      <c r="AS759" s="1697"/>
      <c r="AT759" s="1697"/>
      <c r="AU759" s="1697"/>
      <c r="AV759" s="1697"/>
      <c r="AW759" s="1697"/>
      <c r="AX759" s="1697"/>
      <c r="AY759" s="1697"/>
      <c r="AZ759" s="1697"/>
      <c r="BA759" s="1697"/>
      <c r="BB759" s="1697"/>
      <c r="BC759" s="1697"/>
      <c r="BD759" s="1697"/>
      <c r="BE759" s="1697"/>
      <c r="BF759" s="1697"/>
      <c r="BG759" s="1697"/>
      <c r="BH759" s="1697"/>
      <c r="BI759" s="1697"/>
      <c r="BJ759" s="1697"/>
      <c r="BK759" s="1697"/>
      <c r="BL759" s="1697"/>
      <c r="BM759" s="1697"/>
      <c r="BN759" s="1697"/>
      <c r="BO759" s="1697"/>
      <c r="BP759" s="1697"/>
      <c r="BQ759" s="1697"/>
      <c r="BR759" s="1697"/>
      <c r="BS759" s="1697"/>
      <c r="BT759" s="1697"/>
      <c r="BU759" s="1697"/>
      <c r="BV759" s="1697"/>
      <c r="BW759" s="1697"/>
      <c r="BX759" s="1697"/>
      <c r="BY759" s="1697"/>
      <c r="BZ759" s="1697"/>
      <c r="CA759" s="1697"/>
      <c r="CB759" s="1697"/>
      <c r="CC759" s="1697"/>
      <c r="CD759" s="1697"/>
      <c r="CE759" s="1697"/>
      <c r="CF759" s="1697"/>
      <c r="CG759" s="1697"/>
      <c r="CH759" s="1697"/>
      <c r="CI759" s="1697"/>
      <c r="CJ759" s="1697"/>
      <c r="CK759" s="1697"/>
      <c r="CL759" s="1697"/>
      <c r="CM759" s="1697"/>
      <c r="CN759" s="1697"/>
      <c r="CO759" s="1697"/>
      <c r="CP759" s="1697"/>
      <c r="CQ759" s="1697"/>
      <c r="CR759" s="1697"/>
      <c r="CS759" s="1697"/>
      <c r="CT759" s="1697"/>
      <c r="CU759" s="1697"/>
      <c r="CV759" s="1697"/>
      <c r="CW759" s="1697"/>
      <c r="CX759" s="1697"/>
      <c r="CY759" s="1697"/>
      <c r="CZ759" s="1697"/>
      <c r="DA759" s="1697"/>
      <c r="DB759" s="1697"/>
      <c r="DC759" s="1697"/>
      <c r="DD759" s="1697"/>
      <c r="DE759" s="1697"/>
      <c r="DF759" s="1697"/>
      <c r="DG759" s="1697"/>
      <c r="DH759" s="1697"/>
      <c r="DI759" s="1697"/>
      <c r="DJ759" s="1697"/>
      <c r="DK759" s="1697"/>
      <c r="DL759" s="1697"/>
      <c r="DM759" s="1697"/>
      <c r="DN759" s="1697"/>
      <c r="DO759" s="1697"/>
      <c r="DP759" s="1697"/>
      <c r="DQ759" s="1697"/>
      <c r="DR759" s="1697"/>
      <c r="DS759" s="1697"/>
      <c r="DT759" s="1697"/>
      <c r="DU759" s="1697"/>
      <c r="DV759" s="1697"/>
      <c r="DW759" s="1697"/>
      <c r="DX759" s="1697"/>
      <c r="DY759" s="1697"/>
      <c r="DZ759" s="1697"/>
      <c r="EA759" s="1697"/>
      <c r="EB759" s="1697"/>
      <c r="EC759" s="1697"/>
      <c r="ED759" s="1697"/>
      <c r="EE759" s="1697"/>
      <c r="EF759" s="1697"/>
      <c r="EG759" s="1697"/>
      <c r="EH759" s="1697"/>
      <c r="EI759" s="1697"/>
      <c r="EJ759" s="1697"/>
      <c r="EK759" s="1697"/>
      <c r="EL759" s="1697"/>
      <c r="EM759" s="1697"/>
      <c r="EN759" s="1697"/>
      <c r="EO759" s="1697"/>
      <c r="EP759" s="1697"/>
      <c r="EQ759" s="1697"/>
      <c r="ER759" s="1697"/>
      <c r="ES759" s="1697"/>
      <c r="ET759" s="1697"/>
      <c r="EU759" s="1697"/>
      <c r="EV759" s="1697"/>
      <c r="EW759" s="1697"/>
      <c r="EX759" s="1697"/>
      <c r="EY759" s="1697"/>
      <c r="EZ759" s="1697"/>
      <c r="FA759" s="1697"/>
      <c r="FB759" s="1697"/>
      <c r="FC759" s="1697"/>
      <c r="FD759" s="1697"/>
      <c r="FE759" s="1697"/>
      <c r="FF759" s="1697"/>
      <c r="FG759" s="1697"/>
      <c r="FH759" s="1697"/>
      <c r="FI759" s="1697"/>
    </row>
    <row r="760" spans="1:165">
      <c r="A760" s="1697"/>
      <c r="B760" s="1697"/>
      <c r="C760" s="1697"/>
      <c r="D760" s="1697"/>
      <c r="E760" s="1697"/>
      <c r="F760" s="1697"/>
      <c r="G760" s="1697"/>
      <c r="H760" s="1697"/>
      <c r="I760" s="1697"/>
      <c r="J760" s="1697"/>
      <c r="K760" s="1697"/>
      <c r="L760" s="1697"/>
      <c r="M760" s="1697"/>
      <c r="N760" s="1697"/>
      <c r="O760" s="1697"/>
      <c r="P760" s="1697"/>
      <c r="Q760" s="1697"/>
      <c r="R760" s="1697"/>
      <c r="S760" s="1697"/>
      <c r="T760" s="1697"/>
      <c r="U760" s="1697"/>
      <c r="V760" s="1697"/>
      <c r="W760" s="1697"/>
      <c r="X760" s="1697"/>
      <c r="Y760" s="1697"/>
      <c r="Z760" s="1697"/>
      <c r="AA760" s="1697"/>
      <c r="AB760" s="1697"/>
      <c r="AC760" s="1697"/>
      <c r="AD760" s="1697"/>
      <c r="AE760" s="1697"/>
      <c r="AF760" s="1697"/>
      <c r="AG760" s="1697"/>
      <c r="AH760" s="1697"/>
      <c r="AI760" s="1697"/>
      <c r="AJ760" s="1697"/>
      <c r="AK760" s="1697"/>
      <c r="AL760" s="1697"/>
      <c r="AM760" s="1697"/>
      <c r="AN760" s="1697"/>
      <c r="AO760" s="1697"/>
      <c r="AP760" s="1697"/>
      <c r="AQ760" s="1697"/>
      <c r="AR760" s="1697"/>
      <c r="AS760" s="1697"/>
      <c r="AT760" s="1697"/>
      <c r="AU760" s="1697"/>
      <c r="AV760" s="1697"/>
      <c r="AW760" s="1697"/>
      <c r="AX760" s="1697"/>
      <c r="AY760" s="1697"/>
      <c r="AZ760" s="1697"/>
      <c r="BA760" s="1697"/>
      <c r="BB760" s="1697"/>
      <c r="BC760" s="1697"/>
      <c r="BD760" s="1697"/>
      <c r="BE760" s="1697"/>
      <c r="BF760" s="1697"/>
      <c r="BG760" s="1697"/>
      <c r="BH760" s="1697"/>
      <c r="BI760" s="1697"/>
      <c r="BJ760" s="1697"/>
      <c r="BK760" s="1697"/>
      <c r="BL760" s="1697"/>
      <c r="BM760" s="1697"/>
      <c r="BN760" s="1697"/>
      <c r="BO760" s="1697"/>
      <c r="BP760" s="1697"/>
      <c r="BQ760" s="1697"/>
      <c r="BR760" s="1697"/>
      <c r="BS760" s="1697"/>
      <c r="BT760" s="1697"/>
      <c r="BU760" s="1697"/>
      <c r="BV760" s="1697"/>
      <c r="BW760" s="1697"/>
      <c r="BX760" s="1697"/>
      <c r="BY760" s="1697"/>
      <c r="BZ760" s="1697"/>
      <c r="CA760" s="1697"/>
      <c r="CB760" s="1697"/>
      <c r="CC760" s="1697"/>
      <c r="CD760" s="1697"/>
      <c r="CE760" s="1697"/>
      <c r="CF760" s="1697"/>
      <c r="CG760" s="1697"/>
      <c r="CH760" s="1697"/>
      <c r="CI760" s="1697"/>
      <c r="CJ760" s="1697"/>
      <c r="CK760" s="1697"/>
      <c r="CL760" s="1697"/>
      <c r="CM760" s="1697"/>
      <c r="CN760" s="1697"/>
      <c r="CO760" s="1697"/>
      <c r="CP760" s="1697"/>
      <c r="CQ760" s="1697"/>
      <c r="CR760" s="1697"/>
      <c r="CS760" s="1697"/>
      <c r="CT760" s="1697"/>
      <c r="CU760" s="1697"/>
      <c r="CV760" s="1697"/>
      <c r="CW760" s="1697"/>
      <c r="CX760" s="1697"/>
      <c r="CY760" s="1697"/>
      <c r="CZ760" s="1697"/>
      <c r="DA760" s="1697"/>
      <c r="DB760" s="1697"/>
      <c r="DC760" s="1697"/>
      <c r="DD760" s="1697"/>
      <c r="DE760" s="1697"/>
      <c r="DF760" s="1697"/>
      <c r="DG760" s="1697"/>
      <c r="DH760" s="1697"/>
      <c r="DI760" s="1697"/>
      <c r="DJ760" s="1697"/>
      <c r="DK760" s="1697"/>
      <c r="DL760" s="1697"/>
      <c r="DM760" s="1697"/>
      <c r="DN760" s="1697"/>
      <c r="DO760" s="1697"/>
      <c r="DP760" s="1697"/>
      <c r="DQ760" s="1697"/>
      <c r="DR760" s="1697"/>
      <c r="DS760" s="1697"/>
      <c r="DT760" s="1697"/>
      <c r="DU760" s="1697"/>
      <c r="DV760" s="1697"/>
      <c r="DW760" s="1697"/>
      <c r="DX760" s="1697"/>
      <c r="DY760" s="1697"/>
      <c r="DZ760" s="1697"/>
      <c r="EA760" s="1697"/>
      <c r="EB760" s="1697"/>
      <c r="EC760" s="1697"/>
      <c r="ED760" s="1697"/>
      <c r="EE760" s="1697"/>
      <c r="EF760" s="1697"/>
      <c r="EG760" s="1697"/>
      <c r="EH760" s="1697"/>
      <c r="EI760" s="1697"/>
      <c r="EJ760" s="1697"/>
      <c r="EK760" s="1697"/>
      <c r="EL760" s="1697"/>
      <c r="EM760" s="1697"/>
      <c r="EN760" s="1697"/>
      <c r="EO760" s="1697"/>
      <c r="EP760" s="1697"/>
      <c r="EQ760" s="1697"/>
      <c r="ER760" s="1697"/>
      <c r="ES760" s="1697"/>
      <c r="ET760" s="1697"/>
      <c r="EU760" s="1697"/>
      <c r="EV760" s="1697"/>
      <c r="EW760" s="1697"/>
      <c r="EX760" s="1697"/>
      <c r="EY760" s="1697"/>
      <c r="EZ760" s="1697"/>
      <c r="FA760" s="1697"/>
      <c r="FB760" s="1697"/>
      <c r="FC760" s="1697"/>
      <c r="FD760" s="1697"/>
      <c r="FE760" s="1697"/>
      <c r="FF760" s="1697"/>
      <c r="FG760" s="1697"/>
      <c r="FH760" s="1697"/>
      <c r="FI760" s="1697"/>
    </row>
    <row r="761" spans="1:165">
      <c r="A761" s="1697"/>
      <c r="B761" s="1697"/>
      <c r="C761" s="1697"/>
      <c r="D761" s="1697"/>
      <c r="E761" s="1697"/>
      <c r="F761" s="1697"/>
      <c r="G761" s="1697"/>
      <c r="H761" s="1697"/>
      <c r="I761" s="1697"/>
      <c r="J761" s="1697"/>
      <c r="K761" s="1697"/>
      <c r="L761" s="1697"/>
      <c r="M761" s="1697"/>
      <c r="N761" s="1697"/>
      <c r="O761" s="1697"/>
      <c r="P761" s="1697"/>
      <c r="Q761" s="1697"/>
      <c r="R761" s="1697"/>
      <c r="S761" s="1697"/>
      <c r="T761" s="1697"/>
      <c r="U761" s="1697"/>
      <c r="V761" s="1697"/>
      <c r="W761" s="1697"/>
      <c r="X761" s="1697"/>
      <c r="Y761" s="1697"/>
      <c r="Z761" s="1697"/>
      <c r="AA761" s="1697"/>
      <c r="AB761" s="1697"/>
      <c r="AC761" s="1697"/>
      <c r="AD761" s="1697"/>
      <c r="AE761" s="1697"/>
      <c r="AF761" s="1697"/>
      <c r="AG761" s="1697"/>
      <c r="AH761" s="1697"/>
      <c r="AI761" s="1697"/>
      <c r="AJ761" s="1697"/>
      <c r="AK761" s="1697"/>
      <c r="AL761" s="1697"/>
      <c r="AM761" s="1697"/>
      <c r="AN761" s="1697"/>
      <c r="AO761" s="1697"/>
      <c r="AP761" s="1697"/>
      <c r="AQ761" s="1697"/>
      <c r="AR761" s="1697"/>
      <c r="AS761" s="1697"/>
      <c r="AT761" s="1697"/>
      <c r="AU761" s="1697"/>
      <c r="AV761" s="1697"/>
      <c r="AW761" s="1697"/>
      <c r="AX761" s="1697"/>
      <c r="AY761" s="1697"/>
      <c r="AZ761" s="1697"/>
      <c r="BA761" s="1697"/>
      <c r="BB761" s="1697"/>
      <c r="BC761" s="1697"/>
      <c r="BD761" s="1697"/>
      <c r="BE761" s="1697"/>
      <c r="BF761" s="1697"/>
      <c r="BG761" s="1697"/>
      <c r="BH761" s="1697"/>
      <c r="BI761" s="1697"/>
      <c r="BJ761" s="1697"/>
      <c r="BK761" s="1697"/>
      <c r="BL761" s="1697"/>
      <c r="BM761" s="1697"/>
      <c r="BN761" s="1697"/>
      <c r="BO761" s="1697"/>
      <c r="BP761" s="1697"/>
      <c r="BQ761" s="1697"/>
      <c r="BR761" s="1697"/>
      <c r="BS761" s="1697"/>
      <c r="BT761" s="1697"/>
      <c r="BU761" s="1697"/>
      <c r="BV761" s="1697"/>
      <c r="BW761" s="1697"/>
      <c r="BX761" s="1697"/>
      <c r="BY761" s="1697"/>
      <c r="BZ761" s="1697"/>
      <c r="CA761" s="1697"/>
      <c r="CB761" s="1697"/>
      <c r="CC761" s="1697"/>
      <c r="CD761" s="1697"/>
      <c r="CE761" s="1697"/>
      <c r="CF761" s="1697"/>
      <c r="CG761" s="1697"/>
      <c r="CH761" s="1697"/>
      <c r="CI761" s="1697"/>
      <c r="CJ761" s="1697"/>
      <c r="CK761" s="1697"/>
      <c r="CL761" s="1697"/>
      <c r="CM761" s="1697"/>
      <c r="CN761" s="1697"/>
      <c r="CO761" s="1697"/>
      <c r="CP761" s="1697"/>
      <c r="CQ761" s="1697"/>
      <c r="CR761" s="1697"/>
      <c r="CS761" s="1697"/>
      <c r="CT761" s="1697"/>
      <c r="CU761" s="1697"/>
      <c r="CV761" s="1697"/>
      <c r="CW761" s="1697"/>
      <c r="CX761" s="1697"/>
      <c r="CY761" s="1697"/>
      <c r="CZ761" s="1697"/>
      <c r="DA761" s="1697"/>
      <c r="DB761" s="1697"/>
      <c r="DC761" s="1697"/>
      <c r="DD761" s="1697"/>
      <c r="DE761" s="1697"/>
      <c r="DF761" s="1697"/>
      <c r="DG761" s="1697"/>
      <c r="DH761" s="1697"/>
      <c r="DI761" s="1697"/>
      <c r="DJ761" s="1697"/>
      <c r="DK761" s="1697"/>
      <c r="DL761" s="1697"/>
      <c r="DM761" s="1697"/>
      <c r="DN761" s="1697"/>
      <c r="DO761" s="1697"/>
      <c r="DP761" s="1697"/>
      <c r="DQ761" s="1697"/>
      <c r="DR761" s="1697"/>
      <c r="DS761" s="1697"/>
      <c r="DT761" s="1697"/>
      <c r="DU761" s="1697"/>
      <c r="DV761" s="1697"/>
      <c r="DW761" s="1697"/>
      <c r="DX761" s="1697"/>
      <c r="DY761" s="1697"/>
      <c r="DZ761" s="1697"/>
      <c r="EA761" s="1697"/>
      <c r="EB761" s="1697"/>
      <c r="EC761" s="1697"/>
      <c r="ED761" s="1697"/>
      <c r="EE761" s="1697"/>
      <c r="EF761" s="1697"/>
      <c r="EG761" s="1697"/>
      <c r="EH761" s="1697"/>
      <c r="EI761" s="1697"/>
      <c r="EJ761" s="1697"/>
      <c r="EK761" s="1697"/>
      <c r="EL761" s="1697"/>
      <c r="EM761" s="1697"/>
      <c r="EN761" s="1697"/>
      <c r="EO761" s="1697"/>
      <c r="EP761" s="1697"/>
      <c r="EQ761" s="1697"/>
      <c r="ER761" s="1697"/>
      <c r="ES761" s="1697"/>
      <c r="ET761" s="1697"/>
      <c r="EU761" s="1697"/>
      <c r="EV761" s="1697"/>
      <c r="EW761" s="1697"/>
      <c r="EX761" s="1697"/>
      <c r="EY761" s="1697"/>
      <c r="EZ761" s="1697"/>
      <c r="FA761" s="1697"/>
      <c r="FB761" s="1697"/>
      <c r="FC761" s="1697"/>
      <c r="FD761" s="1697"/>
      <c r="FE761" s="1697"/>
      <c r="FF761" s="1697"/>
      <c r="FG761" s="1697"/>
      <c r="FH761" s="1697"/>
      <c r="FI761" s="1697"/>
    </row>
    <row r="762" spans="1:165">
      <c r="A762" s="1697"/>
      <c r="B762" s="1697"/>
      <c r="C762" s="1697"/>
      <c r="D762" s="1697"/>
      <c r="E762" s="1697"/>
      <c r="F762" s="1697"/>
      <c r="G762" s="1697"/>
      <c r="H762" s="1697"/>
      <c r="I762" s="1697"/>
      <c r="J762" s="1697"/>
      <c r="K762" s="1697"/>
      <c r="L762" s="1697"/>
      <c r="M762" s="1697"/>
      <c r="N762" s="1697"/>
      <c r="O762" s="1697"/>
      <c r="P762" s="1697"/>
      <c r="Q762" s="1697"/>
      <c r="R762" s="1697"/>
      <c r="S762" s="1697"/>
      <c r="T762" s="1697"/>
      <c r="U762" s="1697"/>
      <c r="V762" s="1697"/>
      <c r="W762" s="1697"/>
      <c r="X762" s="1697"/>
      <c r="Y762" s="1697"/>
      <c r="Z762" s="1697"/>
      <c r="AA762" s="1697"/>
      <c r="AB762" s="1697"/>
      <c r="AC762" s="1697"/>
      <c r="AD762" s="1697"/>
      <c r="AE762" s="1697"/>
      <c r="AF762" s="1697"/>
      <c r="AG762" s="1697"/>
      <c r="AH762" s="1697"/>
      <c r="AI762" s="1697"/>
      <c r="AJ762" s="1697"/>
      <c r="AK762" s="1697"/>
      <c r="AL762" s="1697"/>
      <c r="AM762" s="1697"/>
      <c r="AN762" s="1697"/>
      <c r="AO762" s="1697"/>
      <c r="AP762" s="1697"/>
      <c r="AQ762" s="1697"/>
      <c r="AR762" s="1697"/>
      <c r="AS762" s="1697"/>
      <c r="AT762" s="1697"/>
      <c r="AU762" s="1697"/>
      <c r="AV762" s="1697"/>
      <c r="AW762" s="1697"/>
      <c r="AX762" s="1697"/>
      <c r="AY762" s="1697"/>
      <c r="AZ762" s="1697"/>
      <c r="BA762" s="1697"/>
      <c r="BB762" s="1697"/>
      <c r="BC762" s="1697"/>
      <c r="BD762" s="1697"/>
      <c r="BE762" s="1697"/>
      <c r="BF762" s="1697"/>
      <c r="BG762" s="1697"/>
      <c r="BH762" s="1697"/>
      <c r="BI762" s="1697"/>
      <c r="BJ762" s="1697"/>
      <c r="BK762" s="1697"/>
      <c r="BL762" s="1697"/>
      <c r="BM762" s="1697"/>
      <c r="BN762" s="1697"/>
      <c r="BO762" s="1697"/>
      <c r="BP762" s="1697"/>
      <c r="BQ762" s="1697"/>
      <c r="BR762" s="1697"/>
      <c r="BS762" s="1697"/>
      <c r="BT762" s="1697"/>
      <c r="BU762" s="1697"/>
      <c r="BV762" s="1697"/>
      <c r="BW762" s="1697"/>
      <c r="BX762" s="1697"/>
      <c r="BY762" s="1697"/>
      <c r="BZ762" s="1697"/>
      <c r="CA762" s="1697"/>
      <c r="CB762" s="1697"/>
      <c r="CC762" s="1697"/>
      <c r="CD762" s="1697"/>
      <c r="CE762" s="1697"/>
      <c r="CF762" s="1697"/>
      <c r="CG762" s="1697"/>
      <c r="CH762" s="1697"/>
      <c r="CI762" s="1697"/>
      <c r="CJ762" s="1697"/>
      <c r="CK762" s="1697"/>
      <c r="CL762" s="1697"/>
      <c r="CM762" s="1697"/>
      <c r="CN762" s="1697"/>
      <c r="CO762" s="1697"/>
      <c r="CP762" s="1697"/>
      <c r="CQ762" s="1697"/>
      <c r="CR762" s="1697"/>
      <c r="CS762" s="1697"/>
      <c r="CT762" s="1697"/>
      <c r="CU762" s="1697"/>
      <c r="CV762" s="1697"/>
      <c r="CW762" s="1697"/>
      <c r="CX762" s="1697"/>
      <c r="CY762" s="1697"/>
      <c r="CZ762" s="1697"/>
      <c r="DA762" s="1697"/>
      <c r="DB762" s="1697"/>
      <c r="DC762" s="1697"/>
      <c r="DD762" s="1697"/>
      <c r="DE762" s="1697"/>
      <c r="DF762" s="1697"/>
      <c r="DG762" s="1697"/>
      <c r="DH762" s="1697"/>
      <c r="DI762" s="1697"/>
      <c r="DJ762" s="1697"/>
      <c r="DK762" s="1697"/>
      <c r="DL762" s="1697"/>
      <c r="DM762" s="1697"/>
      <c r="DN762" s="1697"/>
      <c r="DO762" s="1697"/>
      <c r="DP762" s="1697"/>
      <c r="DQ762" s="1697"/>
      <c r="DR762" s="1697"/>
      <c r="DS762" s="1697"/>
      <c r="DT762" s="1697"/>
      <c r="DU762" s="1697"/>
      <c r="DV762" s="1697"/>
      <c r="DW762" s="1697"/>
      <c r="DX762" s="1697"/>
      <c r="DY762" s="1697"/>
      <c r="DZ762" s="1697"/>
      <c r="EA762" s="1697"/>
      <c r="EB762" s="1697"/>
      <c r="EC762" s="1697"/>
      <c r="ED762" s="1697"/>
      <c r="EE762" s="1697"/>
      <c r="EF762" s="1697"/>
      <c r="EG762" s="1697"/>
      <c r="EH762" s="1697"/>
      <c r="EI762" s="1697"/>
      <c r="EJ762" s="1697"/>
      <c r="EK762" s="1697"/>
      <c r="EL762" s="1697"/>
      <c r="EM762" s="1697"/>
      <c r="EN762" s="1697"/>
      <c r="EO762" s="1697"/>
      <c r="EP762" s="1697"/>
      <c r="EQ762" s="1697"/>
      <c r="ER762" s="1697"/>
      <c r="ES762" s="1697"/>
      <c r="ET762" s="1697"/>
      <c r="EU762" s="1697"/>
      <c r="EV762" s="1697"/>
      <c r="EW762" s="1697"/>
      <c r="EX762" s="1697"/>
      <c r="EY762" s="1697"/>
      <c r="EZ762" s="1697"/>
      <c r="FA762" s="1697"/>
      <c r="FB762" s="1697"/>
      <c r="FC762" s="1697"/>
      <c r="FD762" s="1697"/>
      <c r="FE762" s="1697"/>
      <c r="FF762" s="1697"/>
      <c r="FG762" s="1697"/>
      <c r="FH762" s="1697"/>
      <c r="FI762" s="1697"/>
    </row>
    <row r="763" spans="1:165">
      <c r="A763" s="1697"/>
      <c r="B763" s="1697"/>
      <c r="C763" s="1697"/>
      <c r="D763" s="1697"/>
      <c r="E763" s="1697"/>
      <c r="F763" s="1697"/>
      <c r="G763" s="1697"/>
      <c r="H763" s="1697"/>
      <c r="I763" s="1697"/>
      <c r="J763" s="1697"/>
      <c r="K763" s="1697"/>
      <c r="L763" s="1697"/>
      <c r="M763" s="1697"/>
      <c r="N763" s="1697"/>
      <c r="O763" s="1697"/>
      <c r="P763" s="1697"/>
      <c r="Q763" s="1697"/>
      <c r="R763" s="1697"/>
      <c r="S763" s="1697"/>
      <c r="T763" s="1697"/>
      <c r="U763" s="1697"/>
      <c r="V763" s="1697"/>
      <c r="W763" s="1697"/>
      <c r="X763" s="1697"/>
      <c r="Y763" s="1697"/>
      <c r="Z763" s="1697"/>
      <c r="AA763" s="1697"/>
      <c r="AB763" s="1697"/>
      <c r="AC763" s="1697"/>
      <c r="AD763" s="1697"/>
      <c r="AE763" s="1697"/>
      <c r="AF763" s="1697"/>
      <c r="AG763" s="1697"/>
      <c r="AH763" s="1697"/>
      <c r="AI763" s="1697"/>
      <c r="AJ763" s="1697"/>
      <c r="AK763" s="1697"/>
      <c r="AL763" s="1697"/>
      <c r="AM763" s="1697"/>
      <c r="AN763" s="1697"/>
      <c r="AO763" s="1697"/>
      <c r="AP763" s="1697"/>
      <c r="AQ763" s="1697"/>
      <c r="AR763" s="1697"/>
      <c r="AS763" s="1697"/>
      <c r="AT763" s="1697"/>
      <c r="AU763" s="1697"/>
      <c r="AV763" s="1697"/>
      <c r="AW763" s="1697"/>
      <c r="AX763" s="1697"/>
      <c r="AY763" s="1697"/>
      <c r="AZ763" s="1697"/>
      <c r="BA763" s="1697"/>
      <c r="BB763" s="1697"/>
      <c r="BC763" s="1697"/>
      <c r="BD763" s="1697"/>
      <c r="BE763" s="1697"/>
      <c r="BF763" s="1697"/>
      <c r="BG763" s="1697"/>
      <c r="BH763" s="1697"/>
      <c r="BI763" s="1697"/>
      <c r="BJ763" s="1697"/>
      <c r="BK763" s="1697"/>
      <c r="BL763" s="1697"/>
      <c r="BM763" s="1697"/>
      <c r="BN763" s="1697"/>
      <c r="BO763" s="1697"/>
      <c r="BP763" s="1697"/>
      <c r="BQ763" s="1697"/>
      <c r="BR763" s="1697"/>
      <c r="BS763" s="1697"/>
      <c r="BT763" s="1697"/>
      <c r="BU763" s="1697"/>
      <c r="BV763" s="1697"/>
      <c r="BW763" s="1697"/>
      <c r="BX763" s="1697"/>
      <c r="BY763" s="1697"/>
      <c r="BZ763" s="1697"/>
      <c r="CA763" s="1697"/>
      <c r="CB763" s="1697"/>
      <c r="CC763" s="1697"/>
      <c r="CD763" s="1697"/>
      <c r="CE763" s="1697"/>
      <c r="CF763" s="1697"/>
      <c r="CG763" s="1697"/>
      <c r="CH763" s="1697"/>
      <c r="CI763" s="1697"/>
      <c r="CJ763" s="1697"/>
      <c r="CK763" s="1697"/>
      <c r="CL763" s="1697"/>
      <c r="CM763" s="1697"/>
      <c r="CN763" s="1697"/>
      <c r="CO763" s="1697"/>
      <c r="CP763" s="1697"/>
      <c r="CQ763" s="1697"/>
      <c r="CR763" s="1697"/>
      <c r="CS763" s="1697"/>
      <c r="CT763" s="1697"/>
      <c r="CU763" s="1697"/>
      <c r="CV763" s="1697"/>
      <c r="CW763" s="1697"/>
      <c r="CX763" s="1697"/>
      <c r="CY763" s="1697"/>
      <c r="CZ763" s="1697"/>
      <c r="DA763" s="1697"/>
      <c r="DB763" s="1697"/>
      <c r="DC763" s="1697"/>
      <c r="DD763" s="1697"/>
      <c r="DE763" s="1697"/>
      <c r="DF763" s="1697"/>
      <c r="DG763" s="1697"/>
      <c r="DH763" s="1697"/>
      <c r="DI763" s="1697"/>
      <c r="DJ763" s="1697"/>
      <c r="DK763" s="1697"/>
      <c r="DL763" s="1697"/>
      <c r="DM763" s="1697"/>
      <c r="DN763" s="1697"/>
      <c r="DO763" s="1697"/>
      <c r="DP763" s="1697"/>
      <c r="DQ763" s="1697"/>
      <c r="DR763" s="1697"/>
      <c r="DS763" s="1697"/>
      <c r="DT763" s="1697"/>
      <c r="DU763" s="1697"/>
      <c r="DV763" s="1697"/>
      <c r="DW763" s="1697"/>
      <c r="DX763" s="1697"/>
      <c r="DY763" s="1697"/>
      <c r="DZ763" s="1697"/>
      <c r="EA763" s="1697"/>
      <c r="EB763" s="1697"/>
      <c r="EC763" s="1697"/>
      <c r="ED763" s="1697"/>
      <c r="EE763" s="1697"/>
      <c r="EF763" s="1697"/>
      <c r="EG763" s="1697"/>
      <c r="EH763" s="1697"/>
      <c r="EI763" s="1697"/>
      <c r="EJ763" s="1697"/>
      <c r="EK763" s="1697"/>
      <c r="EL763" s="1697"/>
      <c r="EM763" s="1697"/>
      <c r="EN763" s="1697"/>
      <c r="EO763" s="1697"/>
      <c r="EP763" s="1697"/>
      <c r="EQ763" s="1697"/>
      <c r="ER763" s="1697"/>
      <c r="ES763" s="1697"/>
      <c r="ET763" s="1697"/>
      <c r="EU763" s="1697"/>
      <c r="EV763" s="1697"/>
      <c r="EW763" s="1697"/>
      <c r="EX763" s="1697"/>
      <c r="EY763" s="1697"/>
      <c r="EZ763" s="1697"/>
      <c r="FA763" s="1697"/>
      <c r="FB763" s="1697"/>
      <c r="FC763" s="1697"/>
      <c r="FD763" s="1697"/>
      <c r="FE763" s="1697"/>
      <c r="FF763" s="1697"/>
      <c r="FG763" s="1697"/>
      <c r="FH763" s="1697"/>
      <c r="FI763" s="1697"/>
    </row>
    <row r="764" spans="1:165">
      <c r="A764" s="1697"/>
      <c r="B764" s="1697"/>
      <c r="C764" s="1697"/>
      <c r="D764" s="1697"/>
      <c r="E764" s="1697"/>
      <c r="F764" s="1697"/>
      <c r="G764" s="1697"/>
      <c r="H764" s="1697"/>
      <c r="I764" s="1697"/>
      <c r="J764" s="1697"/>
      <c r="K764" s="1697"/>
      <c r="L764" s="1697"/>
      <c r="M764" s="1697"/>
      <c r="N764" s="1697"/>
      <c r="O764" s="1697"/>
      <c r="P764" s="1697"/>
      <c r="Q764" s="1697"/>
      <c r="R764" s="1697"/>
      <c r="S764" s="1697"/>
      <c r="T764" s="1697"/>
      <c r="U764" s="1697"/>
      <c r="V764" s="1697"/>
      <c r="W764" s="1697"/>
      <c r="X764" s="1697"/>
      <c r="Y764" s="1697"/>
      <c r="Z764" s="1697"/>
      <c r="AA764" s="1697"/>
      <c r="AB764" s="1697"/>
      <c r="AC764" s="1697"/>
      <c r="AD764" s="1697"/>
      <c r="AE764" s="1697"/>
      <c r="AF764" s="1697"/>
      <c r="AG764" s="1697"/>
      <c r="AH764" s="1697"/>
      <c r="AI764" s="1697"/>
      <c r="AJ764" s="1697"/>
      <c r="AK764" s="1697"/>
      <c r="AL764" s="1697"/>
      <c r="AM764" s="1697"/>
      <c r="AN764" s="1697"/>
      <c r="AO764" s="1697"/>
      <c r="AP764" s="1697"/>
      <c r="AQ764" s="1697"/>
      <c r="AR764" s="1697"/>
      <c r="AS764" s="1697"/>
      <c r="AT764" s="1697"/>
      <c r="AU764" s="1697"/>
      <c r="AV764" s="1697"/>
      <c r="AW764" s="1697"/>
      <c r="AX764" s="1697"/>
      <c r="AY764" s="1697"/>
      <c r="AZ764" s="1697"/>
      <c r="BA764" s="1697"/>
      <c r="BB764" s="1697"/>
      <c r="BC764" s="1697"/>
      <c r="BD764" s="1697"/>
      <c r="BE764" s="1697"/>
      <c r="BF764" s="1697"/>
      <c r="BG764" s="1697"/>
      <c r="BH764" s="1697"/>
      <c r="BI764" s="1697"/>
      <c r="BJ764" s="1697"/>
      <c r="BK764" s="1697"/>
      <c r="BL764" s="1697"/>
      <c r="BM764" s="1697"/>
      <c r="BN764" s="1697"/>
      <c r="BO764" s="1697"/>
      <c r="BP764" s="1697"/>
      <c r="BQ764" s="1697"/>
      <c r="BR764" s="1697"/>
      <c r="BS764" s="1697"/>
      <c r="BT764" s="1697"/>
      <c r="BU764" s="1697"/>
      <c r="BV764" s="1697"/>
      <c r="BW764" s="1697"/>
      <c r="BX764" s="1697"/>
      <c r="BY764" s="1697"/>
      <c r="BZ764" s="1697"/>
      <c r="CA764" s="1697"/>
      <c r="CB764" s="1697"/>
      <c r="CC764" s="1697"/>
      <c r="CD764" s="1697"/>
      <c r="CE764" s="1697"/>
      <c r="CF764" s="1697"/>
      <c r="CG764" s="1697"/>
      <c r="CH764" s="1697"/>
      <c r="CI764" s="1697"/>
      <c r="CJ764" s="1697"/>
      <c r="CK764" s="1697"/>
      <c r="CL764" s="1697"/>
      <c r="CM764" s="1697"/>
      <c r="CN764" s="1697"/>
      <c r="CO764" s="1697"/>
      <c r="CP764" s="1697"/>
      <c r="CQ764" s="1697"/>
      <c r="CR764" s="1697"/>
      <c r="CS764" s="1697"/>
      <c r="CT764" s="1697"/>
      <c r="CU764" s="1697"/>
      <c r="CV764" s="1697"/>
      <c r="CW764" s="1697"/>
      <c r="CX764" s="1697"/>
      <c r="CY764" s="1697"/>
      <c r="CZ764" s="1697"/>
      <c r="DA764" s="1697"/>
      <c r="DB764" s="1697"/>
      <c r="DC764" s="1697"/>
      <c r="DD764" s="1697"/>
      <c r="DE764" s="1697"/>
      <c r="DF764" s="1697"/>
      <c r="DG764" s="1697"/>
      <c r="DH764" s="1697"/>
      <c r="DI764" s="1697"/>
      <c r="DJ764" s="1697"/>
      <c r="DK764" s="1697"/>
      <c r="DL764" s="1697"/>
      <c r="DM764" s="1697"/>
      <c r="DN764" s="1697"/>
      <c r="DO764" s="1697"/>
      <c r="DP764" s="1697"/>
      <c r="DQ764" s="1697"/>
      <c r="DR764" s="1697"/>
      <c r="DS764" s="1697"/>
      <c r="DT764" s="1697"/>
      <c r="DU764" s="1697"/>
      <c r="DV764" s="1697"/>
      <c r="DW764" s="1697"/>
      <c r="DX764" s="1697"/>
      <c r="DY764" s="1697"/>
      <c r="DZ764" s="1697"/>
      <c r="EA764" s="1697"/>
      <c r="EB764" s="1697"/>
      <c r="EC764" s="1697"/>
      <c r="ED764" s="1697"/>
      <c r="EE764" s="1697"/>
      <c r="EF764" s="1697"/>
      <c r="EG764" s="1697"/>
      <c r="EH764" s="1697"/>
      <c r="EI764" s="1697"/>
      <c r="EJ764" s="1697"/>
      <c r="EK764" s="1697"/>
      <c r="EL764" s="1697"/>
      <c r="EM764" s="1697"/>
      <c r="EN764" s="1697"/>
      <c r="EO764" s="1697"/>
      <c r="EP764" s="1697"/>
      <c r="EQ764" s="1697"/>
      <c r="ER764" s="1697"/>
      <c r="ES764" s="1697"/>
      <c r="ET764" s="1697"/>
      <c r="EU764" s="1697"/>
      <c r="EV764" s="1697"/>
      <c r="EW764" s="1697"/>
      <c r="EX764" s="1697"/>
      <c r="EY764" s="1697"/>
      <c r="EZ764" s="1697"/>
      <c r="FA764" s="1697"/>
      <c r="FB764" s="1697"/>
      <c r="FC764" s="1697"/>
      <c r="FD764" s="1697"/>
      <c r="FE764" s="1697"/>
      <c r="FF764" s="1697"/>
      <c r="FG764" s="1697"/>
      <c r="FH764" s="1697"/>
      <c r="FI764" s="1697"/>
    </row>
    <row r="765" spans="1:165">
      <c r="A765" s="1697"/>
      <c r="B765" s="1697"/>
      <c r="C765" s="1697"/>
      <c r="D765" s="1697"/>
      <c r="E765" s="1697"/>
      <c r="F765" s="1697"/>
      <c r="G765" s="1697"/>
      <c r="H765" s="1697"/>
      <c r="I765" s="1697"/>
      <c r="J765" s="1697"/>
      <c r="K765" s="1697"/>
      <c r="L765" s="1697"/>
      <c r="M765" s="1697"/>
      <c r="N765" s="1697"/>
      <c r="O765" s="1697"/>
      <c r="P765" s="1697"/>
      <c r="Q765" s="1697"/>
      <c r="R765" s="1697"/>
      <c r="S765" s="1697"/>
      <c r="T765" s="1697"/>
      <c r="U765" s="1697"/>
      <c r="V765" s="1697"/>
      <c r="W765" s="1697"/>
      <c r="X765" s="1697"/>
      <c r="Y765" s="1697"/>
      <c r="Z765" s="1697"/>
      <c r="AA765" s="1697"/>
      <c r="AB765" s="1697"/>
      <c r="AC765" s="1697"/>
      <c r="AD765" s="1697"/>
      <c r="AE765" s="1697"/>
      <c r="AF765" s="1697"/>
      <c r="AG765" s="1697"/>
      <c r="AH765" s="1697"/>
      <c r="AI765" s="1697"/>
      <c r="AJ765" s="1697"/>
      <c r="AK765" s="1697"/>
      <c r="AL765" s="1697"/>
      <c r="AM765" s="1697"/>
      <c r="AN765" s="1697"/>
      <c r="AO765" s="1697"/>
      <c r="AP765" s="1697"/>
      <c r="AQ765" s="1697"/>
      <c r="AR765" s="1697"/>
      <c r="AS765" s="1697"/>
      <c r="AT765" s="1697"/>
      <c r="AU765" s="1697"/>
      <c r="AV765" s="1697"/>
      <c r="AW765" s="1697"/>
      <c r="AX765" s="1697"/>
      <c r="AY765" s="1697"/>
      <c r="AZ765" s="1697"/>
      <c r="BA765" s="1697"/>
      <c r="BB765" s="1697"/>
      <c r="BC765" s="1697"/>
      <c r="BD765" s="1697"/>
      <c r="BE765" s="1697"/>
      <c r="BF765" s="1697"/>
      <c r="BG765" s="1697"/>
      <c r="BH765" s="1697"/>
      <c r="BI765" s="1697"/>
      <c r="BJ765" s="1697"/>
      <c r="BK765" s="1697"/>
      <c r="BL765" s="1697"/>
      <c r="BM765" s="1697"/>
      <c r="BN765" s="1697"/>
      <c r="BO765" s="1697"/>
      <c r="BP765" s="1697"/>
      <c r="BQ765" s="1697"/>
      <c r="BR765" s="1697"/>
      <c r="BS765" s="1697"/>
      <c r="BT765" s="1697"/>
      <c r="BU765" s="1697"/>
      <c r="BV765" s="1697"/>
      <c r="BW765" s="1697"/>
      <c r="BX765" s="1697"/>
      <c r="BY765" s="1697"/>
      <c r="BZ765" s="1697"/>
      <c r="CA765" s="1697"/>
      <c r="CB765" s="1697"/>
      <c r="CC765" s="1697"/>
      <c r="CD765" s="1697"/>
      <c r="CE765" s="1697"/>
      <c r="CF765" s="1697"/>
      <c r="CG765" s="1697"/>
      <c r="CH765" s="1697"/>
      <c r="CI765" s="1697"/>
      <c r="CJ765" s="1697"/>
      <c r="CK765" s="1697"/>
      <c r="CL765" s="1697"/>
      <c r="CM765" s="1697"/>
      <c r="CN765" s="1697"/>
      <c r="CO765" s="1697"/>
      <c r="CP765" s="1697"/>
      <c r="CQ765" s="1697"/>
      <c r="CR765" s="1697"/>
      <c r="CS765" s="1697"/>
      <c r="CT765" s="1697"/>
      <c r="CU765" s="1697"/>
      <c r="CV765" s="1697"/>
      <c r="CW765" s="1697"/>
      <c r="CX765" s="1697"/>
      <c r="CY765" s="1697"/>
      <c r="CZ765" s="1697"/>
      <c r="DA765" s="1697"/>
      <c r="DB765" s="1697"/>
      <c r="DC765" s="1697"/>
      <c r="DD765" s="1697"/>
      <c r="DE765" s="1697"/>
      <c r="DF765" s="1697"/>
      <c r="DG765" s="1697"/>
      <c r="DH765" s="1697"/>
      <c r="DI765" s="1697"/>
      <c r="DJ765" s="1697"/>
      <c r="DK765" s="1697"/>
      <c r="DL765" s="1697"/>
      <c r="DM765" s="1697"/>
      <c r="DN765" s="1697"/>
      <c r="DO765" s="1697"/>
      <c r="DP765" s="1697"/>
      <c r="DQ765" s="1697"/>
      <c r="DR765" s="1697"/>
      <c r="DS765" s="1697"/>
      <c r="DT765" s="1697"/>
      <c r="DU765" s="1697"/>
      <c r="DV765" s="1697"/>
      <c r="DW765" s="1697"/>
      <c r="DX765" s="1697"/>
      <c r="DY765" s="1697"/>
      <c r="DZ765" s="1697"/>
      <c r="EA765" s="1697"/>
      <c r="EB765" s="1697"/>
      <c r="EC765" s="1697"/>
      <c r="ED765" s="1697"/>
      <c r="EE765" s="1697"/>
      <c r="EF765" s="1697"/>
      <c r="EG765" s="1697"/>
      <c r="EH765" s="1697"/>
      <c r="EI765" s="1697"/>
      <c r="EJ765" s="1697"/>
      <c r="EK765" s="1697"/>
      <c r="EL765" s="1697"/>
      <c r="EM765" s="1697"/>
      <c r="EN765" s="1697"/>
      <c r="EO765" s="1697"/>
      <c r="EP765" s="1697"/>
      <c r="EQ765" s="1697"/>
      <c r="ER765" s="1697"/>
      <c r="ES765" s="1697"/>
      <c r="ET765" s="1697"/>
      <c r="EU765" s="1697"/>
      <c r="EV765" s="1697"/>
      <c r="EW765" s="1697"/>
      <c r="EX765" s="1697"/>
      <c r="EY765" s="1697"/>
      <c r="EZ765" s="1697"/>
      <c r="FA765" s="1697"/>
      <c r="FB765" s="1697"/>
      <c r="FC765" s="1697"/>
      <c r="FD765" s="1697"/>
      <c r="FE765" s="1697"/>
      <c r="FF765" s="1697"/>
      <c r="FG765" s="1697"/>
      <c r="FH765" s="1697"/>
      <c r="FI765" s="1697"/>
    </row>
    <row r="766" spans="1:165">
      <c r="A766" s="1697"/>
      <c r="B766" s="1697"/>
      <c r="C766" s="1697"/>
      <c r="D766" s="1697"/>
      <c r="E766" s="1697"/>
      <c r="F766" s="1697"/>
      <c r="G766" s="1697"/>
      <c r="H766" s="1697"/>
      <c r="I766" s="1697"/>
      <c r="J766" s="1697"/>
      <c r="K766" s="1697"/>
      <c r="L766" s="1697"/>
      <c r="M766" s="1697"/>
      <c r="N766" s="1697"/>
      <c r="O766" s="1697"/>
      <c r="P766" s="1697"/>
      <c r="Q766" s="1697"/>
      <c r="R766" s="1697"/>
      <c r="S766" s="1697"/>
      <c r="T766" s="1697"/>
      <c r="U766" s="1697"/>
      <c r="V766" s="1697"/>
      <c r="W766" s="1697"/>
      <c r="X766" s="1697"/>
      <c r="Y766" s="1697"/>
      <c r="Z766" s="1697"/>
      <c r="AA766" s="1697"/>
      <c r="AB766" s="1697"/>
      <c r="AC766" s="1697"/>
      <c r="AD766" s="1697"/>
      <c r="AE766" s="1697"/>
      <c r="AF766" s="1697"/>
      <c r="AG766" s="1697"/>
      <c r="AH766" s="1697"/>
      <c r="AI766" s="1697"/>
      <c r="AJ766" s="1697"/>
      <c r="AK766" s="1697"/>
      <c r="AL766" s="1697"/>
      <c r="AM766" s="1697"/>
      <c r="AN766" s="1697"/>
      <c r="AO766" s="1697"/>
      <c r="AP766" s="1697"/>
      <c r="AQ766" s="1697"/>
      <c r="AR766" s="1697"/>
      <c r="AS766" s="1697"/>
      <c r="AT766" s="1697"/>
      <c r="AU766" s="1697"/>
      <c r="AV766" s="1697"/>
      <c r="AW766" s="1697"/>
      <c r="AX766" s="1697"/>
      <c r="AY766" s="1697"/>
      <c r="AZ766" s="1697"/>
      <c r="BA766" s="1697"/>
      <c r="BB766" s="1697"/>
      <c r="BC766" s="1697"/>
      <c r="BD766" s="1697"/>
      <c r="BE766" s="1697"/>
      <c r="BF766" s="1697"/>
      <c r="BG766" s="1697"/>
      <c r="BH766" s="1697"/>
      <c r="BI766" s="1697"/>
      <c r="BJ766" s="1697"/>
      <c r="BK766" s="1697"/>
      <c r="BL766" s="1697"/>
      <c r="BM766" s="1697"/>
      <c r="BN766" s="1697"/>
      <c r="BO766" s="1697"/>
      <c r="BP766" s="1697"/>
      <c r="BQ766" s="1697"/>
      <c r="BR766" s="1697"/>
      <c r="BS766" s="1697"/>
      <c r="BT766" s="1697"/>
      <c r="BU766" s="1697"/>
      <c r="BV766" s="1697"/>
      <c r="BW766" s="1697"/>
      <c r="BX766" s="1697"/>
      <c r="BY766" s="1697"/>
      <c r="BZ766" s="1697"/>
      <c r="CA766" s="1697"/>
      <c r="CB766" s="1697"/>
      <c r="CC766" s="1697"/>
      <c r="CD766" s="1697"/>
      <c r="CE766" s="1697"/>
      <c r="CF766" s="1697"/>
      <c r="CG766" s="1697"/>
      <c r="CH766" s="1697"/>
      <c r="CI766" s="1697"/>
      <c r="CJ766" s="1697"/>
      <c r="CK766" s="1697"/>
      <c r="CL766" s="1697"/>
      <c r="CM766" s="1697"/>
      <c r="CN766" s="1697"/>
      <c r="CO766" s="1697"/>
      <c r="CP766" s="1697"/>
      <c r="CQ766" s="1697"/>
      <c r="CR766" s="1697"/>
      <c r="CS766" s="1697"/>
      <c r="CT766" s="1697"/>
      <c r="CU766" s="1697"/>
      <c r="CV766" s="1697"/>
      <c r="CW766" s="1697"/>
      <c r="CX766" s="1697"/>
      <c r="CY766" s="1697"/>
      <c r="CZ766" s="1697"/>
      <c r="DA766" s="1697"/>
      <c r="DB766" s="1697"/>
      <c r="DC766" s="1697"/>
      <c r="DD766" s="1697"/>
      <c r="DE766" s="1697"/>
      <c r="DF766" s="1697"/>
      <c r="DG766" s="1697"/>
      <c r="DH766" s="1697"/>
      <c r="DI766" s="1697"/>
      <c r="DJ766" s="1697"/>
      <c r="DK766" s="1697"/>
      <c r="DL766" s="1697"/>
      <c r="DM766" s="1697"/>
      <c r="DN766" s="1697"/>
      <c r="DO766" s="1697"/>
      <c r="DP766" s="1697"/>
      <c r="DQ766" s="1697"/>
      <c r="DR766" s="1697"/>
      <c r="DS766" s="1697"/>
      <c r="DT766" s="1697"/>
      <c r="DU766" s="1697"/>
      <c r="DV766" s="1697"/>
      <c r="DW766" s="1697"/>
      <c r="DX766" s="1697"/>
      <c r="DY766" s="1697"/>
      <c r="DZ766" s="1697"/>
      <c r="EA766" s="1697"/>
      <c r="EB766" s="1697"/>
      <c r="EC766" s="1697"/>
      <c r="ED766" s="1697"/>
      <c r="EE766" s="1697"/>
      <c r="EF766" s="1697"/>
      <c r="EG766" s="1697"/>
      <c r="EH766" s="1697"/>
      <c r="EI766" s="1697"/>
      <c r="EJ766" s="1697"/>
      <c r="EK766" s="1697"/>
      <c r="EL766" s="1697"/>
      <c r="EM766" s="1697"/>
      <c r="EN766" s="1697"/>
      <c r="EO766" s="1697"/>
      <c r="EP766" s="1697"/>
      <c r="EQ766" s="1697"/>
      <c r="ER766" s="1697"/>
      <c r="ES766" s="1697"/>
      <c r="ET766" s="1697"/>
      <c r="EU766" s="1697"/>
      <c r="EV766" s="1697"/>
      <c r="EW766" s="1697"/>
      <c r="EX766" s="1697"/>
      <c r="EY766" s="1697"/>
      <c r="EZ766" s="1697"/>
      <c r="FA766" s="1697"/>
      <c r="FB766" s="1697"/>
      <c r="FC766" s="1697"/>
      <c r="FD766" s="1697"/>
      <c r="FE766" s="1697"/>
      <c r="FF766" s="1697"/>
      <c r="FG766" s="1697"/>
      <c r="FH766" s="1697"/>
      <c r="FI766" s="1697"/>
    </row>
    <row r="767" spans="1:165">
      <c r="A767" s="1697"/>
      <c r="B767" s="1697"/>
      <c r="C767" s="1697"/>
      <c r="D767" s="1697"/>
      <c r="E767" s="1697"/>
      <c r="F767" s="1697"/>
      <c r="G767" s="1697"/>
      <c r="H767" s="1697"/>
      <c r="I767" s="1697"/>
      <c r="J767" s="1697"/>
      <c r="K767" s="1697"/>
      <c r="L767" s="1697"/>
      <c r="M767" s="1697"/>
      <c r="N767" s="1697"/>
      <c r="O767" s="1697"/>
      <c r="P767" s="1697"/>
      <c r="Q767" s="1697"/>
      <c r="R767" s="1697"/>
      <c r="S767" s="1697"/>
      <c r="T767" s="1697"/>
      <c r="U767" s="1697"/>
      <c r="V767" s="1697"/>
      <c r="W767" s="1697"/>
      <c r="X767" s="1697"/>
      <c r="Y767" s="1697"/>
      <c r="Z767" s="1697"/>
      <c r="AA767" s="1697"/>
      <c r="AB767" s="1697"/>
      <c r="AC767" s="1697"/>
      <c r="AD767" s="1697"/>
      <c r="AE767" s="1697"/>
      <c r="AF767" s="1697"/>
      <c r="AG767" s="1697"/>
      <c r="AH767" s="1697"/>
      <c r="AI767" s="1697"/>
      <c r="AJ767" s="1697"/>
      <c r="AK767" s="1697"/>
      <c r="AL767" s="1697"/>
      <c r="AM767" s="1697"/>
      <c r="AN767" s="1697"/>
      <c r="AO767" s="1697"/>
      <c r="AP767" s="1697"/>
      <c r="AQ767" s="1697"/>
      <c r="AR767" s="1697"/>
      <c r="AS767" s="1697"/>
      <c r="AT767" s="1697"/>
      <c r="AU767" s="1697"/>
      <c r="AV767" s="1697"/>
      <c r="AW767" s="1697"/>
      <c r="AX767" s="1697"/>
      <c r="AY767" s="1697"/>
      <c r="AZ767" s="1697"/>
      <c r="BA767" s="1697"/>
      <c r="BB767" s="1697"/>
      <c r="BC767" s="1697"/>
      <c r="BD767" s="1697"/>
      <c r="BE767" s="1697"/>
      <c r="BF767" s="1697"/>
      <c r="BG767" s="1697"/>
      <c r="BH767" s="1697"/>
      <c r="BI767" s="1697"/>
      <c r="BJ767" s="1697"/>
      <c r="BK767" s="1697"/>
      <c r="BL767" s="1697"/>
      <c r="BM767" s="1697"/>
      <c r="BN767" s="1697"/>
      <c r="BO767" s="1697"/>
      <c r="BP767" s="1697"/>
      <c r="BQ767" s="1697"/>
      <c r="BR767" s="1697"/>
      <c r="BS767" s="1697"/>
      <c r="BT767" s="1697"/>
      <c r="BU767" s="1697"/>
      <c r="BV767" s="1697"/>
      <c r="BW767" s="1697"/>
      <c r="BX767" s="1697"/>
      <c r="BY767" s="1697"/>
      <c r="BZ767" s="1697"/>
      <c r="CA767" s="1697"/>
      <c r="CB767" s="1697"/>
      <c r="CC767" s="1697"/>
      <c r="CD767" s="1697"/>
      <c r="CE767" s="1697"/>
      <c r="CF767" s="1697"/>
      <c r="CG767" s="1697"/>
      <c r="CH767" s="1697"/>
      <c r="CI767" s="1697"/>
      <c r="CJ767" s="1697"/>
      <c r="CK767" s="1697"/>
      <c r="CL767" s="1697"/>
      <c r="CM767" s="1697"/>
      <c r="CN767" s="1697"/>
      <c r="CO767" s="1697"/>
      <c r="CP767" s="1697"/>
      <c r="CQ767" s="1697"/>
      <c r="CR767" s="1697"/>
      <c r="CS767" s="1697"/>
      <c r="CT767" s="1697"/>
      <c r="CU767" s="1697"/>
      <c r="CV767" s="1697"/>
      <c r="CW767" s="1697"/>
      <c r="CX767" s="1697"/>
      <c r="CY767" s="1697"/>
      <c r="CZ767" s="1697"/>
      <c r="DA767" s="1697"/>
      <c r="DB767" s="1697"/>
      <c r="DC767" s="1697"/>
      <c r="DD767" s="1697"/>
      <c r="DE767" s="1697"/>
      <c r="DF767" s="1697"/>
      <c r="DG767" s="1697"/>
      <c r="DH767" s="1697"/>
      <c r="DI767" s="1697"/>
      <c r="DJ767" s="1697"/>
      <c r="DK767" s="1697"/>
      <c r="DL767" s="1697"/>
      <c r="DM767" s="1697"/>
      <c r="DN767" s="1697"/>
      <c r="DO767" s="1697"/>
      <c r="DP767" s="1697"/>
      <c r="DQ767" s="1697"/>
      <c r="DR767" s="1697"/>
      <c r="DS767" s="1697"/>
      <c r="DT767" s="1697"/>
      <c r="DU767" s="1697"/>
      <c r="DV767" s="1697"/>
      <c r="DW767" s="1697"/>
      <c r="DX767" s="1697"/>
      <c r="DY767" s="1697"/>
      <c r="DZ767" s="1697"/>
      <c r="EA767" s="1697"/>
      <c r="EB767" s="1697"/>
      <c r="EC767" s="1697"/>
      <c r="ED767" s="1697"/>
      <c r="EE767" s="1697"/>
      <c r="EF767" s="1697"/>
      <c r="EG767" s="1697"/>
      <c r="EH767" s="1697"/>
      <c r="EI767" s="1697"/>
      <c r="EJ767" s="1697"/>
      <c r="EK767" s="1697"/>
      <c r="EL767" s="1697"/>
      <c r="EM767" s="1697"/>
      <c r="EN767" s="1697"/>
      <c r="EO767" s="1697"/>
      <c r="EP767" s="1697"/>
      <c r="EQ767" s="1697"/>
      <c r="ER767" s="1697"/>
      <c r="ES767" s="1697"/>
      <c r="ET767" s="1697"/>
      <c r="EU767" s="1697"/>
      <c r="EV767" s="1697"/>
      <c r="EW767" s="1697"/>
      <c r="EX767" s="1697"/>
      <c r="EY767" s="1697"/>
      <c r="EZ767" s="1697"/>
      <c r="FA767" s="1697"/>
      <c r="FB767" s="1697"/>
      <c r="FC767" s="1697"/>
      <c r="FD767" s="1697"/>
      <c r="FE767" s="1697"/>
      <c r="FF767" s="1697"/>
      <c r="FG767" s="1697"/>
      <c r="FH767" s="1697"/>
      <c r="FI767" s="1697"/>
    </row>
    <row r="768" spans="1:165">
      <c r="A768" s="1697"/>
      <c r="B768" s="1697"/>
      <c r="C768" s="1697"/>
      <c r="D768" s="1697"/>
      <c r="E768" s="1697"/>
      <c r="F768" s="1697"/>
      <c r="G768" s="1697"/>
      <c r="H768" s="1697"/>
      <c r="I768" s="1697"/>
      <c r="J768" s="1697"/>
      <c r="K768" s="1697"/>
      <c r="L768" s="1697"/>
      <c r="M768" s="1697"/>
      <c r="N768" s="1697"/>
      <c r="O768" s="1697"/>
      <c r="P768" s="1697"/>
      <c r="Q768" s="1697"/>
      <c r="R768" s="1697"/>
      <c r="S768" s="1697"/>
      <c r="T768" s="1697"/>
      <c r="U768" s="1697"/>
      <c r="V768" s="1697"/>
      <c r="W768" s="1697"/>
      <c r="X768" s="1697"/>
      <c r="Y768" s="1697"/>
      <c r="Z768" s="1697"/>
      <c r="AA768" s="1697"/>
      <c r="AB768" s="1697"/>
      <c r="AC768" s="1697"/>
      <c r="AD768" s="1697"/>
      <c r="AE768" s="1697"/>
      <c r="AF768" s="1697"/>
      <c r="AG768" s="1697"/>
      <c r="AH768" s="1697"/>
      <c r="AI768" s="1697"/>
      <c r="AJ768" s="1697"/>
      <c r="AK768" s="1697"/>
      <c r="AL768" s="1697"/>
      <c r="AM768" s="1697"/>
      <c r="AN768" s="1697"/>
      <c r="AO768" s="1697"/>
      <c r="AP768" s="1697"/>
      <c r="AQ768" s="1697"/>
      <c r="AR768" s="1697"/>
      <c r="AS768" s="1697"/>
      <c r="AT768" s="1697"/>
      <c r="AU768" s="1697"/>
      <c r="AV768" s="1697"/>
      <c r="AW768" s="1697"/>
      <c r="AX768" s="1697"/>
      <c r="AY768" s="1697"/>
      <c r="AZ768" s="1697"/>
      <c r="BA768" s="1697"/>
      <c r="BB768" s="1697"/>
      <c r="BC768" s="1697"/>
      <c r="BD768" s="1697"/>
      <c r="BE768" s="1697"/>
      <c r="BF768" s="1697"/>
      <c r="BG768" s="1697"/>
      <c r="BH768" s="1697"/>
      <c r="BI768" s="1697"/>
      <c r="BJ768" s="1697"/>
      <c r="BK768" s="1697"/>
      <c r="BL768" s="1697"/>
      <c r="BM768" s="1697"/>
      <c r="BN768" s="1697"/>
      <c r="BO768" s="1697"/>
      <c r="BP768" s="1697"/>
      <c r="BQ768" s="1697"/>
      <c r="BR768" s="1697"/>
      <c r="BS768" s="1697"/>
      <c r="BT768" s="1697"/>
      <c r="BU768" s="1697"/>
      <c r="BV768" s="1697"/>
      <c r="BW768" s="1697"/>
      <c r="BX768" s="1697"/>
      <c r="BY768" s="1697"/>
      <c r="BZ768" s="1697"/>
      <c r="CA768" s="1697"/>
      <c r="CB768" s="1697"/>
      <c r="CC768" s="1697"/>
      <c r="CD768" s="1697"/>
      <c r="CE768" s="1697"/>
      <c r="CF768" s="1697"/>
      <c r="CG768" s="1697"/>
      <c r="CH768" s="1697"/>
      <c r="CI768" s="1697"/>
      <c r="CJ768" s="1697"/>
      <c r="CK768" s="1697"/>
      <c r="CL768" s="1697"/>
      <c r="CM768" s="1697"/>
      <c r="CN768" s="1697"/>
      <c r="CO768" s="1697"/>
      <c r="CP768" s="1697"/>
      <c r="CQ768" s="1697"/>
      <c r="CR768" s="1697"/>
      <c r="CS768" s="1697"/>
      <c r="CT768" s="1697"/>
      <c r="CU768" s="1697"/>
      <c r="CV768" s="1697"/>
      <c r="CW768" s="1697"/>
      <c r="CX768" s="1697"/>
      <c r="CY768" s="1697"/>
      <c r="CZ768" s="1697"/>
      <c r="DA768" s="1697"/>
      <c r="DB768" s="1697"/>
      <c r="DC768" s="1697"/>
      <c r="DD768" s="1697"/>
      <c r="DE768" s="1697"/>
      <c r="DF768" s="1697"/>
      <c r="DG768" s="1697"/>
      <c r="DH768" s="1697"/>
      <c r="DI768" s="1697"/>
      <c r="DJ768" s="1697"/>
      <c r="DK768" s="1697"/>
      <c r="DL768" s="1697"/>
      <c r="DM768" s="1697"/>
      <c r="DN768" s="1697"/>
      <c r="DO768" s="1697"/>
      <c r="DP768" s="1697"/>
      <c r="DQ768" s="1697"/>
      <c r="DR768" s="1697"/>
      <c r="DS768" s="1697"/>
      <c r="DT768" s="1697"/>
      <c r="DU768" s="1697"/>
      <c r="DV768" s="1697"/>
      <c r="DW768" s="1697"/>
      <c r="DX768" s="1697"/>
      <c r="DY768" s="1697"/>
      <c r="DZ768" s="1697"/>
      <c r="EA768" s="1697"/>
      <c r="EB768" s="1697"/>
      <c r="EC768" s="1697"/>
      <c r="ED768" s="1697"/>
      <c r="EE768" s="1697"/>
      <c r="EF768" s="1697"/>
      <c r="EG768" s="1697"/>
      <c r="EH768" s="1697"/>
      <c r="EI768" s="1697"/>
      <c r="EJ768" s="1697"/>
      <c r="EK768" s="1697"/>
      <c r="EL768" s="1697"/>
      <c r="EM768" s="1697"/>
      <c r="EN768" s="1697"/>
      <c r="EO768" s="1697"/>
      <c r="EP768" s="1697"/>
      <c r="EQ768" s="1697"/>
      <c r="ER768" s="1697"/>
      <c r="ES768" s="1697"/>
      <c r="ET768" s="1697"/>
      <c r="EU768" s="1697"/>
      <c r="EV768" s="1697"/>
      <c r="EW768" s="1697"/>
      <c r="EX768" s="1697"/>
      <c r="EY768" s="1697"/>
      <c r="EZ768" s="1697"/>
      <c r="FA768" s="1697"/>
      <c r="FB768" s="1697"/>
      <c r="FC768" s="1697"/>
      <c r="FD768" s="1697"/>
      <c r="FE768" s="1697"/>
      <c r="FF768" s="1697"/>
      <c r="FG768" s="1697"/>
      <c r="FH768" s="1697"/>
      <c r="FI768" s="1697"/>
    </row>
    <row r="769" spans="1:165">
      <c r="A769" s="1697"/>
      <c r="B769" s="1697"/>
      <c r="C769" s="1697"/>
      <c r="D769" s="1697"/>
      <c r="E769" s="1697"/>
      <c r="F769" s="1697"/>
      <c r="G769" s="1697"/>
      <c r="H769" s="1697"/>
      <c r="I769" s="1697"/>
      <c r="J769" s="1697"/>
      <c r="K769" s="1697"/>
      <c r="L769" s="1697"/>
      <c r="M769" s="1697"/>
      <c r="N769" s="1697"/>
      <c r="O769" s="1697"/>
      <c r="P769" s="1697"/>
      <c r="Q769" s="1697"/>
      <c r="R769" s="1697"/>
      <c r="S769" s="1697"/>
      <c r="T769" s="1697"/>
      <c r="U769" s="1697"/>
      <c r="V769" s="1697"/>
      <c r="W769" s="1697"/>
      <c r="X769" s="1697"/>
      <c r="Y769" s="1697"/>
      <c r="Z769" s="1697"/>
      <c r="AA769" s="1697"/>
      <c r="AB769" s="1697"/>
      <c r="AC769" s="1697"/>
      <c r="AD769" s="1697"/>
      <c r="AE769" s="1697"/>
      <c r="AF769" s="1697"/>
      <c r="AG769" s="1697"/>
      <c r="AH769" s="1697"/>
      <c r="AI769" s="1697"/>
      <c r="AJ769" s="1697"/>
      <c r="AK769" s="1697"/>
      <c r="AL769" s="1697"/>
      <c r="AM769" s="1697"/>
      <c r="AN769" s="1697"/>
      <c r="AO769" s="1697"/>
      <c r="AP769" s="1697"/>
      <c r="AQ769" s="1697"/>
      <c r="AR769" s="1697"/>
      <c r="AS769" s="1697"/>
      <c r="AT769" s="1697"/>
      <c r="AU769" s="1697"/>
      <c r="AV769" s="1697"/>
      <c r="AW769" s="1697"/>
      <c r="AX769" s="1697"/>
      <c r="AY769" s="1697"/>
      <c r="AZ769" s="1697"/>
      <c r="BA769" s="1697"/>
      <c r="BB769" s="1697"/>
      <c r="BC769" s="1697"/>
      <c r="BD769" s="1697"/>
      <c r="BE769" s="1697"/>
      <c r="BF769" s="1697"/>
      <c r="BG769" s="1697"/>
      <c r="BH769" s="1697"/>
      <c r="BI769" s="1697"/>
      <c r="BJ769" s="1697"/>
      <c r="BK769" s="1697"/>
      <c r="BL769" s="1697"/>
      <c r="BM769" s="1697"/>
      <c r="BN769" s="1697"/>
      <c r="BO769" s="1697"/>
      <c r="BP769" s="1697"/>
      <c r="BQ769" s="1697"/>
      <c r="BR769" s="1697"/>
      <c r="BS769" s="1697"/>
      <c r="BT769" s="1697"/>
      <c r="BU769" s="1697"/>
      <c r="BV769" s="1697"/>
      <c r="BW769" s="1697"/>
      <c r="BX769" s="1697"/>
      <c r="BY769" s="1697"/>
      <c r="BZ769" s="1697"/>
      <c r="CA769" s="1697"/>
      <c r="CB769" s="1697"/>
      <c r="CC769" s="1697"/>
      <c r="CD769" s="1697"/>
      <c r="CE769" s="1697"/>
      <c r="CF769" s="1697"/>
      <c r="CG769" s="1697"/>
      <c r="CH769" s="1697"/>
      <c r="CI769" s="1697"/>
      <c r="CJ769" s="1697"/>
      <c r="CK769" s="1697"/>
      <c r="CL769" s="1697"/>
      <c r="CM769" s="1697"/>
      <c r="CN769" s="1697"/>
      <c r="CO769" s="1697"/>
      <c r="CP769" s="1697"/>
      <c r="CQ769" s="1697"/>
      <c r="CR769" s="1697"/>
      <c r="CS769" s="1697"/>
      <c r="CT769" s="1697"/>
      <c r="CU769" s="1697"/>
      <c r="CV769" s="1697"/>
      <c r="CW769" s="1697"/>
      <c r="CX769" s="1697"/>
      <c r="CY769" s="1697"/>
      <c r="CZ769" s="1697"/>
      <c r="DA769" s="1697"/>
      <c r="DB769" s="1697"/>
      <c r="DC769" s="1697"/>
      <c r="DD769" s="1697"/>
      <c r="DE769" s="1697"/>
      <c r="DF769" s="1697"/>
      <c r="DG769" s="1697"/>
      <c r="DH769" s="1697"/>
      <c r="DI769" s="1697"/>
      <c r="DJ769" s="1697"/>
      <c r="DK769" s="1697"/>
      <c r="DL769" s="1697"/>
      <c r="DM769" s="1697"/>
      <c r="DN769" s="1697"/>
      <c r="DO769" s="1697"/>
      <c r="DP769" s="1697"/>
      <c r="DQ769" s="1697"/>
      <c r="DR769" s="1697"/>
      <c r="DS769" s="1697"/>
      <c r="DT769" s="1697"/>
      <c r="DU769" s="1697"/>
      <c r="DV769" s="1697"/>
      <c r="DW769" s="1697"/>
      <c r="DX769" s="1697"/>
      <c r="DY769" s="1697"/>
      <c r="DZ769" s="1697"/>
      <c r="EA769" s="1697"/>
      <c r="EB769" s="1697"/>
      <c r="EC769" s="1697"/>
      <c r="ED769" s="1697"/>
      <c r="EE769" s="1697"/>
      <c r="EF769" s="1697"/>
      <c r="EG769" s="1697"/>
      <c r="EH769" s="1697"/>
      <c r="EI769" s="1697"/>
      <c r="EJ769" s="1697"/>
      <c r="EK769" s="1697"/>
      <c r="EL769" s="1697"/>
      <c r="EM769" s="1697"/>
      <c r="EN769" s="1697"/>
      <c r="EO769" s="1697"/>
      <c r="EP769" s="1697"/>
      <c r="EQ769" s="1697"/>
      <c r="ER769" s="1697"/>
      <c r="ES769" s="1697"/>
      <c r="ET769" s="1697"/>
      <c r="EU769" s="1697"/>
      <c r="EV769" s="1697"/>
      <c r="EW769" s="1697"/>
      <c r="EX769" s="1697"/>
      <c r="EY769" s="1697"/>
      <c r="EZ769" s="1697"/>
      <c r="FA769" s="1697"/>
      <c r="FB769" s="1697"/>
      <c r="FC769" s="1697"/>
      <c r="FD769" s="1697"/>
      <c r="FE769" s="1697"/>
      <c r="FF769" s="1697"/>
      <c r="FG769" s="1697"/>
      <c r="FH769" s="1697"/>
      <c r="FI769" s="1697"/>
    </row>
    <row r="770" spans="1:165">
      <c r="A770" s="1697"/>
      <c r="B770" s="1697"/>
      <c r="C770" s="1697"/>
      <c r="D770" s="1697"/>
      <c r="E770" s="1697"/>
      <c r="F770" s="1697"/>
      <c r="G770" s="1697"/>
      <c r="H770" s="1697"/>
      <c r="I770" s="1697"/>
      <c r="J770" s="1697"/>
      <c r="K770" s="1697"/>
      <c r="L770" s="1697"/>
      <c r="M770" s="1697"/>
      <c r="N770" s="1697"/>
      <c r="O770" s="1697"/>
      <c r="P770" s="1697"/>
      <c r="Q770" s="1697"/>
      <c r="R770" s="1697"/>
      <c r="S770" s="1697"/>
      <c r="T770" s="1697"/>
      <c r="U770" s="1697"/>
      <c r="V770" s="1697"/>
      <c r="W770" s="1697"/>
      <c r="X770" s="1697"/>
      <c r="Y770" s="1697"/>
      <c r="Z770" s="1697"/>
      <c r="AA770" s="1697"/>
      <c r="AB770" s="1697"/>
      <c r="AC770" s="1697"/>
      <c r="AD770" s="1697"/>
      <c r="AE770" s="1697"/>
      <c r="AF770" s="1697"/>
      <c r="AG770" s="1697"/>
      <c r="AH770" s="1697"/>
      <c r="AI770" s="1697"/>
      <c r="AJ770" s="1697"/>
      <c r="AK770" s="1697"/>
      <c r="AL770" s="1697"/>
      <c r="AM770" s="1697"/>
      <c r="AN770" s="1697"/>
      <c r="AO770" s="1697"/>
      <c r="AP770" s="1697"/>
      <c r="AQ770" s="1697"/>
      <c r="AR770" s="1697"/>
      <c r="AS770" s="1697"/>
      <c r="AT770" s="1697"/>
      <c r="AU770" s="1697"/>
      <c r="AV770" s="1697"/>
      <c r="AW770" s="1697"/>
      <c r="AX770" s="1697"/>
      <c r="AY770" s="1697"/>
      <c r="AZ770" s="1697"/>
      <c r="BA770" s="1697"/>
      <c r="BB770" s="1697"/>
      <c r="BC770" s="1697"/>
      <c r="BD770" s="1697"/>
      <c r="BE770" s="1697"/>
      <c r="BF770" s="1697"/>
      <c r="BG770" s="1697"/>
      <c r="BH770" s="1697"/>
      <c r="BI770" s="1697"/>
      <c r="BJ770" s="1697"/>
      <c r="BK770" s="1697"/>
      <c r="BL770" s="1697"/>
      <c r="BM770" s="1697"/>
      <c r="BN770" s="1697"/>
      <c r="BO770" s="1697"/>
      <c r="BP770" s="1697"/>
      <c r="BQ770" s="1697"/>
      <c r="BR770" s="1697"/>
      <c r="BS770" s="1697"/>
      <c r="BT770" s="1697"/>
      <c r="BU770" s="1697"/>
      <c r="BV770" s="1697"/>
      <c r="BW770" s="1697"/>
      <c r="BX770" s="1697"/>
      <c r="BY770" s="1697"/>
      <c r="BZ770" s="1697"/>
      <c r="CA770" s="1697"/>
      <c r="CB770" s="1697"/>
      <c r="CC770" s="1697"/>
      <c r="CD770" s="1697"/>
      <c r="CE770" s="1697"/>
      <c r="CF770" s="1697"/>
      <c r="CG770" s="1697"/>
      <c r="CH770" s="1697"/>
      <c r="CI770" s="1697"/>
      <c r="CJ770" s="1697"/>
      <c r="CK770" s="1697"/>
      <c r="CL770" s="1697"/>
      <c r="CM770" s="1697"/>
      <c r="CN770" s="1697"/>
      <c r="CO770" s="1697"/>
      <c r="CP770" s="1697"/>
      <c r="CQ770" s="1697"/>
      <c r="CR770" s="1697"/>
      <c r="CS770" s="1697"/>
      <c r="CT770" s="1697"/>
      <c r="CU770" s="1697"/>
      <c r="CV770" s="1697"/>
      <c r="CW770" s="1697"/>
      <c r="CX770" s="1697"/>
      <c r="CY770" s="1697"/>
      <c r="CZ770" s="1697"/>
      <c r="DA770" s="1697"/>
      <c r="DB770" s="1697"/>
      <c r="DC770" s="1697"/>
      <c r="DD770" s="1697"/>
      <c r="DE770" s="1697"/>
      <c r="DF770" s="1697"/>
      <c r="DG770" s="1697"/>
      <c r="DH770" s="1697"/>
      <c r="DI770" s="1697"/>
      <c r="DJ770" s="1697"/>
      <c r="DK770" s="1697"/>
      <c r="DL770" s="1697"/>
      <c r="DM770" s="1697"/>
      <c r="DN770" s="1697"/>
      <c r="DO770" s="1697"/>
      <c r="DP770" s="1697"/>
      <c r="DQ770" s="1697"/>
      <c r="DR770" s="1697"/>
      <c r="DS770" s="1697"/>
      <c r="DT770" s="1697"/>
      <c r="DU770" s="1697"/>
      <c r="DV770" s="1697"/>
      <c r="DW770" s="1697"/>
      <c r="DX770" s="1697"/>
      <c r="DY770" s="1697"/>
      <c r="DZ770" s="1697"/>
      <c r="EA770" s="1697"/>
      <c r="EB770" s="1697"/>
      <c r="EC770" s="1697"/>
      <c r="ED770" s="1697"/>
      <c r="EE770" s="1697"/>
      <c r="EF770" s="1697"/>
      <c r="EG770" s="1697"/>
      <c r="EH770" s="1697"/>
      <c r="EI770" s="1697"/>
      <c r="EJ770" s="1697"/>
      <c r="EK770" s="1697"/>
      <c r="EL770" s="1697"/>
      <c r="EM770" s="1697"/>
      <c r="EN770" s="1697"/>
      <c r="EO770" s="1697"/>
      <c r="EP770" s="1697"/>
      <c r="EQ770" s="1697"/>
      <c r="ER770" s="1697"/>
      <c r="ES770" s="1697"/>
      <c r="ET770" s="1697"/>
      <c r="EU770" s="1697"/>
      <c r="EV770" s="1697"/>
      <c r="EW770" s="1697"/>
      <c r="EX770" s="1697"/>
      <c r="EY770" s="1697"/>
      <c r="EZ770" s="1697"/>
      <c r="FA770" s="1697"/>
      <c r="FB770" s="1697"/>
      <c r="FC770" s="1697"/>
      <c r="FD770" s="1697"/>
      <c r="FE770" s="1697"/>
      <c r="FF770" s="1697"/>
      <c r="FG770" s="1697"/>
      <c r="FH770" s="1697"/>
      <c r="FI770" s="1697"/>
    </row>
    <row r="771" spans="1:165">
      <c r="A771" s="1697"/>
      <c r="B771" s="1697"/>
      <c r="C771" s="1697"/>
      <c r="D771" s="1697"/>
      <c r="E771" s="1697"/>
      <c r="F771" s="1697"/>
      <c r="G771" s="1697"/>
      <c r="H771" s="1697"/>
      <c r="I771" s="1697"/>
      <c r="J771" s="1697"/>
      <c r="K771" s="1697"/>
      <c r="L771" s="1697"/>
      <c r="M771" s="1697"/>
      <c r="N771" s="1697"/>
      <c r="O771" s="1697"/>
      <c r="P771" s="1697"/>
      <c r="Q771" s="1697"/>
      <c r="R771" s="1697"/>
      <c r="S771" s="1697"/>
      <c r="T771" s="1697"/>
      <c r="U771" s="1697"/>
      <c r="V771" s="1697"/>
      <c r="W771" s="1697"/>
      <c r="X771" s="1697"/>
      <c r="Y771" s="1697"/>
      <c r="Z771" s="1697"/>
      <c r="AA771" s="1697"/>
      <c r="AB771" s="1697"/>
      <c r="AC771" s="1697"/>
      <c r="AD771" s="1697"/>
      <c r="AE771" s="1697"/>
      <c r="AF771" s="1697"/>
      <c r="AG771" s="1697"/>
      <c r="AH771" s="1697"/>
      <c r="AI771" s="1697"/>
      <c r="AJ771" s="1697"/>
      <c r="AK771" s="1697"/>
      <c r="AL771" s="1697"/>
      <c r="AM771" s="1697"/>
      <c r="AN771" s="1697"/>
      <c r="AO771" s="1697"/>
      <c r="AP771" s="1697"/>
      <c r="AQ771" s="1697"/>
      <c r="AR771" s="1697"/>
      <c r="AS771" s="1697"/>
      <c r="AT771" s="1697"/>
      <c r="AU771" s="1697"/>
      <c r="AV771" s="1697"/>
      <c r="AW771" s="1697"/>
      <c r="AX771" s="1697"/>
      <c r="AY771" s="1697"/>
      <c r="AZ771" s="1697"/>
      <c r="BA771" s="1697"/>
      <c r="BB771" s="1697"/>
      <c r="BC771" s="1697"/>
      <c r="BD771" s="1697"/>
      <c r="BE771" s="1697"/>
      <c r="BF771" s="1697"/>
      <c r="BG771" s="1697"/>
      <c r="BH771" s="1697"/>
      <c r="BI771" s="1697"/>
      <c r="BJ771" s="1697"/>
      <c r="BK771" s="1697"/>
      <c r="BL771" s="1697"/>
      <c r="BM771" s="1697"/>
      <c r="BN771" s="1697"/>
      <c r="BO771" s="1697"/>
      <c r="BP771" s="1697"/>
      <c r="BQ771" s="1697"/>
      <c r="BR771" s="1697"/>
      <c r="BS771" s="1697"/>
      <c r="BT771" s="1697"/>
      <c r="BU771" s="1697"/>
      <c r="BV771" s="1697"/>
      <c r="BW771" s="1697"/>
      <c r="BX771" s="1697"/>
      <c r="BY771" s="1697"/>
      <c r="BZ771" s="1697"/>
      <c r="CA771" s="1697"/>
      <c r="CB771" s="1697"/>
      <c r="CC771" s="1697"/>
      <c r="CD771" s="1697"/>
      <c r="CE771" s="1697"/>
      <c r="CF771" s="1697"/>
      <c r="CG771" s="1697"/>
      <c r="CH771" s="1697"/>
      <c r="CI771" s="1697"/>
      <c r="CJ771" s="1697"/>
      <c r="CK771" s="1697"/>
      <c r="CL771" s="1697"/>
      <c r="CM771" s="1697"/>
      <c r="CN771" s="1697"/>
      <c r="CO771" s="1697"/>
      <c r="CP771" s="1697"/>
      <c r="CQ771" s="1697"/>
      <c r="CR771" s="1697"/>
      <c r="CS771" s="1697"/>
      <c r="CT771" s="1697"/>
      <c r="CU771" s="1697"/>
      <c r="CV771" s="1697"/>
      <c r="CW771" s="1697"/>
      <c r="CX771" s="1697"/>
      <c r="CY771" s="1697"/>
      <c r="CZ771" s="1697"/>
      <c r="DA771" s="1697"/>
      <c r="DB771" s="1697"/>
      <c r="DC771" s="1697"/>
      <c r="DD771" s="1697"/>
      <c r="DE771" s="1697"/>
      <c r="DF771" s="1697"/>
      <c r="DG771" s="1697"/>
      <c r="DH771" s="1697"/>
      <c r="DI771" s="1697"/>
      <c r="DJ771" s="1697"/>
      <c r="DK771" s="1697"/>
      <c r="DL771" s="1697"/>
      <c r="DM771" s="1697"/>
      <c r="DN771" s="1697"/>
      <c r="DO771" s="1697"/>
      <c r="DP771" s="1697"/>
      <c r="DQ771" s="1697"/>
      <c r="DR771" s="1697"/>
      <c r="DS771" s="1697"/>
      <c r="DT771" s="1697"/>
      <c r="DU771" s="1697"/>
      <c r="DV771" s="1697"/>
      <c r="DW771" s="1697"/>
      <c r="DX771" s="1697"/>
      <c r="DY771" s="1697"/>
      <c r="DZ771" s="1697"/>
      <c r="EA771" s="1697"/>
      <c r="EB771" s="1697"/>
      <c r="EC771" s="1697"/>
      <c r="ED771" s="1697"/>
      <c r="EE771" s="1697"/>
      <c r="EF771" s="1697"/>
      <c r="EG771" s="1697"/>
      <c r="EH771" s="1697"/>
      <c r="EI771" s="1697"/>
      <c r="EJ771" s="1697"/>
      <c r="EK771" s="1697"/>
      <c r="EL771" s="1697"/>
      <c r="EM771" s="1697"/>
      <c r="EN771" s="1697"/>
      <c r="EO771" s="1697"/>
      <c r="EP771" s="1697"/>
      <c r="EQ771" s="1697"/>
      <c r="ER771" s="1697"/>
      <c r="ES771" s="1697"/>
      <c r="ET771" s="1697"/>
      <c r="EU771" s="1697"/>
      <c r="EV771" s="1697"/>
      <c r="EW771" s="1697"/>
      <c r="EX771" s="1697"/>
      <c r="EY771" s="1697"/>
      <c r="EZ771" s="1697"/>
      <c r="FA771" s="1697"/>
      <c r="FB771" s="1697"/>
      <c r="FC771" s="1697"/>
      <c r="FD771" s="1697"/>
      <c r="FE771" s="1697"/>
      <c r="FF771" s="1697"/>
      <c r="FG771" s="1697"/>
      <c r="FH771" s="1697"/>
      <c r="FI771" s="1697"/>
    </row>
    <row r="772" spans="1:165">
      <c r="A772" s="1697"/>
      <c r="B772" s="1697"/>
      <c r="C772" s="1697"/>
      <c r="D772" s="1697"/>
      <c r="E772" s="1697"/>
      <c r="F772" s="1697"/>
      <c r="G772" s="1697"/>
      <c r="H772" s="1697"/>
      <c r="I772" s="1697"/>
      <c r="J772" s="1697"/>
      <c r="K772" s="1697"/>
      <c r="L772" s="1697"/>
      <c r="M772" s="1697"/>
      <c r="N772" s="1697"/>
      <c r="O772" s="1697"/>
      <c r="P772" s="1697"/>
      <c r="Q772" s="1697"/>
      <c r="R772" s="1697"/>
      <c r="S772" s="1697"/>
      <c r="T772" s="1697"/>
      <c r="U772" s="1697"/>
      <c r="V772" s="1697"/>
      <c r="W772" s="1697"/>
      <c r="X772" s="1697"/>
      <c r="Y772" s="1697"/>
      <c r="Z772" s="1697"/>
      <c r="AA772" s="1697"/>
      <c r="AB772" s="1697"/>
      <c r="AC772" s="1697"/>
      <c r="AD772" s="1697"/>
      <c r="AE772" s="1697"/>
      <c r="AF772" s="1697"/>
      <c r="AG772" s="1697"/>
      <c r="AH772" s="1697"/>
      <c r="AI772" s="1697"/>
      <c r="AJ772" s="1697"/>
      <c r="AK772" s="1697"/>
      <c r="AL772" s="1697"/>
      <c r="AM772" s="1697"/>
      <c r="AN772" s="1697"/>
      <c r="AO772" s="1697"/>
      <c r="AP772" s="1697"/>
      <c r="AQ772" s="1697"/>
      <c r="AR772" s="1697"/>
      <c r="AS772" s="1697"/>
      <c r="AT772" s="1697"/>
      <c r="AU772" s="1697"/>
      <c r="AV772" s="1697"/>
      <c r="AW772" s="1697"/>
      <c r="AX772" s="1697"/>
      <c r="AY772" s="1697"/>
      <c r="AZ772" s="1697"/>
      <c r="BA772" s="1697"/>
      <c r="BB772" s="1697"/>
      <c r="BC772" s="1697"/>
      <c r="BD772" s="1697"/>
      <c r="BE772" s="1697"/>
      <c r="BF772" s="1697"/>
      <c r="BG772" s="1697"/>
      <c r="BH772" s="1697"/>
      <c r="BI772" s="1697"/>
      <c r="BJ772" s="1697"/>
      <c r="BK772" s="1697"/>
      <c r="BL772" s="1697"/>
      <c r="BM772" s="1697"/>
      <c r="BN772" s="1697"/>
      <c r="BO772" s="1697"/>
      <c r="BP772" s="1697"/>
      <c r="BQ772" s="1697"/>
      <c r="BR772" s="1697"/>
      <c r="BS772" s="1697"/>
      <c r="BT772" s="1697"/>
      <c r="BU772" s="1697"/>
      <c r="BV772" s="1697"/>
      <c r="BW772" s="1697"/>
      <c r="BX772" s="1697"/>
      <c r="BY772" s="1697"/>
      <c r="BZ772" s="1697"/>
      <c r="CA772" s="1697"/>
      <c r="CB772" s="1697"/>
      <c r="CC772" s="1697"/>
      <c r="CD772" s="1697"/>
      <c r="CE772" s="1697"/>
      <c r="CF772" s="1697"/>
      <c r="CG772" s="1697"/>
      <c r="CH772" s="1697"/>
      <c r="CI772" s="1697"/>
      <c r="CJ772" s="1697"/>
      <c r="CK772" s="1697"/>
      <c r="CL772" s="1697"/>
      <c r="CM772" s="1697"/>
      <c r="CN772" s="1697"/>
      <c r="CO772" s="1697"/>
      <c r="CP772" s="1697"/>
      <c r="CQ772" s="1697"/>
      <c r="CR772" s="1697"/>
      <c r="CS772" s="1697"/>
      <c r="CT772" s="1697"/>
      <c r="CU772" s="1697"/>
      <c r="CV772" s="1697"/>
      <c r="CW772" s="1697"/>
      <c r="CX772" s="1697"/>
      <c r="CY772" s="1697"/>
      <c r="CZ772" s="1697"/>
      <c r="DA772" s="1697"/>
      <c r="DB772" s="1697"/>
      <c r="DC772" s="1697"/>
      <c r="DD772" s="1697"/>
      <c r="DE772" s="1697"/>
      <c r="DF772" s="1697"/>
      <c r="DG772" s="1697"/>
      <c r="DH772" s="1697"/>
      <c r="DI772" s="1697"/>
      <c r="DJ772" s="1697"/>
      <c r="DK772" s="1697"/>
      <c r="DL772" s="1697"/>
      <c r="DM772" s="1697"/>
      <c r="DN772" s="1697"/>
      <c r="DO772" s="1697"/>
      <c r="DP772" s="1697"/>
      <c r="DQ772" s="1697"/>
      <c r="DR772" s="1697"/>
      <c r="DS772" s="1697"/>
      <c r="DT772" s="1697"/>
      <c r="DU772" s="1697"/>
      <c r="DV772" s="1697"/>
      <c r="DW772" s="1697"/>
      <c r="DX772" s="1697"/>
      <c r="DY772" s="1697"/>
      <c r="DZ772" s="1697"/>
      <c r="EA772" s="1697"/>
      <c r="EB772" s="1697"/>
      <c r="EC772" s="1697"/>
      <c r="ED772" s="1697"/>
      <c r="EE772" s="1697"/>
      <c r="EF772" s="1697"/>
      <c r="EG772" s="1697"/>
      <c r="EH772" s="1697"/>
      <c r="EI772" s="1697"/>
      <c r="EJ772" s="1697"/>
      <c r="EK772" s="1697"/>
      <c r="EL772" s="1697"/>
      <c r="EM772" s="1697"/>
      <c r="EN772" s="1697"/>
      <c r="EO772" s="1697"/>
      <c r="EP772" s="1697"/>
      <c r="EQ772" s="1697"/>
      <c r="ER772" s="1697"/>
      <c r="ES772" s="1697"/>
      <c r="ET772" s="1697"/>
      <c r="EU772" s="1697"/>
      <c r="EV772" s="1697"/>
      <c r="EW772" s="1697"/>
      <c r="EX772" s="1697"/>
      <c r="EY772" s="1697"/>
      <c r="EZ772" s="1697"/>
      <c r="FA772" s="1697"/>
      <c r="FB772" s="1697"/>
      <c r="FC772" s="1697"/>
      <c r="FD772" s="1697"/>
      <c r="FE772" s="1697"/>
      <c r="FF772" s="1697"/>
      <c r="FG772" s="1697"/>
      <c r="FH772" s="1697"/>
      <c r="FI772" s="1697"/>
    </row>
    <row r="773" spans="1:165">
      <c r="A773" s="1697"/>
      <c r="B773" s="1697"/>
      <c r="C773" s="1697"/>
      <c r="D773" s="1697"/>
      <c r="E773" s="1697"/>
      <c r="F773" s="1697"/>
      <c r="G773" s="1697"/>
      <c r="H773" s="1697"/>
      <c r="I773" s="1697"/>
      <c r="J773" s="1697"/>
      <c r="K773" s="1697"/>
      <c r="L773" s="1697"/>
      <c r="M773" s="1697"/>
      <c r="N773" s="1697"/>
      <c r="O773" s="1697"/>
      <c r="P773" s="1697"/>
      <c r="Q773" s="1697"/>
      <c r="R773" s="1697"/>
      <c r="S773" s="1697"/>
      <c r="T773" s="1697"/>
      <c r="U773" s="1697"/>
      <c r="V773" s="1697"/>
      <c r="W773" s="1697"/>
      <c r="X773" s="1697"/>
      <c r="Y773" s="1697"/>
      <c r="Z773" s="1697"/>
      <c r="AA773" s="1697"/>
      <c r="AB773" s="1697"/>
      <c r="AC773" s="1697"/>
      <c r="AD773" s="1697"/>
      <c r="AE773" s="1697"/>
      <c r="AF773" s="1697"/>
      <c r="AG773" s="1697"/>
      <c r="AH773" s="1697"/>
      <c r="AI773" s="1697"/>
      <c r="AJ773" s="1697"/>
      <c r="AK773" s="1697"/>
      <c r="AL773" s="1697"/>
      <c r="AM773" s="1697"/>
      <c r="AN773" s="1697"/>
      <c r="AO773" s="1697"/>
      <c r="AP773" s="1697"/>
      <c r="AQ773" s="1697"/>
      <c r="AR773" s="1697"/>
      <c r="AS773" s="1697"/>
      <c r="AT773" s="1697"/>
      <c r="AU773" s="1697"/>
      <c r="AV773" s="1697"/>
      <c r="AW773" s="1697"/>
      <c r="AX773" s="1697"/>
      <c r="AY773" s="1697"/>
      <c r="AZ773" s="1697"/>
      <c r="BA773" s="1697"/>
      <c r="BB773" s="1697"/>
      <c r="BC773" s="1697"/>
      <c r="BD773" s="1697"/>
      <c r="BE773" s="1697"/>
      <c r="BF773" s="1697"/>
      <c r="BG773" s="1697"/>
      <c r="BH773" s="1697"/>
      <c r="BI773" s="1697"/>
      <c r="BJ773" s="1697"/>
      <c r="BK773" s="1697"/>
      <c r="BL773" s="1697"/>
      <c r="BM773" s="1697"/>
      <c r="BN773" s="1697"/>
      <c r="BO773" s="1697"/>
      <c r="BP773" s="1697"/>
      <c r="BQ773" s="1697"/>
      <c r="BR773" s="1697"/>
      <c r="BS773" s="1697"/>
      <c r="BT773" s="1697"/>
      <c r="BU773" s="1697"/>
      <c r="BV773" s="1697"/>
      <c r="BW773" s="1697"/>
      <c r="BX773" s="1697"/>
      <c r="BY773" s="1697"/>
      <c r="BZ773" s="1697"/>
      <c r="CA773" s="1697"/>
      <c r="CB773" s="1697"/>
      <c r="CC773" s="1697"/>
      <c r="CD773" s="1697"/>
      <c r="CE773" s="1697"/>
      <c r="CF773" s="1697"/>
      <c r="CG773" s="1697"/>
      <c r="CH773" s="1697"/>
      <c r="CI773" s="1697"/>
      <c r="CJ773" s="1697"/>
      <c r="CK773" s="1697"/>
      <c r="CL773" s="1697"/>
      <c r="CM773" s="1697"/>
      <c r="CN773" s="1697"/>
      <c r="CO773" s="1697"/>
      <c r="CP773" s="1697"/>
      <c r="CQ773" s="1697"/>
      <c r="CR773" s="1697"/>
      <c r="CS773" s="1697"/>
      <c r="CT773" s="1697"/>
      <c r="CU773" s="1697"/>
      <c r="CV773" s="1697"/>
      <c r="CW773" s="1697"/>
      <c r="CX773" s="1697"/>
      <c r="CY773" s="1697"/>
      <c r="CZ773" s="1697"/>
      <c r="DA773" s="1697"/>
      <c r="DB773" s="1697"/>
      <c r="DC773" s="1697"/>
      <c r="DD773" s="1697"/>
      <c r="DE773" s="1697"/>
      <c r="DF773" s="1697"/>
      <c r="DG773" s="1697"/>
      <c r="DH773" s="1697"/>
      <c r="DI773" s="1697"/>
      <c r="DJ773" s="1697"/>
      <c r="DK773" s="1697"/>
      <c r="DL773" s="1697"/>
      <c r="DM773" s="1697"/>
      <c r="DN773" s="1697"/>
      <c r="DO773" s="1697"/>
      <c r="DP773" s="1697"/>
      <c r="DQ773" s="1697"/>
      <c r="DR773" s="1697"/>
      <c r="DS773" s="1697"/>
      <c r="DT773" s="1697"/>
      <c r="DU773" s="1697"/>
      <c r="DV773" s="1697"/>
      <c r="DW773" s="1697"/>
      <c r="DX773" s="1697"/>
      <c r="DY773" s="1697"/>
      <c r="DZ773" s="1697"/>
      <c r="EA773" s="1697"/>
      <c r="EB773" s="1697"/>
      <c r="EC773" s="1697"/>
      <c r="ED773" s="1697"/>
      <c r="EE773" s="1697"/>
      <c r="EF773" s="1697"/>
      <c r="EG773" s="1697"/>
      <c r="EH773" s="1697"/>
      <c r="EI773" s="1697"/>
      <c r="EJ773" s="1697"/>
      <c r="EK773" s="1697"/>
      <c r="EL773" s="1697"/>
      <c r="EM773" s="1697"/>
      <c r="EN773" s="1697"/>
      <c r="EO773" s="1697"/>
      <c r="EP773" s="1697"/>
      <c r="EQ773" s="1697"/>
      <c r="ER773" s="1697"/>
      <c r="ES773" s="1697"/>
      <c r="ET773" s="1697"/>
      <c r="EU773" s="1697"/>
      <c r="EV773" s="1697"/>
      <c r="EW773" s="1697"/>
      <c r="EX773" s="1697"/>
      <c r="EY773" s="1697"/>
      <c r="EZ773" s="1697"/>
      <c r="FA773" s="1697"/>
      <c r="FB773" s="1697"/>
      <c r="FC773" s="1697"/>
      <c r="FD773" s="1697"/>
      <c r="FE773" s="1697"/>
      <c r="FF773" s="1697"/>
      <c r="FG773" s="1697"/>
      <c r="FH773" s="1697"/>
      <c r="FI773" s="1697"/>
    </row>
    <row r="774" spans="1:165">
      <c r="A774" s="1697"/>
      <c r="B774" s="1697"/>
      <c r="C774" s="1697"/>
      <c r="D774" s="1697"/>
      <c r="E774" s="1697"/>
      <c r="F774" s="1697"/>
      <c r="G774" s="1697"/>
      <c r="H774" s="1697"/>
      <c r="I774" s="1697"/>
      <c r="J774" s="1697"/>
      <c r="K774" s="1697"/>
      <c r="L774" s="1697"/>
      <c r="M774" s="1697"/>
      <c r="N774" s="1697"/>
      <c r="O774" s="1697"/>
      <c r="P774" s="1697"/>
      <c r="Q774" s="1697"/>
      <c r="R774" s="1697"/>
      <c r="S774" s="1697"/>
      <c r="T774" s="1697"/>
      <c r="U774" s="1697"/>
      <c r="V774" s="1697"/>
      <c r="W774" s="1697"/>
      <c r="X774" s="1697"/>
      <c r="Y774" s="1697"/>
      <c r="Z774" s="1697"/>
      <c r="AA774" s="1697"/>
      <c r="AB774" s="1697"/>
      <c r="AC774" s="1697"/>
      <c r="AD774" s="1697"/>
      <c r="AE774" s="1697"/>
      <c r="AF774" s="1697"/>
      <c r="AG774" s="1697"/>
      <c r="AH774" s="1697"/>
      <c r="AI774" s="1697"/>
      <c r="AJ774" s="1697"/>
      <c r="AK774" s="1697"/>
      <c r="AL774" s="1697"/>
      <c r="AM774" s="1697"/>
      <c r="AN774" s="1697"/>
      <c r="AO774" s="1697"/>
      <c r="AP774" s="1697"/>
      <c r="AQ774" s="1697"/>
      <c r="AR774" s="1697"/>
      <c r="AS774" s="1697"/>
      <c r="AT774" s="1697"/>
      <c r="AU774" s="1697"/>
      <c r="AV774" s="1697"/>
      <c r="AW774" s="1697"/>
      <c r="AX774" s="1697"/>
      <c r="AY774" s="1697"/>
      <c r="AZ774" s="1697"/>
      <c r="BA774" s="1697"/>
      <c r="BB774" s="1697"/>
      <c r="BC774" s="1697"/>
      <c r="BD774" s="1697"/>
      <c r="BE774" s="1697"/>
      <c r="BF774" s="1697"/>
      <c r="BG774" s="1697"/>
      <c r="BH774" s="1697"/>
      <c r="BI774" s="1697"/>
      <c r="BJ774" s="1697"/>
      <c r="BK774" s="1697"/>
      <c r="BL774" s="1697"/>
      <c r="BM774" s="1697"/>
      <c r="BN774" s="1697"/>
      <c r="BO774" s="1697"/>
      <c r="BP774" s="1697"/>
      <c r="BQ774" s="1697"/>
      <c r="BR774" s="1697"/>
      <c r="BS774" s="1697"/>
      <c r="BT774" s="1697"/>
      <c r="BU774" s="1697"/>
      <c r="BV774" s="1697"/>
      <c r="BW774" s="1697"/>
      <c r="BX774" s="1697"/>
      <c r="BY774" s="1697"/>
      <c r="BZ774" s="1697"/>
      <c r="CA774" s="1697"/>
      <c r="CB774" s="1697"/>
      <c r="CC774" s="1697"/>
      <c r="CD774" s="1697"/>
      <c r="CE774" s="1697"/>
      <c r="CF774" s="1697"/>
      <c r="CG774" s="1697"/>
      <c r="CH774" s="1697"/>
      <c r="CI774" s="1697"/>
      <c r="CJ774" s="1697"/>
      <c r="CK774" s="1697"/>
      <c r="CL774" s="1697"/>
      <c r="CM774" s="1697"/>
      <c r="CN774" s="1697"/>
      <c r="CO774" s="1697"/>
      <c r="CP774" s="1697"/>
      <c r="CQ774" s="1697"/>
      <c r="CR774" s="1697"/>
      <c r="CS774" s="1697"/>
      <c r="CT774" s="1697"/>
      <c r="CU774" s="1697"/>
      <c r="CV774" s="1697"/>
      <c r="CW774" s="1697"/>
      <c r="CX774" s="1697"/>
      <c r="CY774" s="1697"/>
      <c r="CZ774" s="1697"/>
      <c r="DA774" s="1697"/>
      <c r="DB774" s="1697"/>
      <c r="DC774" s="1697"/>
      <c r="DD774" s="1697"/>
      <c r="DE774" s="1697"/>
      <c r="DF774" s="1697"/>
      <c r="DG774" s="1697"/>
      <c r="DH774" s="1697"/>
      <c r="DI774" s="1697"/>
      <c r="DJ774" s="1697"/>
      <c r="DK774" s="1697"/>
      <c r="DL774" s="1697"/>
      <c r="DM774" s="1697"/>
      <c r="DN774" s="1697"/>
      <c r="DO774" s="1697"/>
      <c r="DP774" s="1697"/>
      <c r="DQ774" s="1697"/>
      <c r="DR774" s="1697"/>
      <c r="DS774" s="1697"/>
      <c r="DT774" s="1697"/>
      <c r="DU774" s="1697"/>
      <c r="DV774" s="1697"/>
      <c r="DW774" s="1697"/>
      <c r="DX774" s="1697"/>
      <c r="DY774" s="1697"/>
      <c r="DZ774" s="1697"/>
      <c r="EA774" s="1697"/>
      <c r="EB774" s="1697"/>
      <c r="EC774" s="1697"/>
      <c r="ED774" s="1697"/>
      <c r="EE774" s="1697"/>
      <c r="EF774" s="1697"/>
      <c r="EG774" s="1697"/>
      <c r="EH774" s="1697"/>
      <c r="EI774" s="1697"/>
      <c r="EJ774" s="1697"/>
      <c r="EK774" s="1697"/>
      <c r="EL774" s="1697"/>
      <c r="EM774" s="1697"/>
      <c r="EN774" s="1697"/>
      <c r="EO774" s="1697"/>
      <c r="EP774" s="1697"/>
      <c r="EQ774" s="1697"/>
      <c r="ER774" s="1697"/>
      <c r="ES774" s="1697"/>
      <c r="ET774" s="1697"/>
      <c r="EU774" s="1697"/>
      <c r="EV774" s="1697"/>
      <c r="EW774" s="1697"/>
      <c r="EX774" s="1697"/>
      <c r="EY774" s="1697"/>
      <c r="EZ774" s="1697"/>
      <c r="FA774" s="1697"/>
      <c r="FB774" s="1697"/>
      <c r="FC774" s="1697"/>
      <c r="FD774" s="1697"/>
      <c r="FE774" s="1697"/>
      <c r="FF774" s="1697"/>
      <c r="FG774" s="1697"/>
      <c r="FH774" s="1697"/>
      <c r="FI774" s="1697"/>
    </row>
    <row r="775" spans="1:165">
      <c r="A775" s="1697"/>
      <c r="B775" s="1697"/>
      <c r="C775" s="1697"/>
      <c r="D775" s="1697"/>
      <c r="E775" s="1697"/>
      <c r="F775" s="1697"/>
      <c r="G775" s="1697"/>
      <c r="H775" s="1697"/>
      <c r="I775" s="1697"/>
      <c r="J775" s="1697"/>
      <c r="K775" s="1697"/>
      <c r="L775" s="1697"/>
      <c r="M775" s="1697"/>
      <c r="N775" s="1697"/>
      <c r="O775" s="1697"/>
      <c r="P775" s="1697"/>
      <c r="Q775" s="1697"/>
      <c r="R775" s="1697"/>
      <c r="S775" s="1697"/>
      <c r="T775" s="1697"/>
      <c r="U775" s="1697"/>
      <c r="V775" s="1697"/>
      <c r="W775" s="1697"/>
      <c r="X775" s="1697"/>
      <c r="Y775" s="1697"/>
      <c r="Z775" s="1697"/>
      <c r="AA775" s="1697"/>
      <c r="AB775" s="1697"/>
      <c r="AC775" s="1697"/>
      <c r="AD775" s="1697"/>
      <c r="AE775" s="1697"/>
      <c r="AF775" s="1697"/>
      <c r="AG775" s="1697"/>
      <c r="AH775" s="1697"/>
      <c r="AI775" s="1697"/>
      <c r="AJ775" s="1697"/>
      <c r="AK775" s="1697"/>
      <c r="AL775" s="1697"/>
      <c r="AM775" s="1697"/>
      <c r="AN775" s="1697"/>
      <c r="AO775" s="1697"/>
      <c r="AP775" s="1697"/>
      <c r="AQ775" s="1697"/>
      <c r="AR775" s="1697"/>
      <c r="AS775" s="1697"/>
      <c r="AT775" s="1697"/>
      <c r="AU775" s="1697"/>
      <c r="AV775" s="1697"/>
      <c r="AW775" s="1697"/>
      <c r="AX775" s="1697"/>
      <c r="AY775" s="1697"/>
      <c r="AZ775" s="1697"/>
      <c r="BA775" s="1697"/>
      <c r="BB775" s="1697"/>
      <c r="BC775" s="1697"/>
      <c r="BD775" s="1697"/>
      <c r="BE775" s="1697"/>
      <c r="BF775" s="1697"/>
      <c r="BG775" s="1697"/>
      <c r="BH775" s="1697"/>
      <c r="BI775" s="1697"/>
      <c r="BJ775" s="1697"/>
      <c r="BK775" s="1697"/>
      <c r="BL775" s="1697"/>
      <c r="BM775" s="1697"/>
      <c r="BN775" s="1697"/>
      <c r="BO775" s="1697"/>
      <c r="BP775" s="1697"/>
      <c r="BQ775" s="1697"/>
      <c r="BR775" s="1697"/>
      <c r="BS775" s="1697"/>
      <c r="BT775" s="1697"/>
      <c r="BU775" s="1697"/>
      <c r="BV775" s="1697"/>
      <c r="BW775" s="1697"/>
      <c r="BX775" s="1697"/>
      <c r="BY775" s="1697"/>
      <c r="BZ775" s="1697"/>
      <c r="CA775" s="1697"/>
      <c r="CB775" s="1697"/>
      <c r="CC775" s="1697"/>
      <c r="CD775" s="1697"/>
      <c r="CE775" s="1697"/>
      <c r="CF775" s="1697"/>
      <c r="CG775" s="1697"/>
      <c r="CH775" s="1697"/>
      <c r="CI775" s="1697"/>
      <c r="CJ775" s="1697"/>
      <c r="CK775" s="1697"/>
      <c r="CL775" s="1697"/>
      <c r="CM775" s="1697"/>
      <c r="CN775" s="1697"/>
      <c r="CO775" s="1697"/>
      <c r="CP775" s="1697"/>
      <c r="CQ775" s="1697"/>
      <c r="CR775" s="1697"/>
      <c r="CS775" s="1697"/>
      <c r="CT775" s="1697"/>
      <c r="CU775" s="1697"/>
      <c r="CV775" s="1697"/>
      <c r="CW775" s="1697"/>
      <c r="CX775" s="1697"/>
      <c r="CY775" s="1697"/>
      <c r="CZ775" s="1697"/>
      <c r="DA775" s="1697"/>
      <c r="DB775" s="1697"/>
      <c r="DC775" s="1697"/>
      <c r="DD775" s="1697"/>
      <c r="DE775" s="1697"/>
      <c r="DF775" s="1697"/>
      <c r="DG775" s="1697"/>
      <c r="DH775" s="1697"/>
      <c r="DI775" s="1697"/>
      <c r="DJ775" s="1697"/>
      <c r="DK775" s="1697"/>
      <c r="DL775" s="1697"/>
      <c r="DM775" s="1697"/>
      <c r="DN775" s="1697"/>
      <c r="DO775" s="1697"/>
      <c r="DP775" s="1697"/>
      <c r="DQ775" s="1697"/>
      <c r="DR775" s="1697"/>
      <c r="DS775" s="1697"/>
      <c r="DT775" s="1697"/>
      <c r="DU775" s="1697"/>
      <c r="DV775" s="1697"/>
      <c r="DW775" s="1697"/>
      <c r="DX775" s="1697"/>
      <c r="DY775" s="1697"/>
      <c r="DZ775" s="1697"/>
      <c r="EA775" s="1697"/>
      <c r="EB775" s="1697"/>
      <c r="EC775" s="1697"/>
      <c r="ED775" s="1697"/>
      <c r="EE775" s="1697"/>
      <c r="EF775" s="1697"/>
      <c r="EG775" s="1697"/>
      <c r="EH775" s="1697"/>
      <c r="EI775" s="1697"/>
      <c r="EJ775" s="1697"/>
      <c r="EK775" s="1697"/>
      <c r="EL775" s="1697"/>
      <c r="EM775" s="1697"/>
      <c r="EN775" s="1697"/>
      <c r="EO775" s="1697"/>
      <c r="EP775" s="1697"/>
      <c r="EQ775" s="1697"/>
      <c r="ER775" s="1697"/>
      <c r="ES775" s="1697"/>
      <c r="ET775" s="1697"/>
      <c r="EU775" s="1697"/>
      <c r="EV775" s="1697"/>
      <c r="EW775" s="1697"/>
      <c r="EX775" s="1697"/>
      <c r="EY775" s="1697"/>
      <c r="EZ775" s="1697"/>
      <c r="FA775" s="1697"/>
      <c r="FB775" s="1697"/>
      <c r="FC775" s="1697"/>
      <c r="FD775" s="1697"/>
      <c r="FE775" s="1697"/>
      <c r="FF775" s="1697"/>
      <c r="FG775" s="1697"/>
      <c r="FH775" s="1697"/>
      <c r="FI775" s="1697"/>
    </row>
    <row r="776" spans="1:165">
      <c r="A776" s="1697"/>
      <c r="B776" s="1697"/>
      <c r="C776" s="1697"/>
      <c r="D776" s="1697"/>
      <c r="E776" s="1697"/>
      <c r="F776" s="1697"/>
      <c r="G776" s="1697"/>
      <c r="H776" s="1697"/>
      <c r="I776" s="1697"/>
      <c r="J776" s="1697"/>
      <c r="K776" s="1697"/>
      <c r="L776" s="1697"/>
      <c r="M776" s="1697"/>
      <c r="N776" s="1697"/>
      <c r="O776" s="1697"/>
      <c r="P776" s="1697"/>
      <c r="Q776" s="1697"/>
      <c r="R776" s="1697"/>
      <c r="S776" s="1697"/>
      <c r="T776" s="1697"/>
      <c r="U776" s="1697"/>
      <c r="V776" s="1697"/>
      <c r="W776" s="1697"/>
      <c r="X776" s="1697"/>
      <c r="Y776" s="1697"/>
      <c r="Z776" s="1697"/>
      <c r="AA776" s="1697"/>
      <c r="AB776" s="1697"/>
      <c r="AC776" s="1697"/>
      <c r="AD776" s="1697"/>
      <c r="AE776" s="1697"/>
      <c r="AF776" s="1697"/>
      <c r="AG776" s="1697"/>
      <c r="AH776" s="1697"/>
      <c r="AI776" s="1697"/>
      <c r="AJ776" s="1697"/>
      <c r="AK776" s="1697"/>
      <c r="AL776" s="1697"/>
      <c r="AM776" s="1697"/>
      <c r="AN776" s="1697"/>
      <c r="AO776" s="1697"/>
      <c r="AP776" s="1697"/>
      <c r="AQ776" s="1697"/>
      <c r="AR776" s="1697"/>
      <c r="AS776" s="1697"/>
      <c r="AT776" s="1697"/>
      <c r="AU776" s="1697"/>
      <c r="AV776" s="1697"/>
      <c r="AW776" s="1697"/>
      <c r="AX776" s="1697"/>
      <c r="AY776" s="1697"/>
      <c r="AZ776" s="1697"/>
      <c r="BA776" s="1697"/>
      <c r="BB776" s="1697"/>
      <c r="BC776" s="1697"/>
      <c r="BD776" s="1697"/>
      <c r="BE776" s="1697"/>
      <c r="BF776" s="1697"/>
      <c r="BG776" s="1697"/>
      <c r="BH776" s="1697"/>
      <c r="BI776" s="1697"/>
      <c r="BJ776" s="1697"/>
      <c r="BK776" s="1697"/>
      <c r="BL776" s="1697"/>
      <c r="BM776" s="1697"/>
      <c r="BN776" s="1697"/>
      <c r="BO776" s="1697"/>
      <c r="BP776" s="1697"/>
      <c r="BQ776" s="1697"/>
      <c r="BR776" s="1697"/>
      <c r="BS776" s="1697"/>
      <c r="BT776" s="1697"/>
      <c r="BU776" s="1697"/>
      <c r="BV776" s="1697"/>
      <c r="BW776" s="1697"/>
      <c r="BX776" s="1697"/>
      <c r="BY776" s="1697"/>
      <c r="BZ776" s="1697"/>
      <c r="CA776" s="1697"/>
      <c r="CB776" s="1697"/>
      <c r="CC776" s="1697"/>
      <c r="CD776" s="1697"/>
      <c r="CE776" s="1697"/>
      <c r="CF776" s="1697"/>
      <c r="CG776" s="1697"/>
      <c r="CH776" s="1697"/>
      <c r="CI776" s="1697"/>
      <c r="CJ776" s="1697"/>
      <c r="CK776" s="1697"/>
      <c r="CL776" s="1697"/>
      <c r="CM776" s="1697"/>
      <c r="CN776" s="1697"/>
      <c r="CO776" s="1697"/>
      <c r="CP776" s="1697"/>
      <c r="CQ776" s="1697"/>
      <c r="CR776" s="1697"/>
      <c r="CS776" s="1697"/>
      <c r="CT776" s="1697"/>
      <c r="CU776" s="1697"/>
      <c r="CV776" s="1697"/>
      <c r="CW776" s="1697"/>
      <c r="CX776" s="1697"/>
      <c r="CY776" s="1697"/>
      <c r="CZ776" s="1697"/>
      <c r="DA776" s="1697"/>
      <c r="DB776" s="1697"/>
      <c r="DC776" s="1697"/>
      <c r="DD776" s="1697"/>
      <c r="DE776" s="1697"/>
      <c r="DF776" s="1697"/>
      <c r="DG776" s="1697"/>
      <c r="DH776" s="1697"/>
      <c r="DI776" s="1697"/>
      <c r="DJ776" s="1697"/>
      <c r="DK776" s="1697"/>
      <c r="DL776" s="1697"/>
      <c r="DM776" s="1697"/>
      <c r="DN776" s="1697"/>
      <c r="DO776" s="1697"/>
      <c r="DP776" s="1697"/>
      <c r="DQ776" s="1697"/>
      <c r="DR776" s="1697"/>
      <c r="DS776" s="1697"/>
      <c r="DT776" s="1697"/>
      <c r="DU776" s="1697"/>
      <c r="DV776" s="1697"/>
      <c r="DW776" s="1697"/>
      <c r="DX776" s="1697"/>
      <c r="DY776" s="1697"/>
      <c r="DZ776" s="1697"/>
      <c r="EA776" s="1697"/>
      <c r="EB776" s="1697"/>
      <c r="EC776" s="1697"/>
      <c r="ED776" s="1697"/>
      <c r="EE776" s="1697"/>
      <c r="EF776" s="1697"/>
      <c r="EG776" s="1697"/>
      <c r="EH776" s="1697"/>
      <c r="EI776" s="1697"/>
      <c r="EJ776" s="1697"/>
      <c r="EK776" s="1697"/>
      <c r="EL776" s="1697"/>
      <c r="EM776" s="1697"/>
      <c r="EN776" s="1697"/>
      <c r="EO776" s="1697"/>
      <c r="EP776" s="1697"/>
      <c r="EQ776" s="1697"/>
      <c r="ER776" s="1697"/>
      <c r="ES776" s="1697"/>
      <c r="ET776" s="1697"/>
      <c r="EU776" s="1697"/>
      <c r="EV776" s="1697"/>
      <c r="EW776" s="1697"/>
      <c r="EX776" s="1697"/>
      <c r="EY776" s="1697"/>
      <c r="EZ776" s="1697"/>
      <c r="FA776" s="1697"/>
      <c r="FB776" s="1697"/>
      <c r="FC776" s="1697"/>
      <c r="FD776" s="1697"/>
      <c r="FE776" s="1697"/>
      <c r="FF776" s="1697"/>
      <c r="FG776" s="1697"/>
      <c r="FH776" s="1697"/>
      <c r="FI776" s="1697"/>
    </row>
    <row r="777" spans="1:165">
      <c r="A777" s="1697"/>
      <c r="B777" s="1697"/>
      <c r="C777" s="1697"/>
      <c r="D777" s="1697"/>
      <c r="E777" s="1697"/>
      <c r="F777" s="1697"/>
      <c r="G777" s="1697"/>
      <c r="H777" s="1697"/>
      <c r="I777" s="1697"/>
      <c r="J777" s="1697"/>
      <c r="K777" s="1697"/>
      <c r="L777" s="1697"/>
      <c r="M777" s="1697"/>
      <c r="N777" s="1697"/>
      <c r="O777" s="1697"/>
      <c r="P777" s="1697"/>
      <c r="Q777" s="1697"/>
      <c r="R777" s="1697"/>
      <c r="S777" s="1697"/>
      <c r="T777" s="1697"/>
      <c r="U777" s="1697"/>
      <c r="V777" s="1697"/>
      <c r="W777" s="1697"/>
      <c r="X777" s="1697"/>
      <c r="Y777" s="1697"/>
      <c r="Z777" s="1697"/>
      <c r="AA777" s="1697"/>
      <c r="AB777" s="1697"/>
      <c r="AC777" s="1697"/>
      <c r="AD777" s="1697"/>
      <c r="AE777" s="1697"/>
      <c r="AF777" s="1697"/>
      <c r="AG777" s="1697"/>
      <c r="AH777" s="1697"/>
      <c r="AI777" s="1697"/>
      <c r="AJ777" s="1697"/>
      <c r="AK777" s="1697"/>
      <c r="AL777" s="1697"/>
      <c r="AM777" s="1697"/>
      <c r="AN777" s="1697"/>
      <c r="AO777" s="1697"/>
      <c r="AP777" s="1697"/>
      <c r="AQ777" s="1697"/>
      <c r="AR777" s="1697"/>
      <c r="AS777" s="1697"/>
      <c r="AT777" s="1697"/>
      <c r="AU777" s="1697"/>
      <c r="AV777" s="1697"/>
      <c r="AW777" s="1697"/>
      <c r="AX777" s="1697"/>
      <c r="AY777" s="1697"/>
      <c r="AZ777" s="1697"/>
      <c r="BA777" s="1697"/>
      <c r="BB777" s="1697"/>
      <c r="BC777" s="1697"/>
      <c r="BD777" s="1697"/>
      <c r="BE777" s="1697"/>
      <c r="BF777" s="1697"/>
      <c r="BG777" s="1697"/>
      <c r="BH777" s="1697"/>
      <c r="BI777" s="1697"/>
      <c r="BJ777" s="1697"/>
      <c r="BK777" s="1697"/>
      <c r="BL777" s="1697"/>
      <c r="BM777" s="1697"/>
      <c r="BN777" s="1697"/>
      <c r="BO777" s="1697"/>
      <c r="BP777" s="1697"/>
      <c r="BQ777" s="1697"/>
      <c r="BR777" s="1697"/>
      <c r="BS777" s="1697"/>
      <c r="BT777" s="1697"/>
      <c r="BU777" s="1697"/>
      <c r="BV777" s="1697"/>
      <c r="BW777" s="1697"/>
      <c r="BX777" s="1697"/>
      <c r="BY777" s="1697"/>
      <c r="BZ777" s="1697"/>
      <c r="CA777" s="1697"/>
      <c r="CB777" s="1697"/>
      <c r="CC777" s="1697"/>
      <c r="CD777" s="1697"/>
      <c r="CE777" s="1697"/>
      <c r="CF777" s="1697"/>
      <c r="CG777" s="1697"/>
      <c r="CH777" s="1697"/>
      <c r="CI777" s="1697"/>
      <c r="CJ777" s="1697"/>
      <c r="CK777" s="1697"/>
      <c r="CL777" s="1697"/>
      <c r="CM777" s="1697"/>
      <c r="CN777" s="1697"/>
      <c r="CO777" s="1697"/>
      <c r="CP777" s="1697"/>
      <c r="CQ777" s="1697"/>
      <c r="CR777" s="1697"/>
      <c r="CS777" s="1697"/>
      <c r="CT777" s="1697"/>
      <c r="CU777" s="1697"/>
      <c r="CV777" s="1697"/>
      <c r="CW777" s="1697"/>
      <c r="CX777" s="1697"/>
      <c r="CY777" s="1697"/>
      <c r="CZ777" s="1697"/>
      <c r="DA777" s="1697"/>
      <c r="DB777" s="1697"/>
      <c r="DC777" s="1697"/>
      <c r="DD777" s="1697"/>
      <c r="DE777" s="1697"/>
      <c r="DF777" s="1697"/>
      <c r="DG777" s="1697"/>
      <c r="DH777" s="1697"/>
      <c r="DI777" s="1697"/>
      <c r="DJ777" s="1697"/>
      <c r="DK777" s="1697"/>
      <c r="DL777" s="1697"/>
      <c r="DM777" s="1697"/>
      <c r="DN777" s="1697"/>
      <c r="DO777" s="1697"/>
      <c r="DP777" s="1697"/>
      <c r="DQ777" s="1697"/>
      <c r="DR777" s="1697"/>
      <c r="DS777" s="1697"/>
      <c r="DT777" s="1697"/>
      <c r="DU777" s="1697"/>
      <c r="DV777" s="1697"/>
      <c r="DW777" s="1697"/>
      <c r="DX777" s="1697"/>
      <c r="DY777" s="1697"/>
      <c r="DZ777" s="1697"/>
      <c r="EA777" s="1697"/>
      <c r="EB777" s="1697"/>
      <c r="EC777" s="1697"/>
      <c r="ED777" s="1697"/>
      <c r="EE777" s="1697"/>
      <c r="EF777" s="1697"/>
      <c r="EG777" s="1697"/>
      <c r="EH777" s="1697"/>
      <c r="EI777" s="1697"/>
      <c r="EJ777" s="1697"/>
      <c r="EK777" s="1697"/>
      <c r="EL777" s="1697"/>
      <c r="EM777" s="1697"/>
      <c r="EN777" s="1697"/>
      <c r="EO777" s="1697"/>
      <c r="EP777" s="1697"/>
      <c r="EQ777" s="1697"/>
      <c r="ER777" s="1697"/>
      <c r="ES777" s="1697"/>
      <c r="ET777" s="1697"/>
      <c r="EU777" s="1697"/>
      <c r="EV777" s="1697"/>
      <c r="EW777" s="1697"/>
      <c r="EX777" s="1697"/>
      <c r="EY777" s="1697"/>
      <c r="EZ777" s="1697"/>
      <c r="FA777" s="1697"/>
      <c r="FB777" s="1697"/>
      <c r="FC777" s="1697"/>
      <c r="FD777" s="1697"/>
      <c r="FE777" s="1697"/>
      <c r="FF777" s="1697"/>
      <c r="FG777" s="1697"/>
      <c r="FH777" s="1697"/>
      <c r="FI777" s="1697"/>
    </row>
    <row r="778" spans="1:165">
      <c r="A778" s="1697"/>
      <c r="B778" s="1697"/>
      <c r="C778" s="1697"/>
      <c r="D778" s="1697"/>
      <c r="E778" s="1697"/>
      <c r="F778" s="1697"/>
      <c r="G778" s="1697"/>
      <c r="H778" s="1697"/>
      <c r="I778" s="1697"/>
      <c r="J778" s="1697"/>
      <c r="K778" s="1697"/>
      <c r="L778" s="1697"/>
      <c r="M778" s="1697"/>
      <c r="N778" s="1697"/>
      <c r="O778" s="1697"/>
      <c r="P778" s="1697"/>
      <c r="Q778" s="1697"/>
      <c r="R778" s="1697"/>
      <c r="S778" s="1697"/>
      <c r="T778" s="1697"/>
      <c r="U778" s="1697"/>
      <c r="V778" s="1697"/>
      <c r="W778" s="1697"/>
      <c r="X778" s="1697"/>
      <c r="Y778" s="1697"/>
      <c r="Z778" s="1697"/>
      <c r="AA778" s="1697"/>
      <c r="AB778" s="1697"/>
      <c r="AC778" s="1697"/>
      <c r="AD778" s="1697"/>
      <c r="AE778" s="1697"/>
      <c r="AF778" s="1697"/>
      <c r="AG778" s="1697"/>
      <c r="AH778" s="1697"/>
      <c r="AI778" s="1697"/>
      <c r="AJ778" s="1697"/>
      <c r="AK778" s="1697"/>
      <c r="AL778" s="1697"/>
      <c r="AM778" s="1697"/>
      <c r="AN778" s="1697"/>
      <c r="AO778" s="1697"/>
      <c r="AP778" s="1697"/>
      <c r="AQ778" s="1697"/>
      <c r="AR778" s="1697"/>
      <c r="AS778" s="1697"/>
      <c r="AT778" s="1697"/>
      <c r="AU778" s="1697"/>
      <c r="AV778" s="1697"/>
      <c r="AW778" s="1697"/>
      <c r="AX778" s="1697"/>
      <c r="AY778" s="1697"/>
      <c r="AZ778" s="1697"/>
      <c r="BA778" s="1697"/>
      <c r="BB778" s="1697"/>
      <c r="BC778" s="1697"/>
      <c r="BD778" s="1697"/>
      <c r="BE778" s="1697"/>
      <c r="BF778" s="1697"/>
      <c r="BG778" s="1697"/>
      <c r="BH778" s="1697"/>
      <c r="BI778" s="1697"/>
      <c r="BJ778" s="1697"/>
      <c r="BK778" s="1697"/>
      <c r="BL778" s="1697"/>
      <c r="BM778" s="1697"/>
      <c r="BN778" s="1697"/>
      <c r="BO778" s="1697"/>
      <c r="BP778" s="1697"/>
      <c r="BQ778" s="1697"/>
      <c r="BR778" s="1697"/>
      <c r="BS778" s="1697"/>
      <c r="BT778" s="1697"/>
      <c r="BU778" s="1697"/>
      <c r="BV778" s="1697"/>
      <c r="BW778" s="1697"/>
      <c r="BX778" s="1697"/>
      <c r="BY778" s="1697"/>
      <c r="BZ778" s="1697"/>
      <c r="CA778" s="1697"/>
      <c r="CB778" s="1697"/>
      <c r="CC778" s="1697"/>
      <c r="CD778" s="1697"/>
      <c r="CE778" s="1697"/>
      <c r="CF778" s="1697"/>
      <c r="CG778" s="1697"/>
      <c r="CH778" s="1697"/>
      <c r="CI778" s="1697"/>
      <c r="CJ778" s="1697"/>
      <c r="CK778" s="1697"/>
      <c r="CL778" s="1697"/>
      <c r="CM778" s="1697"/>
      <c r="CN778" s="1697"/>
      <c r="CO778" s="1697"/>
      <c r="CP778" s="1697"/>
      <c r="CQ778" s="1697"/>
      <c r="CR778" s="1697"/>
      <c r="CS778" s="1697"/>
      <c r="CT778" s="1697"/>
      <c r="CU778" s="1697"/>
      <c r="CV778" s="1697"/>
      <c r="CW778" s="1697"/>
      <c r="CX778" s="1697"/>
      <c r="CY778" s="1697"/>
      <c r="CZ778" s="1697"/>
      <c r="DA778" s="1697"/>
      <c r="DB778" s="1697"/>
      <c r="DC778" s="1697"/>
      <c r="DD778" s="1697"/>
      <c r="DE778" s="1697"/>
      <c r="DF778" s="1697"/>
      <c r="DG778" s="1697"/>
      <c r="DH778" s="1697"/>
      <c r="DI778" s="1697"/>
      <c r="DJ778" s="1697"/>
      <c r="DK778" s="1697"/>
      <c r="DL778" s="1697"/>
      <c r="DM778" s="1697"/>
      <c r="DN778" s="1697"/>
      <c r="DO778" s="1697"/>
      <c r="DP778" s="1697"/>
      <c r="DQ778" s="1697"/>
      <c r="DR778" s="1697"/>
      <c r="DS778" s="1697"/>
      <c r="DT778" s="1697"/>
      <c r="DU778" s="1697"/>
      <c r="DV778" s="1697"/>
      <c r="DW778" s="1697"/>
      <c r="DX778" s="1697"/>
      <c r="DY778" s="1697"/>
      <c r="DZ778" s="1697"/>
      <c r="EA778" s="1697"/>
      <c r="EB778" s="1697"/>
      <c r="EC778" s="1697"/>
      <c r="ED778" s="1697"/>
      <c r="EE778" s="1697"/>
      <c r="EF778" s="1697"/>
      <c r="EG778" s="1697"/>
      <c r="EH778" s="1697"/>
      <c r="EI778" s="1697"/>
      <c r="EJ778" s="1697"/>
      <c r="EK778" s="1697"/>
      <c r="EL778" s="1697"/>
      <c r="EM778" s="1697"/>
      <c r="EN778" s="1697"/>
      <c r="EO778" s="1697"/>
      <c r="EP778" s="1697"/>
      <c r="EQ778" s="1697"/>
      <c r="ER778" s="1697"/>
      <c r="ES778" s="1697"/>
      <c r="ET778" s="1697"/>
      <c r="EU778" s="1697"/>
      <c r="EV778" s="1697"/>
      <c r="EW778" s="1697"/>
      <c r="EX778" s="1697"/>
      <c r="EY778" s="1697"/>
      <c r="EZ778" s="1697"/>
      <c r="FA778" s="1697"/>
      <c r="FB778" s="1697"/>
      <c r="FC778" s="1697"/>
      <c r="FD778" s="1697"/>
      <c r="FE778" s="1697"/>
      <c r="FF778" s="1697"/>
      <c r="FG778" s="1697"/>
      <c r="FH778" s="1697"/>
      <c r="FI778" s="1697"/>
    </row>
    <row r="779" spans="1:165">
      <c r="A779" s="1697"/>
      <c r="B779" s="1697"/>
      <c r="C779" s="1697"/>
      <c r="D779" s="1697"/>
      <c r="E779" s="1697"/>
      <c r="F779" s="1697"/>
      <c r="G779" s="1697"/>
      <c r="H779" s="1697"/>
      <c r="I779" s="1697"/>
      <c r="J779" s="1697"/>
      <c r="K779" s="1697"/>
      <c r="L779" s="1697"/>
      <c r="M779" s="1697"/>
      <c r="N779" s="1697"/>
      <c r="O779" s="1697"/>
      <c r="P779" s="1697"/>
      <c r="Q779" s="1697"/>
      <c r="R779" s="1697"/>
      <c r="S779" s="1697"/>
      <c r="T779" s="1697"/>
      <c r="U779" s="1697"/>
      <c r="V779" s="1697"/>
      <c r="W779" s="1697"/>
      <c r="X779" s="1697"/>
      <c r="Y779" s="1697"/>
      <c r="Z779" s="1697"/>
      <c r="AA779" s="1697"/>
      <c r="AB779" s="1697"/>
      <c r="AC779" s="1697"/>
      <c r="AD779" s="1697"/>
      <c r="AE779" s="1697"/>
      <c r="AF779" s="1697"/>
      <c r="AG779" s="1697"/>
      <c r="AH779" s="1697"/>
      <c r="AI779" s="1697"/>
      <c r="AJ779" s="1697"/>
      <c r="AK779" s="1697"/>
      <c r="AL779" s="1697"/>
      <c r="AM779" s="1697"/>
      <c r="AN779" s="1697"/>
      <c r="AO779" s="1697"/>
      <c r="AP779" s="1697"/>
      <c r="AQ779" s="1697"/>
      <c r="AR779" s="1697"/>
      <c r="AS779" s="1697"/>
      <c r="AT779" s="1697"/>
      <c r="AU779" s="1697"/>
      <c r="AV779" s="1697"/>
      <c r="AW779" s="1697"/>
      <c r="AX779" s="1697"/>
      <c r="AY779" s="1697"/>
      <c r="AZ779" s="1697"/>
      <c r="BA779" s="1697"/>
      <c r="BB779" s="1697"/>
      <c r="BC779" s="1697"/>
      <c r="BD779" s="1697"/>
      <c r="BE779" s="1697"/>
      <c r="BF779" s="1697"/>
      <c r="BG779" s="1697"/>
      <c r="BH779" s="1697"/>
      <c r="BI779" s="1697"/>
      <c r="BJ779" s="1697"/>
      <c r="BK779" s="1697"/>
      <c r="BL779" s="1697"/>
      <c r="BM779" s="1697"/>
      <c r="BN779" s="1697"/>
      <c r="BO779" s="1697"/>
      <c r="BP779" s="1697"/>
      <c r="BQ779" s="1697"/>
      <c r="BR779" s="1697"/>
      <c r="BS779" s="1697"/>
      <c r="BT779" s="1697"/>
      <c r="BU779" s="1697"/>
      <c r="BV779" s="1697"/>
      <c r="BW779" s="1697"/>
      <c r="BX779" s="1697"/>
      <c r="BY779" s="1697"/>
      <c r="BZ779" s="1697"/>
      <c r="CA779" s="1697"/>
      <c r="CB779" s="1697"/>
      <c r="CC779" s="1697"/>
      <c r="CD779" s="1697"/>
      <c r="CE779" s="1697"/>
      <c r="CF779" s="1697"/>
      <c r="CG779" s="1697"/>
      <c r="CH779" s="1697"/>
      <c r="CI779" s="1697"/>
      <c r="CJ779" s="1697"/>
      <c r="CK779" s="1697"/>
      <c r="CL779" s="1697"/>
      <c r="CM779" s="1697"/>
      <c r="CN779" s="1697"/>
      <c r="CO779" s="1697"/>
      <c r="CP779" s="1697"/>
      <c r="CQ779" s="1697"/>
      <c r="CR779" s="1697"/>
      <c r="CS779" s="1697"/>
      <c r="CT779" s="1697"/>
      <c r="CU779" s="1697"/>
      <c r="CV779" s="1697"/>
      <c r="CW779" s="1697"/>
      <c r="CX779" s="1697"/>
      <c r="CY779" s="1697"/>
      <c r="CZ779" s="1697"/>
      <c r="DA779" s="1697"/>
      <c r="DB779" s="1697"/>
      <c r="DC779" s="1697"/>
      <c r="DD779" s="1697"/>
      <c r="DE779" s="1697"/>
      <c r="DF779" s="1697"/>
      <c r="DG779" s="1697"/>
      <c r="DH779" s="1697"/>
      <c r="DI779" s="1697"/>
      <c r="DJ779" s="1697"/>
      <c r="DK779" s="1697"/>
      <c r="DL779" s="1697"/>
      <c r="DM779" s="1697"/>
      <c r="DN779" s="1697"/>
      <c r="DO779" s="1697"/>
      <c r="DP779" s="1697"/>
      <c r="DQ779" s="1697"/>
      <c r="DR779" s="1697"/>
      <c r="DS779" s="1697"/>
      <c r="DT779" s="1697"/>
      <c r="DU779" s="1697"/>
      <c r="DV779" s="1697"/>
      <c r="DW779" s="1697"/>
      <c r="DX779" s="1697"/>
      <c r="DY779" s="1697"/>
      <c r="DZ779" s="1697"/>
      <c r="EA779" s="1697"/>
      <c r="EB779" s="1697"/>
      <c r="EC779" s="1697"/>
      <c r="ED779" s="1697"/>
      <c r="EE779" s="1697"/>
      <c r="EF779" s="1697"/>
      <c r="EG779" s="1697"/>
      <c r="EH779" s="1697"/>
      <c r="EI779" s="1697"/>
      <c r="EJ779" s="1697"/>
      <c r="EK779" s="1697"/>
      <c r="EL779" s="1697"/>
      <c r="EM779" s="1697"/>
      <c r="EN779" s="1697"/>
      <c r="EO779" s="1697"/>
      <c r="EP779" s="1697"/>
      <c r="EQ779" s="1697"/>
      <c r="ER779" s="1697"/>
      <c r="ES779" s="1697"/>
      <c r="ET779" s="1697"/>
      <c r="EU779" s="1697"/>
      <c r="EV779" s="1697"/>
      <c r="EW779" s="1697"/>
      <c r="EX779" s="1697"/>
      <c r="EY779" s="1697"/>
      <c r="EZ779" s="1697"/>
      <c r="FA779" s="1697"/>
      <c r="FB779" s="1697"/>
      <c r="FC779" s="1697"/>
      <c r="FD779" s="1697"/>
      <c r="FE779" s="1697"/>
      <c r="FF779" s="1697"/>
      <c r="FG779" s="1697"/>
      <c r="FH779" s="1697"/>
      <c r="FI779" s="1697"/>
    </row>
    <row r="780" spans="1:165">
      <c r="A780" s="1697"/>
      <c r="B780" s="1697"/>
      <c r="C780" s="1697"/>
      <c r="D780" s="1697"/>
      <c r="E780" s="1697"/>
      <c r="F780" s="1697"/>
      <c r="G780" s="1697"/>
      <c r="H780" s="1697"/>
      <c r="I780" s="1697"/>
      <c r="J780" s="1697"/>
      <c r="K780" s="1697"/>
      <c r="L780" s="1697"/>
      <c r="M780" s="1697"/>
      <c r="N780" s="1697"/>
      <c r="O780" s="1697"/>
      <c r="P780" s="1697"/>
      <c r="Q780" s="1697"/>
      <c r="R780" s="1697"/>
      <c r="S780" s="1697"/>
      <c r="T780" s="1697"/>
      <c r="U780" s="1697"/>
      <c r="V780" s="1697"/>
      <c r="W780" s="1697"/>
      <c r="X780" s="1697"/>
      <c r="Y780" s="1697"/>
      <c r="Z780" s="1697"/>
      <c r="AA780" s="1697"/>
      <c r="AB780" s="1697"/>
      <c r="AC780" s="1697"/>
      <c r="AD780" s="1697"/>
      <c r="AE780" s="1697"/>
      <c r="AF780" s="1697"/>
      <c r="AG780" s="1697"/>
      <c r="AH780" s="1697"/>
      <c r="AI780" s="1697"/>
      <c r="AJ780" s="1697"/>
      <c r="AK780" s="1697"/>
      <c r="AL780" s="1697"/>
      <c r="AM780" s="1697"/>
      <c r="AN780" s="1697"/>
      <c r="AO780" s="1697"/>
      <c r="AP780" s="1697"/>
      <c r="AQ780" s="1697"/>
      <c r="AR780" s="1697"/>
      <c r="AS780" s="1697"/>
      <c r="AT780" s="1697"/>
      <c r="AU780" s="1697"/>
      <c r="AV780" s="1697"/>
      <c r="AW780" s="1697"/>
      <c r="AX780" s="1697"/>
      <c r="AY780" s="1697"/>
      <c r="AZ780" s="1697"/>
      <c r="BA780" s="1697"/>
      <c r="BB780" s="1697"/>
      <c r="BC780" s="1697"/>
      <c r="BD780" s="1697"/>
      <c r="BE780" s="1697"/>
      <c r="BF780" s="1697"/>
      <c r="BG780" s="1697"/>
      <c r="BH780" s="1697"/>
      <c r="BI780" s="1697"/>
      <c r="BJ780" s="1697"/>
      <c r="BK780" s="1697"/>
      <c r="BL780" s="1697"/>
      <c r="BM780" s="1697"/>
      <c r="BN780" s="1697"/>
      <c r="BO780" s="1697"/>
      <c r="BP780" s="1697"/>
      <c r="BQ780" s="1697"/>
      <c r="BR780" s="1697"/>
      <c r="BS780" s="1697"/>
      <c r="BT780" s="1697"/>
      <c r="BU780" s="1697"/>
      <c r="BV780" s="1697"/>
      <c r="BW780" s="1697"/>
      <c r="BX780" s="1697"/>
      <c r="BY780" s="1697"/>
      <c r="BZ780" s="1697"/>
      <c r="CA780" s="1697"/>
      <c r="CB780" s="1697"/>
      <c r="CC780" s="1697"/>
      <c r="CD780" s="1697"/>
      <c r="CE780" s="1697"/>
      <c r="CF780" s="1697"/>
      <c r="CG780" s="1697"/>
      <c r="CH780" s="1697"/>
      <c r="CI780" s="1697"/>
      <c r="CJ780" s="1697"/>
      <c r="CK780" s="1697"/>
      <c r="CL780" s="1697"/>
      <c r="CM780" s="1697"/>
      <c r="CN780" s="1697"/>
      <c r="CO780" s="1697"/>
      <c r="CP780" s="1697"/>
      <c r="CQ780" s="1697"/>
      <c r="CR780" s="1697"/>
      <c r="CS780" s="1697"/>
      <c r="CT780" s="1697"/>
      <c r="CU780" s="1697"/>
      <c r="CV780" s="1697"/>
      <c r="CW780" s="1697"/>
      <c r="CX780" s="1697"/>
      <c r="CY780" s="1697"/>
      <c r="CZ780" s="1697"/>
      <c r="DA780" s="1697"/>
      <c r="DB780" s="1697"/>
      <c r="DC780" s="1697"/>
      <c r="DD780" s="1697"/>
      <c r="DE780" s="1697"/>
      <c r="DF780" s="1697"/>
      <c r="DG780" s="1697"/>
      <c r="DH780" s="1697"/>
      <c r="DI780" s="1697"/>
      <c r="DJ780" s="1697"/>
      <c r="DK780" s="1697"/>
      <c r="DL780" s="1697"/>
      <c r="DM780" s="1697"/>
      <c r="DN780" s="1697"/>
      <c r="DO780" s="1697"/>
      <c r="DP780" s="1697"/>
      <c r="DQ780" s="1697"/>
      <c r="DR780" s="1697"/>
      <c r="DS780" s="1697"/>
      <c r="DT780" s="1697"/>
      <c r="DU780" s="1697"/>
      <c r="DV780" s="1697"/>
      <c r="DW780" s="1697"/>
      <c r="DX780" s="1697"/>
      <c r="DY780" s="1697"/>
      <c r="DZ780" s="1697"/>
      <c r="EA780" s="1697"/>
      <c r="EB780" s="1697"/>
      <c r="EC780" s="1697"/>
      <c r="ED780" s="1697"/>
      <c r="EE780" s="1697"/>
      <c r="EF780" s="1697"/>
      <c r="EG780" s="1697"/>
      <c r="EH780" s="1697"/>
      <c r="EI780" s="1697"/>
      <c r="EJ780" s="1697"/>
      <c r="EK780" s="1697"/>
      <c r="EL780" s="1697"/>
      <c r="EM780" s="1697"/>
      <c r="EN780" s="1697"/>
      <c r="EO780" s="1697"/>
      <c r="EP780" s="1697"/>
      <c r="EQ780" s="1697"/>
      <c r="ER780" s="1697"/>
      <c r="ES780" s="1697"/>
      <c r="ET780" s="1697"/>
      <c r="EU780" s="1697"/>
      <c r="EV780" s="1697"/>
      <c r="EW780" s="1697"/>
      <c r="EX780" s="1697"/>
      <c r="EY780" s="1697"/>
      <c r="EZ780" s="1697"/>
      <c r="FA780" s="1697"/>
      <c r="FB780" s="1697"/>
      <c r="FC780" s="1697"/>
      <c r="FD780" s="1697"/>
      <c r="FE780" s="1697"/>
      <c r="FF780" s="1697"/>
      <c r="FG780" s="1697"/>
      <c r="FH780" s="1697"/>
      <c r="FI780" s="1697"/>
    </row>
    <row r="781" spans="1:165">
      <c r="A781" s="1697"/>
      <c r="B781" s="1697"/>
      <c r="C781" s="1697"/>
      <c r="D781" s="1697"/>
      <c r="E781" s="1697"/>
      <c r="F781" s="1697"/>
      <c r="G781" s="1697"/>
      <c r="H781" s="1697"/>
      <c r="I781" s="1697"/>
      <c r="J781" s="1697"/>
      <c r="K781" s="1697"/>
      <c r="L781" s="1697"/>
      <c r="M781" s="1697"/>
      <c r="N781" s="1697"/>
      <c r="O781" s="1697"/>
      <c r="P781" s="1697"/>
      <c r="Q781" s="1697"/>
      <c r="R781" s="1697"/>
      <c r="S781" s="1697"/>
      <c r="T781" s="1697"/>
      <c r="U781" s="1697"/>
      <c r="V781" s="1697"/>
      <c r="W781" s="1697"/>
      <c r="X781" s="1697"/>
      <c r="Y781" s="1697"/>
      <c r="Z781" s="1697"/>
      <c r="AA781" s="1697"/>
      <c r="AB781" s="1697"/>
      <c r="AC781" s="1697"/>
      <c r="AD781" s="1697"/>
      <c r="AE781" s="1697"/>
      <c r="AF781" s="1697"/>
      <c r="AG781" s="1697"/>
      <c r="AH781" s="1697"/>
      <c r="AI781" s="1697"/>
      <c r="AJ781" s="1697"/>
      <c r="AK781" s="1697"/>
      <c r="AL781" s="1697"/>
      <c r="AM781" s="1697"/>
      <c r="AN781" s="1697"/>
      <c r="AO781" s="1697"/>
      <c r="AP781" s="1697"/>
      <c r="AQ781" s="1697"/>
      <c r="AR781" s="1697"/>
      <c r="AS781" s="1697"/>
      <c r="AT781" s="1697"/>
      <c r="AU781" s="1697"/>
      <c r="AV781" s="1697"/>
      <c r="AW781" s="1697"/>
      <c r="AX781" s="1697"/>
      <c r="AY781" s="1697"/>
      <c r="AZ781" s="1697"/>
      <c r="BA781" s="1697"/>
      <c r="BB781" s="1697"/>
      <c r="BC781" s="1697"/>
      <c r="BD781" s="1697"/>
      <c r="BE781" s="1697"/>
      <c r="BF781" s="1697"/>
      <c r="BG781" s="1697"/>
      <c r="BH781" s="1697"/>
      <c r="BI781" s="1697"/>
      <c r="BJ781" s="1697"/>
      <c r="BK781" s="1697"/>
      <c r="BL781" s="1697"/>
      <c r="BM781" s="1697"/>
      <c r="BN781" s="1697"/>
      <c r="BO781" s="1697"/>
      <c r="BP781" s="1697"/>
      <c r="BQ781" s="1697"/>
      <c r="BR781" s="1697"/>
      <c r="BS781" s="1697"/>
      <c r="BT781" s="1697"/>
      <c r="BU781" s="1697"/>
      <c r="BV781" s="1697"/>
      <c r="BW781" s="1697"/>
      <c r="BX781" s="1697"/>
      <c r="BY781" s="1697"/>
      <c r="BZ781" s="1697"/>
      <c r="CA781" s="1697"/>
      <c r="CB781" s="1697"/>
      <c r="CC781" s="1697"/>
      <c r="CD781" s="1697"/>
      <c r="CE781" s="1697"/>
      <c r="CF781" s="1697"/>
      <c r="CG781" s="1697"/>
      <c r="CH781" s="1697"/>
      <c r="CI781" s="1697"/>
      <c r="CJ781" s="1697"/>
      <c r="CK781" s="1697"/>
      <c r="CL781" s="1697"/>
      <c r="CM781" s="1697"/>
      <c r="CN781" s="1697"/>
      <c r="CO781" s="1697"/>
      <c r="CP781" s="1697"/>
      <c r="CQ781" s="1697"/>
      <c r="CR781" s="1697"/>
      <c r="CS781" s="1697"/>
      <c r="CT781" s="1697"/>
      <c r="CU781" s="1697"/>
      <c r="CV781" s="1697"/>
      <c r="CW781" s="1697"/>
      <c r="CX781" s="1697"/>
      <c r="CY781" s="1697"/>
      <c r="CZ781" s="1697"/>
      <c r="DA781" s="1697"/>
      <c r="DB781" s="1697"/>
      <c r="DC781" s="1697"/>
      <c r="DD781" s="1697"/>
      <c r="DE781" s="1697"/>
      <c r="DF781" s="1697"/>
      <c r="DG781" s="1697"/>
      <c r="DH781" s="1697"/>
      <c r="DI781" s="1697"/>
      <c r="DJ781" s="1697"/>
      <c r="DK781" s="1697"/>
      <c r="DL781" s="1697"/>
      <c r="DM781" s="1697"/>
      <c r="DN781" s="1697"/>
      <c r="DO781" s="1697"/>
      <c r="DP781" s="1697"/>
      <c r="DQ781" s="1697"/>
      <c r="DR781" s="1697"/>
      <c r="DS781" s="1697"/>
      <c r="DT781" s="1697"/>
      <c r="DU781" s="1697"/>
      <c r="DV781" s="1697"/>
      <c r="DW781" s="1697"/>
      <c r="DX781" s="1697"/>
      <c r="DY781" s="1697"/>
      <c r="DZ781" s="1697"/>
      <c r="EA781" s="1697"/>
      <c r="EB781" s="1697"/>
      <c r="EC781" s="1697"/>
      <c r="ED781" s="1697"/>
      <c r="EE781" s="1697"/>
      <c r="EF781" s="1697"/>
      <c r="EG781" s="1697"/>
      <c r="EH781" s="1697"/>
      <c r="EI781" s="1697"/>
      <c r="EJ781" s="1697"/>
      <c r="EK781" s="1697"/>
      <c r="EL781" s="1697"/>
      <c r="EM781" s="1697"/>
      <c r="EN781" s="1697"/>
      <c r="EO781" s="1697"/>
      <c r="EP781" s="1697"/>
      <c r="EQ781" s="1697"/>
      <c r="ER781" s="1697"/>
      <c r="ES781" s="1697"/>
      <c r="ET781" s="1697"/>
      <c r="EU781" s="1697"/>
      <c r="EV781" s="1697"/>
      <c r="EW781" s="1697"/>
      <c r="EX781" s="1697"/>
      <c r="EY781" s="1697"/>
      <c r="EZ781" s="1697"/>
      <c r="FA781" s="1697"/>
      <c r="FB781" s="1697"/>
      <c r="FC781" s="1697"/>
      <c r="FD781" s="1697"/>
      <c r="FE781" s="1697"/>
      <c r="FF781" s="1697"/>
      <c r="FG781" s="1697"/>
      <c r="FH781" s="1697"/>
      <c r="FI781" s="1697"/>
    </row>
    <row r="782" spans="1:165">
      <c r="A782" s="1697"/>
      <c r="B782" s="1697"/>
      <c r="C782" s="1697"/>
      <c r="D782" s="1697"/>
      <c r="E782" s="1697"/>
      <c r="F782" s="1697"/>
      <c r="G782" s="1697"/>
      <c r="H782" s="1697"/>
      <c r="I782" s="1697"/>
      <c r="J782" s="1697"/>
      <c r="K782" s="1697"/>
      <c r="L782" s="1697"/>
      <c r="M782" s="1697"/>
      <c r="N782" s="1697"/>
      <c r="O782" s="1697"/>
      <c r="P782" s="1697"/>
      <c r="Q782" s="1697"/>
      <c r="R782" s="1697"/>
      <c r="S782" s="1697"/>
      <c r="T782" s="1697"/>
      <c r="U782" s="1697"/>
      <c r="V782" s="1697"/>
      <c r="W782" s="1697"/>
      <c r="X782" s="1697"/>
      <c r="Y782" s="1697"/>
      <c r="Z782" s="1697"/>
      <c r="AA782" s="1697"/>
      <c r="AB782" s="1697"/>
      <c r="AC782" s="1697"/>
      <c r="AD782" s="1697"/>
      <c r="AE782" s="1697"/>
      <c r="AF782" s="1697"/>
      <c r="AG782" s="1697"/>
      <c r="AH782" s="1697"/>
      <c r="AI782" s="1697"/>
      <c r="AJ782" s="1697"/>
      <c r="AK782" s="1697"/>
      <c r="AL782" s="1697"/>
      <c r="AM782" s="1697"/>
      <c r="AN782" s="1697"/>
      <c r="AO782" s="1697"/>
      <c r="AP782" s="1697"/>
      <c r="AQ782" s="1697"/>
      <c r="AR782" s="1697"/>
      <c r="AS782" s="1697"/>
      <c r="AT782" s="1697"/>
      <c r="AU782" s="1697"/>
      <c r="AV782" s="1697"/>
      <c r="AW782" s="1697"/>
      <c r="AX782" s="1697"/>
      <c r="AY782" s="1697"/>
      <c r="AZ782" s="1697"/>
      <c r="BA782" s="1697"/>
      <c r="BB782" s="1697"/>
      <c r="BC782" s="1697"/>
      <c r="BD782" s="1697"/>
      <c r="BE782" s="1697"/>
      <c r="BF782" s="1697"/>
      <c r="BG782" s="1697"/>
      <c r="BH782" s="1697"/>
      <c r="BI782" s="1697"/>
      <c r="BJ782" s="1697"/>
      <c r="BK782" s="1697"/>
      <c r="BL782" s="1697"/>
      <c r="BM782" s="1697"/>
      <c r="BN782" s="1697"/>
      <c r="BO782" s="1697"/>
      <c r="BP782" s="1697"/>
      <c r="BQ782" s="1697"/>
      <c r="BR782" s="1697"/>
      <c r="BS782" s="1697"/>
      <c r="BT782" s="1697"/>
      <c r="BU782" s="1697"/>
      <c r="BV782" s="1697"/>
      <c r="BW782" s="1697"/>
      <c r="BX782" s="1697"/>
      <c r="BY782" s="1697"/>
      <c r="BZ782" s="1697"/>
      <c r="CA782" s="1697"/>
      <c r="CB782" s="1697"/>
      <c r="CC782" s="1697"/>
      <c r="CD782" s="1697"/>
      <c r="CE782" s="1697"/>
      <c r="CF782" s="1697"/>
      <c r="CG782" s="1697"/>
      <c r="CH782" s="1697"/>
      <c r="CI782" s="1697"/>
      <c r="CJ782" s="1697"/>
      <c r="CK782" s="1697"/>
      <c r="CL782" s="1697"/>
      <c r="CM782" s="1697"/>
      <c r="CN782" s="1697"/>
      <c r="CO782" s="1697"/>
      <c r="CP782" s="1697"/>
      <c r="CQ782" s="1697"/>
      <c r="CR782" s="1697"/>
      <c r="CS782" s="1697"/>
      <c r="CT782" s="1697"/>
      <c r="CU782" s="1697"/>
      <c r="CV782" s="1697"/>
      <c r="CW782" s="1697"/>
      <c r="CX782" s="1697"/>
      <c r="CY782" s="1697"/>
      <c r="CZ782" s="1697"/>
      <c r="DA782" s="1697"/>
      <c r="DB782" s="1697"/>
      <c r="DC782" s="1697"/>
      <c r="DD782" s="1697"/>
      <c r="DE782" s="1697"/>
      <c r="DF782" s="1697"/>
      <c r="DG782" s="1697"/>
      <c r="DH782" s="1697"/>
      <c r="DI782" s="1697"/>
      <c r="DJ782" s="1697"/>
      <c r="DK782" s="1697"/>
      <c r="DL782" s="1697"/>
      <c r="DM782" s="1697"/>
      <c r="DN782" s="1697"/>
      <c r="DO782" s="1697"/>
      <c r="DP782" s="1697"/>
      <c r="DQ782" s="1697"/>
      <c r="DR782" s="1697"/>
      <c r="DS782" s="1697"/>
      <c r="DT782" s="1697"/>
      <c r="DU782" s="1697"/>
      <c r="DV782" s="1697"/>
      <c r="DW782" s="1697"/>
      <c r="DX782" s="1697"/>
      <c r="DY782" s="1697"/>
      <c r="DZ782" s="1697"/>
      <c r="EA782" s="1697"/>
      <c r="EB782" s="1697"/>
      <c r="EC782" s="1697"/>
      <c r="ED782" s="1697"/>
      <c r="EE782" s="1697"/>
      <c r="EF782" s="1697"/>
      <c r="EG782" s="1697"/>
      <c r="EH782" s="1697"/>
      <c r="EI782" s="1697"/>
      <c r="EJ782" s="1697"/>
      <c r="EK782" s="1697"/>
      <c r="EL782" s="1697"/>
      <c r="EM782" s="1697"/>
      <c r="EN782" s="1697"/>
      <c r="EO782" s="1697"/>
      <c r="EP782" s="1697"/>
      <c r="EQ782" s="1697"/>
      <c r="ER782" s="1697"/>
      <c r="ES782" s="1697"/>
      <c r="ET782" s="1697"/>
      <c r="EU782" s="1697"/>
      <c r="EV782" s="1697"/>
      <c r="EW782" s="1697"/>
      <c r="EX782" s="1697"/>
      <c r="EY782" s="1697"/>
      <c r="EZ782" s="1697"/>
      <c r="FA782" s="1697"/>
      <c r="FB782" s="1697"/>
      <c r="FC782" s="1697"/>
      <c r="FD782" s="1697"/>
      <c r="FE782" s="1697"/>
      <c r="FF782" s="1697"/>
      <c r="FG782" s="1697"/>
      <c r="FH782" s="1697"/>
      <c r="FI782" s="1697"/>
    </row>
    <row r="783" spans="1:165">
      <c r="A783" s="1697"/>
      <c r="B783" s="1697"/>
      <c r="C783" s="1697"/>
      <c r="D783" s="1697"/>
      <c r="E783" s="1697"/>
      <c r="F783" s="1697"/>
      <c r="G783" s="1697"/>
      <c r="H783" s="1697"/>
      <c r="I783" s="1697"/>
      <c r="J783" s="1697"/>
      <c r="K783" s="1697"/>
      <c r="L783" s="1697"/>
      <c r="M783" s="1697"/>
      <c r="N783" s="1697"/>
      <c r="O783" s="1697"/>
      <c r="P783" s="1697"/>
      <c r="Q783" s="1697"/>
      <c r="R783" s="1697"/>
      <c r="S783" s="1697"/>
      <c r="T783" s="1697"/>
      <c r="U783" s="1697"/>
      <c r="V783" s="1697"/>
      <c r="W783" s="1697"/>
      <c r="X783" s="1697"/>
      <c r="Y783" s="1697"/>
      <c r="Z783" s="1697"/>
      <c r="AA783" s="1697"/>
      <c r="AB783" s="1697"/>
      <c r="AC783" s="1697"/>
      <c r="AD783" s="1697"/>
      <c r="AE783" s="1697"/>
      <c r="AF783" s="1697"/>
      <c r="AG783" s="1697"/>
      <c r="AH783" s="1697"/>
      <c r="AI783" s="1697"/>
      <c r="AJ783" s="1697"/>
      <c r="AK783" s="1697"/>
      <c r="AL783" s="1697"/>
      <c r="AM783" s="1697"/>
      <c r="AN783" s="1697"/>
      <c r="AO783" s="1697"/>
      <c r="AP783" s="1697"/>
      <c r="AQ783" s="1697"/>
      <c r="AR783" s="1697"/>
      <c r="AS783" s="1697"/>
      <c r="AT783" s="1697"/>
      <c r="AU783" s="1697"/>
      <c r="AV783" s="1697"/>
      <c r="AW783" s="1697"/>
      <c r="AX783" s="1697"/>
      <c r="AY783" s="1697"/>
      <c r="AZ783" s="1697"/>
      <c r="BA783" s="1697"/>
      <c r="BB783" s="1697"/>
      <c r="BC783" s="1697"/>
      <c r="BD783" s="1697"/>
      <c r="BE783" s="1697"/>
      <c r="BF783" s="1697"/>
      <c r="BG783" s="1697"/>
      <c r="BH783" s="1697"/>
      <c r="BI783" s="1697"/>
      <c r="BJ783" s="1697"/>
      <c r="BK783" s="1697"/>
      <c r="BL783" s="1697"/>
      <c r="BM783" s="1697"/>
      <c r="BN783" s="1697"/>
      <c r="BO783" s="1697"/>
      <c r="BP783" s="1697"/>
      <c r="BQ783" s="1697"/>
      <c r="BR783" s="1697"/>
      <c r="BS783" s="1697"/>
      <c r="BT783" s="1697"/>
      <c r="BU783" s="1697"/>
      <c r="BV783" s="1697"/>
      <c r="BW783" s="1697"/>
      <c r="BX783" s="1697"/>
      <c r="BY783" s="1697"/>
      <c r="BZ783" s="1697"/>
      <c r="CA783" s="1697"/>
      <c r="CB783" s="1697"/>
      <c r="CC783" s="1697"/>
      <c r="CD783" s="1697"/>
      <c r="CE783" s="1697"/>
      <c r="CF783" s="1697"/>
      <c r="CG783" s="1697"/>
      <c r="CH783" s="1697"/>
      <c r="CI783" s="1697"/>
      <c r="CJ783" s="1697"/>
      <c r="CK783" s="1697"/>
      <c r="CL783" s="1697"/>
      <c r="CM783" s="1697"/>
      <c r="CN783" s="1697"/>
      <c r="CO783" s="1697"/>
      <c r="CP783" s="1697"/>
      <c r="CQ783" s="1697"/>
      <c r="CR783" s="1697"/>
      <c r="CS783" s="1697"/>
      <c r="CT783" s="1697"/>
      <c r="CU783" s="1697"/>
      <c r="CV783" s="1697"/>
      <c r="CW783" s="1697"/>
      <c r="CX783" s="1697"/>
      <c r="CY783" s="1697"/>
      <c r="CZ783" s="1697"/>
      <c r="DA783" s="1697"/>
      <c r="DB783" s="1697"/>
      <c r="DC783" s="1697"/>
      <c r="DD783" s="1697"/>
      <c r="DE783" s="1697"/>
      <c r="DF783" s="1697"/>
      <c r="DG783" s="1697"/>
      <c r="DH783" s="1697"/>
      <c r="DI783" s="1697"/>
      <c r="DJ783" s="1697"/>
      <c r="DK783" s="1697"/>
      <c r="DL783" s="1697"/>
      <c r="DM783" s="1697"/>
      <c r="DN783" s="1697"/>
      <c r="DO783" s="1697"/>
      <c r="DP783" s="1697"/>
      <c r="DQ783" s="1697"/>
      <c r="DR783" s="1697"/>
      <c r="DS783" s="1697"/>
      <c r="DT783" s="1697"/>
      <c r="DU783" s="1697"/>
      <c r="DV783" s="1697"/>
      <c r="DW783" s="1697"/>
      <c r="DX783" s="1697"/>
      <c r="DY783" s="1697"/>
      <c r="DZ783" s="1697"/>
      <c r="EA783" s="1697"/>
      <c r="EB783" s="1697"/>
      <c r="EC783" s="1697"/>
      <c r="ED783" s="1697"/>
      <c r="EE783" s="1697"/>
      <c r="EF783" s="1697"/>
      <c r="EG783" s="1697"/>
      <c r="EH783" s="1697"/>
      <c r="EI783" s="1697"/>
      <c r="EJ783" s="1697"/>
      <c r="EK783" s="1697"/>
      <c r="EL783" s="1697"/>
      <c r="EM783" s="1697"/>
      <c r="EN783" s="1697"/>
      <c r="EO783" s="1697"/>
      <c r="EP783" s="1697"/>
      <c r="EQ783" s="1697"/>
      <c r="ER783" s="1697"/>
      <c r="ES783" s="1697"/>
      <c r="ET783" s="1697"/>
      <c r="EU783" s="1697"/>
      <c r="EV783" s="1697"/>
      <c r="EW783" s="1697"/>
      <c r="EX783" s="1697"/>
      <c r="EY783" s="1697"/>
      <c r="EZ783" s="1697"/>
      <c r="FA783" s="1697"/>
      <c r="FB783" s="1697"/>
      <c r="FC783" s="1697"/>
      <c r="FD783" s="1697"/>
      <c r="FE783" s="1697"/>
      <c r="FF783" s="1697"/>
      <c r="FG783" s="1697"/>
      <c r="FH783" s="1697"/>
      <c r="FI783" s="1697"/>
    </row>
    <row r="784" spans="1:165">
      <c r="A784" s="1697"/>
      <c r="B784" s="1697"/>
      <c r="C784" s="1697"/>
      <c r="D784" s="1697"/>
      <c r="E784" s="1697"/>
      <c r="F784" s="1697"/>
      <c r="G784" s="1697"/>
      <c r="H784" s="1697"/>
      <c r="I784" s="1697"/>
      <c r="J784" s="1697"/>
      <c r="K784" s="1697"/>
      <c r="L784" s="1697"/>
      <c r="M784" s="1697"/>
      <c r="N784" s="1697"/>
      <c r="O784" s="1697"/>
      <c r="P784" s="1697"/>
      <c r="Q784" s="1697"/>
      <c r="R784" s="1697"/>
      <c r="S784" s="1697"/>
      <c r="T784" s="1697"/>
      <c r="U784" s="1697"/>
      <c r="V784" s="1697"/>
      <c r="W784" s="1697"/>
      <c r="X784" s="1697"/>
      <c r="Y784" s="1697"/>
      <c r="Z784" s="1697"/>
      <c r="AA784" s="1697"/>
      <c r="AB784" s="1697"/>
      <c r="AC784" s="1697"/>
      <c r="AD784" s="1697"/>
      <c r="AE784" s="1697"/>
      <c r="AF784" s="1697"/>
      <c r="AG784" s="1697"/>
      <c r="AH784" s="1697"/>
      <c r="AI784" s="1697"/>
      <c r="AJ784" s="1697"/>
      <c r="AK784" s="1697"/>
      <c r="AL784" s="1697"/>
      <c r="AM784" s="1697"/>
      <c r="AN784" s="1697"/>
      <c r="AO784" s="1697"/>
      <c r="AP784" s="1697"/>
      <c r="AQ784" s="1697"/>
      <c r="AR784" s="1697"/>
      <c r="AS784" s="1697"/>
      <c r="AT784" s="1697"/>
      <c r="AU784" s="1697"/>
      <c r="AV784" s="1697"/>
      <c r="AW784" s="1697"/>
      <c r="AX784" s="1697"/>
      <c r="AY784" s="1697"/>
      <c r="AZ784" s="1697"/>
      <c r="BA784" s="1697"/>
      <c r="BB784" s="1697"/>
      <c r="BC784" s="1697"/>
      <c r="BD784" s="1697"/>
      <c r="BE784" s="1697"/>
      <c r="BF784" s="1697"/>
      <c r="BG784" s="1697"/>
      <c r="BH784" s="1697"/>
      <c r="BI784" s="1697"/>
      <c r="BJ784" s="1697"/>
      <c r="BK784" s="1697"/>
      <c r="BL784" s="1697"/>
      <c r="BM784" s="1697"/>
      <c r="BN784" s="1697"/>
      <c r="BO784" s="1697"/>
      <c r="BP784" s="1697"/>
      <c r="BQ784" s="1697"/>
      <c r="BR784" s="1697"/>
      <c r="BS784" s="1697"/>
      <c r="BT784" s="1697"/>
      <c r="BU784" s="1697"/>
      <c r="BV784" s="1697"/>
      <c r="BW784" s="1697"/>
      <c r="BX784" s="1697"/>
      <c r="BY784" s="1697"/>
      <c r="BZ784" s="1697"/>
      <c r="CA784" s="1697"/>
      <c r="CB784" s="1697"/>
      <c r="CC784" s="1697"/>
      <c r="CD784" s="1697"/>
      <c r="CE784" s="1697"/>
      <c r="CF784" s="1697"/>
      <c r="CG784" s="1697"/>
      <c r="CH784" s="1697"/>
      <c r="CI784" s="1697"/>
      <c r="CJ784" s="1697"/>
      <c r="CK784" s="1697"/>
      <c r="CL784" s="1697"/>
      <c r="CM784" s="1697"/>
      <c r="CN784" s="1697"/>
      <c r="CO784" s="1697"/>
      <c r="CP784" s="1697"/>
      <c r="CQ784" s="1697"/>
      <c r="CR784" s="1697"/>
      <c r="CS784" s="1697"/>
      <c r="CT784" s="1697"/>
      <c r="CU784" s="1697"/>
      <c r="CV784" s="1697"/>
      <c r="CW784" s="1697"/>
      <c r="CX784" s="1697"/>
      <c r="CY784" s="1697"/>
      <c r="CZ784" s="1697"/>
      <c r="DA784" s="1697"/>
      <c r="DB784" s="1697"/>
      <c r="DC784" s="1697"/>
      <c r="DD784" s="1697"/>
      <c r="DE784" s="1697"/>
      <c r="DF784" s="1697"/>
      <c r="DG784" s="1697"/>
      <c r="DH784" s="1697"/>
      <c r="DI784" s="1697"/>
      <c r="DJ784" s="1697"/>
      <c r="DK784" s="1697"/>
      <c r="DL784" s="1697"/>
      <c r="DM784" s="1697"/>
      <c r="DN784" s="1697"/>
      <c r="DO784" s="1697"/>
      <c r="DP784" s="1697"/>
      <c r="DQ784" s="1697"/>
      <c r="DR784" s="1697"/>
      <c r="DS784" s="1697"/>
      <c r="DT784" s="1697"/>
      <c r="DU784" s="1697"/>
      <c r="DV784" s="1697"/>
      <c r="DW784" s="1697"/>
      <c r="DX784" s="1697"/>
      <c r="DY784" s="1697"/>
      <c r="DZ784" s="1697"/>
      <c r="EA784" s="1697"/>
      <c r="EB784" s="1697"/>
      <c r="EC784" s="1697"/>
      <c r="ED784" s="1697"/>
      <c r="EE784" s="1697"/>
      <c r="EF784" s="1697"/>
      <c r="EG784" s="1697"/>
      <c r="EH784" s="1697"/>
      <c r="EI784" s="1697"/>
      <c r="EJ784" s="1697"/>
      <c r="EK784" s="1697"/>
      <c r="EL784" s="1697"/>
      <c r="EM784" s="1697"/>
      <c r="EN784" s="1697"/>
      <c r="EO784" s="1697"/>
      <c r="EP784" s="1697"/>
      <c r="EQ784" s="1697"/>
      <c r="ER784" s="1697"/>
      <c r="ES784" s="1697"/>
      <c r="ET784" s="1697"/>
      <c r="EU784" s="1697"/>
      <c r="EV784" s="1697"/>
      <c r="EW784" s="1697"/>
      <c r="EX784" s="1697"/>
      <c r="EY784" s="1697"/>
      <c r="EZ784" s="1697"/>
      <c r="FA784" s="1697"/>
      <c r="FB784" s="1697"/>
      <c r="FC784" s="1697"/>
      <c r="FD784" s="1697"/>
      <c r="FE784" s="1697"/>
      <c r="FF784" s="1697"/>
      <c r="FG784" s="1697"/>
      <c r="FH784" s="1697"/>
      <c r="FI784" s="1697"/>
    </row>
    <row r="785" spans="1:165">
      <c r="A785" s="1697"/>
      <c r="B785" s="1697"/>
      <c r="C785" s="1697"/>
      <c r="D785" s="1697"/>
      <c r="E785" s="1697"/>
      <c r="F785" s="1697"/>
      <c r="G785" s="1697"/>
      <c r="H785" s="1697"/>
      <c r="I785" s="1697"/>
      <c r="J785" s="1697"/>
      <c r="K785" s="1697"/>
      <c r="L785" s="1697"/>
      <c r="M785" s="1697"/>
      <c r="N785" s="1697"/>
      <c r="O785" s="1697"/>
      <c r="P785" s="1697"/>
      <c r="Q785" s="1697"/>
      <c r="R785" s="1697"/>
      <c r="S785" s="1697"/>
      <c r="T785" s="1697"/>
      <c r="U785" s="1697"/>
      <c r="V785" s="1697"/>
      <c r="W785" s="1697"/>
      <c r="X785" s="1697"/>
      <c r="Y785" s="1697"/>
      <c r="Z785" s="1697"/>
      <c r="AA785" s="1697"/>
      <c r="AB785" s="1697"/>
      <c r="AC785" s="1697"/>
      <c r="AD785" s="1697"/>
      <c r="AE785" s="1697"/>
      <c r="AF785" s="1697"/>
      <c r="AG785" s="1697"/>
      <c r="AH785" s="1697"/>
      <c r="AI785" s="1697"/>
      <c r="AJ785" s="1697"/>
      <c r="AK785" s="1697"/>
      <c r="AL785" s="1697"/>
      <c r="AM785" s="1697"/>
      <c r="AN785" s="1697"/>
      <c r="AO785" s="1697"/>
      <c r="AP785" s="1697"/>
      <c r="AQ785" s="1697"/>
      <c r="AR785" s="1697"/>
      <c r="AS785" s="1697"/>
      <c r="AT785" s="1697"/>
      <c r="AU785" s="1697"/>
      <c r="AV785" s="1697"/>
      <c r="AW785" s="1697"/>
      <c r="AX785" s="1697"/>
      <c r="AY785" s="1697"/>
      <c r="AZ785" s="1697"/>
      <c r="BA785" s="1697"/>
      <c r="BB785" s="1697"/>
      <c r="BC785" s="1697"/>
      <c r="BD785" s="1697"/>
      <c r="BE785" s="1697"/>
      <c r="BF785" s="1697"/>
      <c r="BG785" s="1697"/>
      <c r="BH785" s="1697"/>
      <c r="BI785" s="1697"/>
      <c r="BJ785" s="1697"/>
      <c r="BK785" s="1697"/>
      <c r="BL785" s="1697"/>
      <c r="BM785" s="1697"/>
      <c r="BN785" s="1697"/>
      <c r="BO785" s="1697"/>
      <c r="BP785" s="1697"/>
      <c r="BQ785" s="1697"/>
      <c r="BR785" s="1697"/>
      <c r="BS785" s="1697"/>
      <c r="BT785" s="1697"/>
      <c r="BU785" s="1697"/>
      <c r="BV785" s="1697"/>
      <c r="BW785" s="1697"/>
      <c r="BX785" s="1697"/>
      <c r="BY785" s="1697"/>
      <c r="BZ785" s="1697"/>
      <c r="CA785" s="1697"/>
      <c r="CB785" s="1697"/>
      <c r="CC785" s="1697"/>
      <c r="CD785" s="1697"/>
      <c r="CE785" s="1697"/>
      <c r="CF785" s="1697"/>
      <c r="CG785" s="1697"/>
      <c r="CH785" s="1697"/>
      <c r="CI785" s="1697"/>
      <c r="CJ785" s="1697"/>
      <c r="CK785" s="1697"/>
      <c r="CL785" s="1697"/>
      <c r="CM785" s="1697"/>
      <c r="CN785" s="1697"/>
      <c r="CO785" s="1697"/>
      <c r="CP785" s="1697"/>
      <c r="CQ785" s="1697"/>
      <c r="CR785" s="1697"/>
      <c r="CS785" s="1697"/>
      <c r="CT785" s="1697"/>
      <c r="CU785" s="1697"/>
      <c r="CV785" s="1697"/>
      <c r="CW785" s="1697"/>
      <c r="CX785" s="1697"/>
      <c r="CY785" s="1697"/>
      <c r="CZ785" s="1697"/>
      <c r="DA785" s="1697"/>
      <c r="DB785" s="1697"/>
      <c r="DC785" s="1697"/>
      <c r="DD785" s="1697"/>
      <c r="DE785" s="1697"/>
      <c r="DF785" s="1697"/>
      <c r="DG785" s="1697"/>
      <c r="DH785" s="1697"/>
      <c r="DI785" s="1697"/>
      <c r="DJ785" s="1697"/>
      <c r="DK785" s="1697"/>
      <c r="DL785" s="1697"/>
      <c r="DM785" s="1697"/>
      <c r="DN785" s="1697"/>
      <c r="DO785" s="1697"/>
      <c r="DP785" s="1697"/>
      <c r="DQ785" s="1697"/>
      <c r="DR785" s="1697"/>
      <c r="DS785" s="1697"/>
      <c r="DT785" s="1697"/>
      <c r="DU785" s="1697"/>
      <c r="DV785" s="1697"/>
      <c r="DW785" s="1697"/>
      <c r="DX785" s="1697"/>
      <c r="DY785" s="1697"/>
      <c r="DZ785" s="1697"/>
      <c r="EA785" s="1697"/>
      <c r="EB785" s="1697"/>
      <c r="EC785" s="1697"/>
      <c r="ED785" s="1697"/>
      <c r="EE785" s="1697"/>
      <c r="EF785" s="1697"/>
      <c r="EG785" s="1697"/>
      <c r="EH785" s="1697"/>
      <c r="EI785" s="1697"/>
      <c r="EJ785" s="1697"/>
      <c r="EK785" s="1697"/>
      <c r="EL785" s="1697"/>
      <c r="EM785" s="1697"/>
      <c r="EN785" s="1697"/>
      <c r="EO785" s="1697"/>
      <c r="EP785" s="1697"/>
      <c r="EQ785" s="1697"/>
      <c r="ER785" s="1697"/>
      <c r="ES785" s="1697"/>
      <c r="ET785" s="1697"/>
      <c r="EU785" s="1697"/>
      <c r="EV785" s="1697"/>
      <c r="EW785" s="1697"/>
      <c r="EX785" s="1697"/>
      <c r="EY785" s="1697"/>
      <c r="EZ785" s="1697"/>
      <c r="FA785" s="1697"/>
      <c r="FB785" s="1697"/>
      <c r="FC785" s="1697"/>
      <c r="FD785" s="1697"/>
      <c r="FE785" s="1697"/>
      <c r="FF785" s="1697"/>
      <c r="FG785" s="1697"/>
      <c r="FH785" s="1697"/>
      <c r="FI785" s="1697"/>
    </row>
    <row r="786" spans="1:165">
      <c r="A786" s="1697"/>
      <c r="B786" s="1697"/>
      <c r="C786" s="1697"/>
      <c r="D786" s="1697"/>
      <c r="E786" s="1697"/>
      <c r="F786" s="1697"/>
      <c r="G786" s="1697"/>
      <c r="H786" s="1697"/>
      <c r="I786" s="1697"/>
      <c r="J786" s="1697"/>
      <c r="K786" s="1697"/>
      <c r="L786" s="1697"/>
      <c r="M786" s="1697"/>
      <c r="N786" s="1697"/>
      <c r="O786" s="1697"/>
      <c r="P786" s="1697"/>
      <c r="Q786" s="1697"/>
      <c r="R786" s="1697"/>
      <c r="S786" s="1697"/>
      <c r="T786" s="1697"/>
      <c r="U786" s="1697"/>
      <c r="V786" s="1697"/>
      <c r="W786" s="1697"/>
      <c r="X786" s="1697"/>
      <c r="Y786" s="1697"/>
      <c r="Z786" s="1697"/>
      <c r="AA786" s="1697"/>
      <c r="AB786" s="1697"/>
      <c r="AC786" s="1697"/>
      <c r="AD786" s="1697"/>
      <c r="AE786" s="1697"/>
      <c r="AF786" s="1697"/>
      <c r="AG786" s="1697"/>
      <c r="AH786" s="1697"/>
      <c r="AI786" s="1697"/>
      <c r="AJ786" s="1697"/>
      <c r="AK786" s="1697"/>
      <c r="AL786" s="1697"/>
      <c r="AM786" s="1697"/>
      <c r="AN786" s="1697"/>
      <c r="AO786" s="1697"/>
      <c r="AP786" s="1697"/>
      <c r="AQ786" s="1697"/>
      <c r="AR786" s="1697"/>
      <c r="AS786" s="1697"/>
      <c r="AT786" s="1697"/>
      <c r="AU786" s="1697"/>
      <c r="AV786" s="1697"/>
      <c r="AW786" s="1697"/>
      <c r="AX786" s="1697"/>
      <c r="AY786" s="1697"/>
      <c r="AZ786" s="1697"/>
      <c r="BA786" s="1697"/>
      <c r="BB786" s="1697"/>
      <c r="BC786" s="1697"/>
      <c r="BD786" s="1697"/>
      <c r="BE786" s="1697"/>
      <c r="BF786" s="1697"/>
      <c r="BG786" s="1697"/>
      <c r="BH786" s="1697"/>
      <c r="BI786" s="1697"/>
      <c r="BJ786" s="1697"/>
      <c r="BK786" s="1697"/>
      <c r="BL786" s="1697"/>
      <c r="BM786" s="1697"/>
      <c r="BN786" s="1697"/>
      <c r="BO786" s="1697"/>
      <c r="BP786" s="1697"/>
      <c r="BQ786" s="1697"/>
      <c r="BR786" s="1697"/>
      <c r="BS786" s="1697"/>
      <c r="BT786" s="1697"/>
      <c r="BU786" s="1697"/>
      <c r="BV786" s="1697"/>
      <c r="BW786" s="1697"/>
      <c r="BX786" s="1697"/>
      <c r="BY786" s="1697"/>
      <c r="BZ786" s="1697"/>
      <c r="CA786" s="1697"/>
      <c r="CB786" s="1697"/>
      <c r="CC786" s="1697"/>
      <c r="CD786" s="1697"/>
      <c r="CE786" s="1697"/>
      <c r="CF786" s="1697"/>
      <c r="CG786" s="1697"/>
      <c r="CH786" s="1697"/>
      <c r="CI786" s="1697"/>
      <c r="CJ786" s="1697"/>
      <c r="CK786" s="1697"/>
      <c r="CL786" s="1697"/>
      <c r="CM786" s="1697"/>
      <c r="CN786" s="1697"/>
      <c r="CO786" s="1697"/>
      <c r="CP786" s="1697"/>
      <c r="CQ786" s="1697"/>
      <c r="CR786" s="1697"/>
      <c r="CS786" s="1697"/>
      <c r="CT786" s="1697"/>
      <c r="CU786" s="1697"/>
      <c r="CV786" s="1697"/>
      <c r="CW786" s="1697"/>
      <c r="CX786" s="1697"/>
      <c r="CY786" s="1697"/>
      <c r="CZ786" s="1697"/>
      <c r="DA786" s="1697"/>
      <c r="DB786" s="1697"/>
      <c r="DC786" s="1697"/>
      <c r="DD786" s="1697"/>
      <c r="DE786" s="1697"/>
      <c r="DF786" s="1697"/>
      <c r="DG786" s="1697"/>
      <c r="DH786" s="1697"/>
      <c r="DI786" s="1697"/>
      <c r="DJ786" s="1697"/>
      <c r="DK786" s="1697"/>
      <c r="DL786" s="1697"/>
      <c r="DM786" s="1697"/>
      <c r="DN786" s="1697"/>
      <c r="DO786" s="1697"/>
      <c r="DP786" s="1697"/>
      <c r="DQ786" s="1697"/>
      <c r="DR786" s="1697"/>
      <c r="DS786" s="1697"/>
      <c r="DT786" s="1697"/>
      <c r="DU786" s="1697"/>
      <c r="DV786" s="1697"/>
      <c r="DW786" s="1697"/>
      <c r="DX786" s="1697"/>
      <c r="DY786" s="1697"/>
      <c r="DZ786" s="1697"/>
      <c r="EA786" s="1697"/>
      <c r="EB786" s="1697"/>
      <c r="EC786" s="1697"/>
      <c r="ED786" s="1697"/>
      <c r="EE786" s="1697"/>
      <c r="EF786" s="1697"/>
      <c r="EG786" s="1697"/>
      <c r="EH786" s="1697"/>
      <c r="EI786" s="1697"/>
      <c r="EJ786" s="1697"/>
      <c r="EK786" s="1697"/>
      <c r="EL786" s="1697"/>
      <c r="EM786" s="1697"/>
      <c r="EN786" s="1697"/>
      <c r="EO786" s="1697"/>
      <c r="EP786" s="1697"/>
      <c r="EQ786" s="1697"/>
      <c r="ER786" s="1697"/>
      <c r="ES786" s="1697"/>
      <c r="ET786" s="1697"/>
      <c r="EU786" s="1697"/>
      <c r="EV786" s="1697"/>
      <c r="EW786" s="1697"/>
      <c r="EX786" s="1697"/>
      <c r="EY786" s="1697"/>
      <c r="EZ786" s="1697"/>
      <c r="FA786" s="1697"/>
      <c r="FB786" s="1697"/>
      <c r="FC786" s="1697"/>
      <c r="FD786" s="1697"/>
      <c r="FE786" s="1697"/>
      <c r="FF786" s="1697"/>
      <c r="FG786" s="1697"/>
      <c r="FH786" s="1697"/>
      <c r="FI786" s="1697"/>
    </row>
    <row r="787" spans="1:165">
      <c r="A787" s="1697"/>
      <c r="B787" s="1697"/>
      <c r="C787" s="1697"/>
      <c r="D787" s="1697"/>
      <c r="E787" s="1697"/>
      <c r="F787" s="1697"/>
      <c r="G787" s="1697"/>
      <c r="H787" s="1697"/>
      <c r="I787" s="1697"/>
      <c r="J787" s="1697"/>
      <c r="K787" s="1697"/>
      <c r="L787" s="1697"/>
      <c r="M787" s="1697"/>
      <c r="N787" s="1697"/>
      <c r="O787" s="1697"/>
      <c r="P787" s="1697"/>
      <c r="Q787" s="1697"/>
      <c r="R787" s="1697"/>
      <c r="S787" s="1697"/>
      <c r="T787" s="1697"/>
      <c r="U787" s="1697"/>
      <c r="V787" s="1697"/>
      <c r="W787" s="1697"/>
      <c r="X787" s="1697"/>
      <c r="Y787" s="1697"/>
      <c r="Z787" s="1697"/>
      <c r="AA787" s="1697"/>
      <c r="AB787" s="1697"/>
      <c r="AC787" s="1697"/>
      <c r="AD787" s="1697"/>
      <c r="AE787" s="1697"/>
      <c r="AF787" s="1697"/>
      <c r="AG787" s="1697"/>
      <c r="AH787" s="1697"/>
      <c r="AI787" s="1697"/>
      <c r="AJ787" s="1697"/>
      <c r="AK787" s="1697"/>
      <c r="AL787" s="1697"/>
      <c r="AM787" s="1697"/>
      <c r="AN787" s="1697"/>
      <c r="AO787" s="1697"/>
      <c r="AP787" s="1697"/>
      <c r="AQ787" s="1697"/>
      <c r="AR787" s="1697"/>
      <c r="AS787" s="1697"/>
      <c r="AT787" s="1697"/>
      <c r="AU787" s="1697"/>
      <c r="AV787" s="1697"/>
      <c r="AW787" s="1697"/>
      <c r="AX787" s="1697"/>
      <c r="AY787" s="1697"/>
      <c r="AZ787" s="1697"/>
      <c r="BA787" s="1697"/>
      <c r="BB787" s="1697"/>
      <c r="BC787" s="1697"/>
      <c r="BD787" s="1697"/>
      <c r="BE787" s="1697"/>
      <c r="BF787" s="1697"/>
      <c r="BG787" s="1697"/>
      <c r="BH787" s="1697"/>
      <c r="BI787" s="1697"/>
      <c r="BJ787" s="1697"/>
      <c r="BK787" s="1697"/>
      <c r="BL787" s="1697"/>
      <c r="BM787" s="1697"/>
      <c r="BN787" s="1697"/>
      <c r="BO787" s="1697"/>
      <c r="BP787" s="1697"/>
      <c r="BQ787" s="1697"/>
      <c r="BR787" s="1697"/>
      <c r="BS787" s="1697"/>
      <c r="BT787" s="1697"/>
      <c r="BU787" s="1697"/>
      <c r="BV787" s="1697"/>
      <c r="BW787" s="1697"/>
      <c r="BX787" s="1697"/>
      <c r="BY787" s="1697"/>
      <c r="BZ787" s="1697"/>
      <c r="CA787" s="1697"/>
      <c r="CB787" s="1697"/>
      <c r="CC787" s="1697"/>
      <c r="CD787" s="1697"/>
      <c r="CE787" s="1697"/>
      <c r="CF787" s="1697"/>
      <c r="CG787" s="1697"/>
      <c r="CH787" s="1697"/>
      <c r="CI787" s="1697"/>
      <c r="CJ787" s="1697"/>
      <c r="CK787" s="1697"/>
      <c r="CL787" s="1697"/>
      <c r="CM787" s="1697"/>
      <c r="CN787" s="1697"/>
      <c r="CO787" s="1697"/>
      <c r="CP787" s="1697"/>
      <c r="CQ787" s="1697"/>
      <c r="CR787" s="1697"/>
      <c r="CS787" s="1697"/>
      <c r="CT787" s="1697"/>
      <c r="CU787" s="1697"/>
      <c r="CV787" s="1697"/>
      <c r="CW787" s="1697"/>
      <c r="CX787" s="1697"/>
      <c r="CY787" s="1697"/>
      <c r="CZ787" s="1697"/>
      <c r="DA787" s="1697"/>
      <c r="DB787" s="1697"/>
      <c r="DC787" s="1697"/>
      <c r="DD787" s="1697"/>
      <c r="DE787" s="1697"/>
      <c r="DF787" s="1697"/>
      <c r="DG787" s="1697"/>
      <c r="DH787" s="1697"/>
      <c r="DI787" s="1697"/>
      <c r="DJ787" s="1697"/>
      <c r="DK787" s="1697"/>
      <c r="DL787" s="1697"/>
      <c r="DM787" s="1697"/>
      <c r="DN787" s="1697"/>
      <c r="DO787" s="1697"/>
      <c r="DP787" s="1697"/>
      <c r="DQ787" s="1697"/>
      <c r="DR787" s="1697"/>
      <c r="DS787" s="1697"/>
      <c r="DT787" s="1697"/>
      <c r="DU787" s="1697"/>
      <c r="DV787" s="1697"/>
      <c r="DW787" s="1697"/>
      <c r="DX787" s="1697"/>
      <c r="DY787" s="1697"/>
      <c r="DZ787" s="1697"/>
      <c r="EA787" s="1697"/>
      <c r="EB787" s="1697"/>
      <c r="EC787" s="1697"/>
      <c r="ED787" s="1697"/>
      <c r="EE787" s="1697"/>
      <c r="EF787" s="1697"/>
      <c r="EG787" s="1697"/>
      <c r="EH787" s="1697"/>
      <c r="EI787" s="1697"/>
      <c r="EJ787" s="1697"/>
      <c r="EK787" s="1697"/>
      <c r="EL787" s="1697"/>
      <c r="EM787" s="1697"/>
      <c r="EN787" s="1697"/>
      <c r="EO787" s="1697"/>
      <c r="EP787" s="1697"/>
      <c r="EQ787" s="1697"/>
      <c r="ER787" s="1697"/>
      <c r="ES787" s="1697"/>
      <c r="ET787" s="1697"/>
      <c r="EU787" s="1697"/>
      <c r="EV787" s="1697"/>
      <c r="EW787" s="1697"/>
      <c r="EX787" s="1697"/>
      <c r="EY787" s="1697"/>
      <c r="EZ787" s="1697"/>
      <c r="FA787" s="1697"/>
      <c r="FB787" s="1697"/>
      <c r="FC787" s="1697"/>
      <c r="FD787" s="1697"/>
      <c r="FE787" s="1697"/>
      <c r="FF787" s="1697"/>
      <c r="FG787" s="1697"/>
      <c r="FH787" s="1697"/>
      <c r="FI787" s="1697"/>
    </row>
    <row r="788" spans="1:165">
      <c r="A788" s="1697"/>
      <c r="B788" s="1697"/>
      <c r="C788" s="1697"/>
      <c r="D788" s="1697"/>
      <c r="E788" s="1697"/>
      <c r="F788" s="1697"/>
      <c r="G788" s="1697"/>
      <c r="H788" s="1697"/>
      <c r="I788" s="1697"/>
      <c r="J788" s="1697"/>
      <c r="K788" s="1697"/>
      <c r="L788" s="1697"/>
      <c r="M788" s="1697"/>
      <c r="N788" s="1697"/>
      <c r="O788" s="1697"/>
      <c r="P788" s="1697"/>
      <c r="Q788" s="1697"/>
      <c r="R788" s="1697"/>
      <c r="S788" s="1697"/>
      <c r="T788" s="1697"/>
      <c r="U788" s="1697"/>
      <c r="V788" s="1697"/>
      <c r="W788" s="1697"/>
      <c r="X788" s="1697"/>
      <c r="Y788" s="1697"/>
      <c r="Z788" s="1697"/>
      <c r="AA788" s="1697"/>
      <c r="AB788" s="1697"/>
      <c r="AC788" s="1697"/>
      <c r="AD788" s="1697"/>
      <c r="AE788" s="1697"/>
      <c r="AF788" s="1697"/>
      <c r="AG788" s="1697"/>
      <c r="AH788" s="1697"/>
      <c r="AI788" s="1697"/>
      <c r="AJ788" s="1697"/>
      <c r="AK788" s="1697"/>
      <c r="AL788" s="1697"/>
      <c r="AM788" s="1697"/>
      <c r="AN788" s="1697"/>
      <c r="AO788" s="1697"/>
      <c r="AP788" s="1697"/>
      <c r="AQ788" s="1697"/>
      <c r="AR788" s="1697"/>
      <c r="AS788" s="1697"/>
      <c r="AT788" s="1697"/>
      <c r="AU788" s="1697"/>
      <c r="AV788" s="1697"/>
      <c r="AW788" s="1697"/>
      <c r="AX788" s="1697"/>
      <c r="AY788" s="1697"/>
      <c r="AZ788" s="1697"/>
      <c r="BA788" s="1697"/>
      <c r="BB788" s="1697"/>
      <c r="BC788" s="1697"/>
      <c r="BD788" s="1697"/>
      <c r="BE788" s="1697"/>
      <c r="BF788" s="1697"/>
      <c r="BG788" s="1697"/>
      <c r="BH788" s="1697"/>
      <c r="BI788" s="1697"/>
      <c r="BJ788" s="1697"/>
      <c r="BK788" s="1697"/>
      <c r="BL788" s="1697"/>
      <c r="BM788" s="1697"/>
      <c r="BN788" s="1697"/>
      <c r="BO788" s="1697"/>
      <c r="BP788" s="1697"/>
      <c r="BQ788" s="1697"/>
      <c r="BR788" s="1697"/>
      <c r="BS788" s="1697"/>
      <c r="BT788" s="1697"/>
      <c r="BU788" s="1697"/>
      <c r="BV788" s="1697"/>
      <c r="BW788" s="1697"/>
      <c r="BX788" s="1697"/>
      <c r="BY788" s="1697"/>
      <c r="BZ788" s="1697"/>
      <c r="CA788" s="1697"/>
      <c r="CB788" s="1697"/>
      <c r="CC788" s="1697"/>
      <c r="CD788" s="1697"/>
      <c r="CE788" s="1697"/>
      <c r="CF788" s="1697"/>
      <c r="CG788" s="1697"/>
      <c r="CH788" s="1697"/>
      <c r="CI788" s="1697"/>
      <c r="CJ788" s="1697"/>
      <c r="CK788" s="1697"/>
      <c r="CL788" s="1697"/>
      <c r="CM788" s="1697"/>
      <c r="CN788" s="1697"/>
      <c r="CO788" s="1697"/>
      <c r="CP788" s="1697"/>
      <c r="CQ788" s="1697"/>
      <c r="CR788" s="1697"/>
      <c r="CS788" s="1697"/>
      <c r="CT788" s="1697"/>
      <c r="CU788" s="1697"/>
      <c r="CV788" s="1697"/>
      <c r="CW788" s="1697"/>
      <c r="CX788" s="1697"/>
      <c r="CY788" s="1697"/>
      <c r="CZ788" s="1697"/>
      <c r="DA788" s="1697"/>
      <c r="DB788" s="1697"/>
      <c r="DC788" s="1697"/>
      <c r="DD788" s="1697"/>
      <c r="DE788" s="1697"/>
      <c r="DF788" s="1697"/>
      <c r="DG788" s="1697"/>
      <c r="DH788" s="1697"/>
      <c r="DI788" s="1697"/>
      <c r="DJ788" s="1697"/>
      <c r="DK788" s="1697"/>
      <c r="DL788" s="1697"/>
      <c r="DM788" s="1697"/>
      <c r="DN788" s="1697"/>
      <c r="DO788" s="1697"/>
      <c r="DP788" s="1697"/>
      <c r="DQ788" s="1697"/>
      <c r="DR788" s="1697"/>
      <c r="DS788" s="1697"/>
      <c r="DT788" s="1697"/>
      <c r="DU788" s="1697"/>
      <c r="DV788" s="1697"/>
      <c r="DW788" s="1697"/>
      <c r="DX788" s="1697"/>
      <c r="DY788" s="1697"/>
      <c r="DZ788" s="1697"/>
      <c r="EA788" s="1697"/>
      <c r="EB788" s="1697"/>
      <c r="EC788" s="1697"/>
      <c r="ED788" s="1697"/>
      <c r="EE788" s="1697"/>
      <c r="EF788" s="1697"/>
      <c r="EG788" s="1697"/>
      <c r="EH788" s="1697"/>
      <c r="EI788" s="1697"/>
      <c r="EJ788" s="1697"/>
      <c r="EK788" s="1697"/>
      <c r="EL788" s="1697"/>
      <c r="EM788" s="1697"/>
      <c r="EN788" s="1697"/>
      <c r="EO788" s="1697"/>
      <c r="EP788" s="1697"/>
      <c r="EQ788" s="1697"/>
      <c r="ER788" s="1697"/>
      <c r="ES788" s="1697"/>
      <c r="ET788" s="1697"/>
      <c r="EU788" s="1697"/>
      <c r="EV788" s="1697"/>
      <c r="EW788" s="1697"/>
      <c r="EX788" s="1697"/>
      <c r="EY788" s="1697"/>
      <c r="EZ788" s="1697"/>
      <c r="FA788" s="1697"/>
      <c r="FB788" s="1697"/>
      <c r="FC788" s="1697"/>
      <c r="FD788" s="1697"/>
      <c r="FE788" s="1697"/>
      <c r="FF788" s="1697"/>
      <c r="FG788" s="1697"/>
      <c r="FH788" s="1697"/>
      <c r="FI788" s="1697"/>
    </row>
    <row r="789" spans="1:165">
      <c r="A789" s="1697"/>
      <c r="B789" s="1697"/>
      <c r="C789" s="1697"/>
      <c r="D789" s="1697"/>
      <c r="E789" s="1697"/>
      <c r="F789" s="1697"/>
      <c r="G789" s="1697"/>
      <c r="H789" s="1697"/>
      <c r="I789" s="1697"/>
      <c r="J789" s="1697"/>
      <c r="K789" s="1697"/>
      <c r="L789" s="1697"/>
      <c r="M789" s="1697"/>
      <c r="N789" s="1697"/>
      <c r="O789" s="1697"/>
      <c r="P789" s="1697"/>
      <c r="Q789" s="1697"/>
      <c r="R789" s="1697"/>
      <c r="S789" s="1697"/>
      <c r="T789" s="1697"/>
      <c r="U789" s="1697"/>
      <c r="V789" s="1697"/>
      <c r="W789" s="1697"/>
      <c r="X789" s="1697"/>
      <c r="Y789" s="1697"/>
      <c r="Z789" s="1697"/>
      <c r="AA789" s="1697"/>
      <c r="AB789" s="1697"/>
      <c r="AC789" s="1697"/>
      <c r="AD789" s="1697"/>
      <c r="AE789" s="1697"/>
      <c r="AF789" s="1697"/>
      <c r="AG789" s="1697"/>
      <c r="AH789" s="1697"/>
      <c r="AI789" s="1697"/>
      <c r="AJ789" s="1697"/>
      <c r="AK789" s="1697"/>
      <c r="AL789" s="1697"/>
      <c r="AM789" s="1697"/>
      <c r="AN789" s="1697"/>
      <c r="AO789" s="1697"/>
      <c r="AP789" s="1697"/>
      <c r="AQ789" s="1697"/>
      <c r="AR789" s="1697"/>
      <c r="AS789" s="1697"/>
      <c r="AT789" s="1697"/>
      <c r="AU789" s="1697"/>
      <c r="AV789" s="1697"/>
      <c r="AW789" s="1697"/>
      <c r="AX789" s="1697"/>
      <c r="AY789" s="1697"/>
      <c r="AZ789" s="1697"/>
      <c r="BA789" s="1697"/>
      <c r="BB789" s="1697"/>
      <c r="BC789" s="1697"/>
      <c r="BD789" s="1697"/>
      <c r="BE789" s="1697"/>
      <c r="BF789" s="1697"/>
      <c r="BG789" s="1697"/>
      <c r="BH789" s="1697"/>
      <c r="BI789" s="1697"/>
      <c r="BJ789" s="1697"/>
      <c r="BK789" s="1697"/>
      <c r="BL789" s="1697"/>
      <c r="BM789" s="1697"/>
      <c r="BN789" s="1697"/>
      <c r="BO789" s="1697"/>
      <c r="BP789" s="1697"/>
      <c r="BQ789" s="1697"/>
      <c r="BR789" s="1697"/>
      <c r="BS789" s="1697"/>
      <c r="BT789" s="1697"/>
      <c r="BU789" s="1697"/>
      <c r="BV789" s="1697"/>
      <c r="BW789" s="1697"/>
      <c r="BX789" s="1697"/>
      <c r="BY789" s="1697"/>
      <c r="BZ789" s="1697"/>
      <c r="CA789" s="1697"/>
      <c r="CB789" s="1697"/>
      <c r="CC789" s="1697"/>
      <c r="CD789" s="1697"/>
      <c r="CE789" s="1697"/>
      <c r="CF789" s="1697"/>
      <c r="CG789" s="1697"/>
      <c r="CH789" s="1697"/>
      <c r="CI789" s="1697"/>
      <c r="CJ789" s="1697"/>
      <c r="CK789" s="1697"/>
      <c r="CL789" s="1697"/>
      <c r="CM789" s="1697"/>
      <c r="CN789" s="1697"/>
      <c r="CO789" s="1697"/>
      <c r="CP789" s="1697"/>
      <c r="CQ789" s="1697"/>
      <c r="CR789" s="1697"/>
      <c r="CS789" s="1697"/>
      <c r="CT789" s="1697"/>
      <c r="CU789" s="1697"/>
      <c r="CV789" s="1697"/>
      <c r="CW789" s="1697"/>
      <c r="CX789" s="1697"/>
      <c r="CY789" s="1697"/>
      <c r="CZ789" s="1697"/>
      <c r="DA789" s="1697"/>
      <c r="DB789" s="1697"/>
      <c r="DC789" s="1697"/>
      <c r="DD789" s="1697"/>
      <c r="DE789" s="1697"/>
      <c r="DF789" s="1697"/>
      <c r="DG789" s="1697"/>
      <c r="DH789" s="1697"/>
      <c r="DI789" s="1697"/>
      <c r="DJ789" s="1697"/>
      <c r="DK789" s="1697"/>
      <c r="DL789" s="1697"/>
      <c r="DM789" s="1697"/>
      <c r="DN789" s="1697"/>
      <c r="DO789" s="1697"/>
      <c r="DP789" s="1697"/>
      <c r="DQ789" s="1697"/>
      <c r="DR789" s="1697"/>
      <c r="DS789" s="1697"/>
      <c r="DT789" s="1697"/>
      <c r="DU789" s="1697"/>
      <c r="DV789" s="1697"/>
      <c r="DW789" s="1697"/>
      <c r="DX789" s="1697"/>
      <c r="DY789" s="1697"/>
      <c r="DZ789" s="1697"/>
      <c r="EA789" s="1697"/>
      <c r="EB789" s="1697"/>
      <c r="EC789" s="1697"/>
      <c r="ED789" s="1697"/>
      <c r="EE789" s="1697"/>
      <c r="EF789" s="1697"/>
      <c r="EG789" s="1697"/>
      <c r="EH789" s="1697"/>
      <c r="EI789" s="1697"/>
      <c r="EJ789" s="1697"/>
      <c r="EK789" s="1697"/>
      <c r="EL789" s="1697"/>
      <c r="EM789" s="1697"/>
      <c r="EN789" s="1697"/>
      <c r="EO789" s="1697"/>
      <c r="EP789" s="1697"/>
      <c r="EQ789" s="1697"/>
      <c r="ER789" s="1697"/>
      <c r="ES789" s="1697"/>
      <c r="ET789" s="1697"/>
      <c r="EU789" s="1697"/>
      <c r="EV789" s="1697"/>
      <c r="EW789" s="1697"/>
      <c r="EX789" s="1697"/>
      <c r="EY789" s="1697"/>
      <c r="EZ789" s="1697"/>
      <c r="FA789" s="1697"/>
      <c r="FB789" s="1697"/>
      <c r="FC789" s="1697"/>
      <c r="FD789" s="1697"/>
      <c r="FE789" s="1697"/>
      <c r="FF789" s="1697"/>
      <c r="FG789" s="1697"/>
      <c r="FH789" s="1697"/>
      <c r="FI789" s="1697"/>
    </row>
    <row r="790" spans="1:165">
      <c r="A790" s="1697"/>
      <c r="B790" s="1697"/>
      <c r="C790" s="1697"/>
      <c r="D790" s="1697"/>
      <c r="E790" s="1697"/>
      <c r="F790" s="1697"/>
      <c r="G790" s="1697"/>
      <c r="H790" s="1697"/>
      <c r="I790" s="1697"/>
      <c r="J790" s="1697"/>
      <c r="K790" s="1697"/>
      <c r="L790" s="1697"/>
      <c r="M790" s="1697"/>
      <c r="N790" s="1697"/>
      <c r="O790" s="1697"/>
      <c r="P790" s="1697"/>
      <c r="Q790" s="1697"/>
      <c r="R790" s="1697"/>
      <c r="S790" s="1697"/>
      <c r="T790" s="1697"/>
      <c r="U790" s="1697"/>
      <c r="V790" s="1697"/>
      <c r="W790" s="1697"/>
      <c r="X790" s="1697"/>
      <c r="Y790" s="1697"/>
      <c r="Z790" s="1697"/>
      <c r="AA790" s="1697"/>
      <c r="AB790" s="1697"/>
      <c r="AC790" s="1697"/>
      <c r="AD790" s="1697"/>
      <c r="AE790" s="1697"/>
      <c r="AF790" s="1697"/>
      <c r="AG790" s="1697"/>
      <c r="AH790" s="1697"/>
      <c r="AI790" s="1697"/>
      <c r="AJ790" s="1697"/>
      <c r="AK790" s="1697"/>
      <c r="AL790" s="1697"/>
      <c r="AM790" s="1697"/>
      <c r="AN790" s="1697"/>
      <c r="AO790" s="1697"/>
      <c r="AP790" s="1697"/>
      <c r="AQ790" s="1697"/>
      <c r="AR790" s="1697"/>
      <c r="AS790" s="1697"/>
      <c r="AT790" s="1697"/>
      <c r="AU790" s="1697"/>
      <c r="AV790" s="1697"/>
      <c r="AW790" s="1697"/>
      <c r="AX790" s="1697"/>
      <c r="AY790" s="1697"/>
      <c r="AZ790" s="1697"/>
      <c r="BA790" s="1697"/>
      <c r="BB790" s="1697"/>
      <c r="BC790" s="1697"/>
      <c r="BD790" s="1697"/>
      <c r="BE790" s="1697"/>
      <c r="BF790" s="1697"/>
      <c r="BG790" s="1697"/>
      <c r="BH790" s="1697"/>
      <c r="BI790" s="1697"/>
      <c r="BJ790" s="1697"/>
      <c r="BK790" s="1697"/>
      <c r="BL790" s="1697"/>
      <c r="BM790" s="1697"/>
      <c r="BN790" s="1697"/>
      <c r="BO790" s="1697"/>
      <c r="BP790" s="1697"/>
      <c r="BQ790" s="1697"/>
      <c r="BR790" s="1697"/>
      <c r="BS790" s="1697"/>
      <c r="BT790" s="1697"/>
      <c r="BU790" s="1697"/>
      <c r="BV790" s="1697"/>
      <c r="BW790" s="1697"/>
      <c r="BX790" s="1697"/>
      <c r="BY790" s="1697"/>
      <c r="BZ790" s="1697"/>
      <c r="CA790" s="1697"/>
      <c r="CB790" s="1697"/>
      <c r="CC790" s="1697"/>
      <c r="CD790" s="1697"/>
      <c r="CE790" s="1697"/>
      <c r="CF790" s="1697"/>
      <c r="CG790" s="1697"/>
      <c r="CH790" s="1697"/>
      <c r="CI790" s="1697"/>
      <c r="CJ790" s="1697"/>
      <c r="CK790" s="1697"/>
      <c r="CL790" s="1697"/>
      <c r="CM790" s="1697"/>
      <c r="CN790" s="1697"/>
      <c r="CO790" s="1697"/>
      <c r="CP790" s="1697"/>
      <c r="CQ790" s="1697"/>
      <c r="CR790" s="1697"/>
      <c r="CS790" s="1697"/>
      <c r="CT790" s="1697"/>
      <c r="CU790" s="1697"/>
      <c r="CV790" s="1697"/>
      <c r="CW790" s="1697"/>
      <c r="CX790" s="1697"/>
      <c r="CY790" s="1697"/>
      <c r="CZ790" s="1697"/>
      <c r="DA790" s="1697"/>
      <c r="DB790" s="1697"/>
      <c r="DC790" s="1697"/>
      <c r="DD790" s="1697"/>
      <c r="DE790" s="1697"/>
      <c r="DF790" s="1697"/>
      <c r="DG790" s="1697"/>
      <c r="DH790" s="1697"/>
      <c r="DI790" s="1697"/>
      <c r="DJ790" s="1697"/>
      <c r="DK790" s="1697"/>
      <c r="DL790" s="1697"/>
      <c r="DM790" s="1697"/>
      <c r="DN790" s="1697"/>
      <c r="DO790" s="1697"/>
      <c r="DP790" s="1697"/>
      <c r="DQ790" s="1697"/>
      <c r="DR790" s="1697"/>
      <c r="DS790" s="1697"/>
      <c r="DT790" s="1697"/>
      <c r="DU790" s="1697"/>
      <c r="DV790" s="1697"/>
      <c r="DW790" s="1697"/>
      <c r="DX790" s="1697"/>
      <c r="DY790" s="1697"/>
      <c r="DZ790" s="1697"/>
      <c r="EA790" s="1697"/>
      <c r="EB790" s="1697"/>
      <c r="EC790" s="1697"/>
      <c r="ED790" s="1697"/>
      <c r="EE790" s="1697"/>
      <c r="EF790" s="1697"/>
      <c r="EG790" s="1697"/>
      <c r="EH790" s="1697"/>
      <c r="EI790" s="1697"/>
      <c r="EJ790" s="1697"/>
      <c r="EK790" s="1697"/>
      <c r="EL790" s="1697"/>
      <c r="EM790" s="1697"/>
      <c r="EN790" s="1697"/>
      <c r="EO790" s="1697"/>
      <c r="EP790" s="1697"/>
      <c r="EQ790" s="1697"/>
      <c r="ER790" s="1697"/>
      <c r="ES790" s="1697"/>
      <c r="ET790" s="1697"/>
      <c r="EU790" s="1697"/>
      <c r="EV790" s="1697"/>
      <c r="EW790" s="1697"/>
      <c r="EX790" s="1697"/>
      <c r="EY790" s="1697"/>
      <c r="EZ790" s="1697"/>
      <c r="FA790" s="1697"/>
      <c r="FB790" s="1697"/>
      <c r="FC790" s="1697"/>
      <c r="FD790" s="1697"/>
      <c r="FE790" s="1697"/>
      <c r="FF790" s="1697"/>
      <c r="FG790" s="1697"/>
      <c r="FH790" s="1697"/>
      <c r="FI790" s="1697"/>
    </row>
    <row r="791" spans="1:165">
      <c r="A791" s="1697"/>
      <c r="B791" s="1697"/>
      <c r="C791" s="1697"/>
      <c r="D791" s="1697"/>
      <c r="E791" s="1697"/>
      <c r="F791" s="1697"/>
      <c r="G791" s="1697"/>
      <c r="H791" s="1697"/>
      <c r="I791" s="1697"/>
      <c r="J791" s="1697"/>
      <c r="K791" s="1697"/>
      <c r="L791" s="1697"/>
      <c r="M791" s="1697"/>
      <c r="N791" s="1697"/>
      <c r="O791" s="1697"/>
      <c r="P791" s="1697"/>
      <c r="Q791" s="1697"/>
      <c r="R791" s="1697"/>
      <c r="S791" s="1697"/>
      <c r="T791" s="1697"/>
      <c r="U791" s="1697"/>
      <c r="V791" s="1697"/>
      <c r="W791" s="1697"/>
      <c r="X791" s="1697"/>
      <c r="Y791" s="1697"/>
      <c r="Z791" s="1697"/>
      <c r="AA791" s="1697"/>
      <c r="AB791" s="1697"/>
      <c r="AC791" s="1697"/>
      <c r="AD791" s="1697"/>
      <c r="AE791" s="1697"/>
      <c r="AF791" s="1697"/>
      <c r="AG791" s="1697"/>
      <c r="AH791" s="1697"/>
      <c r="AI791" s="1697"/>
      <c r="AJ791" s="1697"/>
      <c r="AK791" s="1697"/>
      <c r="AL791" s="1697"/>
      <c r="AM791" s="1697"/>
      <c r="AN791" s="1697"/>
      <c r="AO791" s="1697"/>
      <c r="AP791" s="1697"/>
      <c r="AQ791" s="1697"/>
      <c r="AR791" s="1697"/>
      <c r="AS791" s="1697"/>
      <c r="AT791" s="1697"/>
      <c r="AU791" s="1697"/>
      <c r="AV791" s="1697"/>
      <c r="AW791" s="1697"/>
      <c r="AX791" s="1697"/>
      <c r="AY791" s="1697"/>
      <c r="AZ791" s="1697"/>
      <c r="BA791" s="1697"/>
      <c r="BB791" s="1697"/>
      <c r="BC791" s="1697"/>
      <c r="BD791" s="1697"/>
      <c r="BE791" s="1697"/>
      <c r="BF791" s="1697"/>
      <c r="BG791" s="1697"/>
      <c r="BH791" s="1697"/>
      <c r="BI791" s="1697"/>
      <c r="BJ791" s="1697"/>
      <c r="BK791" s="1697"/>
      <c r="BL791" s="1697"/>
      <c r="BM791" s="1697"/>
      <c r="BN791" s="1697"/>
      <c r="BO791" s="1697"/>
      <c r="BP791" s="1697"/>
      <c r="BQ791" s="1697"/>
      <c r="BR791" s="1697"/>
      <c r="BS791" s="1697"/>
      <c r="BT791" s="1697"/>
      <c r="BU791" s="1697"/>
      <c r="BV791" s="1697"/>
      <c r="BW791" s="1697"/>
      <c r="BX791" s="1697"/>
      <c r="BY791" s="1697"/>
      <c r="BZ791" s="1697"/>
      <c r="CA791" s="1697"/>
      <c r="CB791" s="1697"/>
      <c r="CC791" s="1697"/>
      <c r="CD791" s="1697"/>
      <c r="CE791" s="1697"/>
      <c r="CF791" s="1697"/>
      <c r="CG791" s="1697"/>
      <c r="CH791" s="1697"/>
      <c r="CI791" s="1697"/>
      <c r="CJ791" s="1697"/>
      <c r="CK791" s="1697"/>
      <c r="CL791" s="1697"/>
      <c r="CM791" s="1697"/>
      <c r="CN791" s="1697"/>
      <c r="CO791" s="1697"/>
      <c r="CP791" s="1697"/>
      <c r="CQ791" s="1697"/>
      <c r="CR791" s="1697"/>
      <c r="CS791" s="1697"/>
      <c r="CT791" s="1697"/>
      <c r="CU791" s="1697"/>
      <c r="CV791" s="1697"/>
      <c r="CW791" s="1697"/>
      <c r="CX791" s="1697"/>
      <c r="CY791" s="1697"/>
      <c r="CZ791" s="1697"/>
      <c r="DA791" s="1697"/>
      <c r="DB791" s="1697"/>
      <c r="DC791" s="1697"/>
      <c r="DD791" s="1697"/>
      <c r="DE791" s="1697"/>
      <c r="DF791" s="1697"/>
      <c r="DG791" s="1697"/>
      <c r="DH791" s="1697"/>
      <c r="DI791" s="1697"/>
      <c r="DJ791" s="1697"/>
      <c r="DK791" s="1697"/>
      <c r="DL791" s="1697"/>
      <c r="DM791" s="1697"/>
      <c r="DN791" s="1697"/>
      <c r="DO791" s="1697"/>
      <c r="DP791" s="1697"/>
      <c r="DQ791" s="1697"/>
      <c r="DR791" s="1697"/>
      <c r="DS791" s="1697"/>
      <c r="DT791" s="1697"/>
      <c r="DU791" s="1697"/>
      <c r="DV791" s="1697"/>
      <c r="DW791" s="1697"/>
      <c r="DX791" s="1697"/>
      <c r="DY791" s="1697"/>
      <c r="DZ791" s="1697"/>
      <c r="EA791" s="1697"/>
      <c r="EB791" s="1697"/>
      <c r="EC791" s="1697"/>
      <c r="ED791" s="1697"/>
      <c r="EE791" s="1697"/>
      <c r="EF791" s="1697"/>
      <c r="EG791" s="1697"/>
      <c r="EH791" s="1697"/>
      <c r="EI791" s="1697"/>
      <c r="EJ791" s="1697"/>
      <c r="EK791" s="1697"/>
      <c r="EL791" s="1697"/>
      <c r="EM791" s="1697"/>
      <c r="EN791" s="1697"/>
      <c r="EO791" s="1697"/>
      <c r="EP791" s="1697"/>
      <c r="EQ791" s="1697"/>
      <c r="ER791" s="1697"/>
      <c r="ES791" s="1697"/>
      <c r="ET791" s="1697"/>
      <c r="EU791" s="1697"/>
      <c r="EV791" s="1697"/>
      <c r="EW791" s="1697"/>
      <c r="EX791" s="1697"/>
      <c r="EY791" s="1697"/>
      <c r="EZ791" s="1697"/>
      <c r="FA791" s="1697"/>
      <c r="FB791" s="1697"/>
      <c r="FC791" s="1697"/>
      <c r="FD791" s="1697"/>
      <c r="FE791" s="1697"/>
      <c r="FF791" s="1697"/>
      <c r="FG791" s="1697"/>
      <c r="FH791" s="1697"/>
      <c r="FI791" s="1697"/>
    </row>
    <row r="792" spans="1:165">
      <c r="A792" s="1697"/>
      <c r="B792" s="1697"/>
      <c r="C792" s="1697"/>
      <c r="D792" s="1697"/>
      <c r="E792" s="1697"/>
      <c r="F792" s="1697"/>
      <c r="G792" s="1697"/>
      <c r="H792" s="1697"/>
      <c r="I792" s="1697"/>
      <c r="J792" s="1697"/>
      <c r="K792" s="1697"/>
      <c r="L792" s="1697"/>
      <c r="M792" s="1697"/>
      <c r="N792" s="1697"/>
      <c r="O792" s="1697"/>
      <c r="P792" s="1697"/>
      <c r="Q792" s="1697"/>
      <c r="R792" s="1697"/>
      <c r="S792" s="1697"/>
      <c r="T792" s="1697"/>
      <c r="U792" s="1697"/>
      <c r="V792" s="1697"/>
      <c r="W792" s="1697"/>
      <c r="X792" s="1697"/>
      <c r="Y792" s="1697"/>
      <c r="Z792" s="1697"/>
      <c r="AA792" s="1697"/>
      <c r="AB792" s="1697"/>
      <c r="AC792" s="1697"/>
      <c r="AD792" s="1697"/>
      <c r="AE792" s="1697"/>
      <c r="AF792" s="1697"/>
      <c r="AG792" s="1697"/>
      <c r="AH792" s="1697"/>
      <c r="AI792" s="1697"/>
      <c r="AJ792" s="1697"/>
      <c r="AK792" s="1697"/>
      <c r="AL792" s="1697"/>
      <c r="AM792" s="1697"/>
      <c r="AN792" s="1697"/>
      <c r="AO792" s="1697"/>
      <c r="AP792" s="1697"/>
      <c r="AQ792" s="1697"/>
      <c r="AR792" s="1697"/>
      <c r="AS792" s="1697"/>
      <c r="AT792" s="1697"/>
      <c r="AU792" s="1697"/>
      <c r="AV792" s="1697"/>
      <c r="AW792" s="1697"/>
      <c r="AX792" s="1697"/>
      <c r="AY792" s="1697"/>
      <c r="AZ792" s="1697"/>
      <c r="BA792" s="1697"/>
      <c r="BB792" s="1697"/>
      <c r="BC792" s="1697"/>
      <c r="BD792" s="1697"/>
      <c r="BE792" s="1697"/>
      <c r="BF792" s="1697"/>
      <c r="BG792" s="1697"/>
      <c r="BH792" s="1697"/>
      <c r="BI792" s="1697"/>
      <c r="BJ792" s="1697"/>
      <c r="BK792" s="1697"/>
      <c r="BL792" s="1697"/>
      <c r="BM792" s="1697"/>
      <c r="BN792" s="1697"/>
      <c r="BO792" s="1697"/>
      <c r="BP792" s="1697"/>
      <c r="BQ792" s="1697"/>
      <c r="BR792" s="1697"/>
      <c r="BS792" s="1697"/>
      <c r="BT792" s="1697"/>
      <c r="BU792" s="1697"/>
      <c r="BV792" s="1697"/>
      <c r="BW792" s="1697"/>
      <c r="BX792" s="1697"/>
      <c r="BY792" s="1697"/>
      <c r="BZ792" s="1697"/>
      <c r="CA792" s="1697"/>
      <c r="CB792" s="1697"/>
      <c r="CC792" s="1697"/>
      <c r="CD792" s="1697"/>
      <c r="CE792" s="1697"/>
      <c r="CF792" s="1697"/>
      <c r="CG792" s="1697"/>
      <c r="CH792" s="1697"/>
      <c r="CI792" s="1697"/>
      <c r="CJ792" s="1697"/>
      <c r="CK792" s="1697"/>
      <c r="CL792" s="1697"/>
      <c r="CM792" s="1697"/>
      <c r="CN792" s="1697"/>
      <c r="CO792" s="1697"/>
      <c r="CP792" s="1697"/>
      <c r="CQ792" s="1697"/>
      <c r="CR792" s="1697"/>
      <c r="CS792" s="1697"/>
      <c r="CT792" s="1697"/>
      <c r="CU792" s="1697"/>
      <c r="CV792" s="1697"/>
      <c r="CW792" s="1697"/>
      <c r="CX792" s="1697"/>
      <c r="CY792" s="1697"/>
      <c r="CZ792" s="1697"/>
      <c r="DA792" s="1697"/>
      <c r="DB792" s="1697"/>
      <c r="DC792" s="1697"/>
      <c r="DD792" s="1697"/>
      <c r="DE792" s="1697"/>
      <c r="DF792" s="1697"/>
      <c r="DG792" s="1697"/>
      <c r="DH792" s="1697"/>
      <c r="DI792" s="1697"/>
      <c r="DJ792" s="1697"/>
      <c r="DK792" s="1697"/>
      <c r="DL792" s="1697"/>
      <c r="DM792" s="1697"/>
      <c r="DN792" s="1697"/>
      <c r="DO792" s="1697"/>
      <c r="DP792" s="1697"/>
      <c r="DQ792" s="1697"/>
      <c r="DR792" s="1697"/>
      <c r="DS792" s="1697"/>
      <c r="DT792" s="1697"/>
      <c r="DU792" s="1697"/>
      <c r="DV792" s="1697"/>
      <c r="DW792" s="1697"/>
      <c r="DX792" s="1697"/>
      <c r="DY792" s="1697"/>
      <c r="DZ792" s="1697"/>
      <c r="EA792" s="1697"/>
      <c r="EB792" s="1697"/>
      <c r="EC792" s="1697"/>
      <c r="ED792" s="1697"/>
      <c r="EE792" s="1697"/>
      <c r="EF792" s="1697"/>
      <c r="EG792" s="1697"/>
      <c r="EH792" s="1697"/>
      <c r="EI792" s="1697"/>
      <c r="EJ792" s="1697"/>
      <c r="EK792" s="1697"/>
      <c r="EL792" s="1697"/>
      <c r="EM792" s="1697"/>
      <c r="EN792" s="1697"/>
      <c r="EO792" s="1697"/>
      <c r="EP792" s="1697"/>
      <c r="EQ792" s="1697"/>
      <c r="ER792" s="1697"/>
      <c r="ES792" s="1697"/>
      <c r="ET792" s="1697"/>
      <c r="EU792" s="1697"/>
      <c r="EV792" s="1697"/>
      <c r="EW792" s="1697"/>
      <c r="EX792" s="1697"/>
      <c r="EY792" s="1697"/>
      <c r="EZ792" s="1697"/>
      <c r="FA792" s="1697"/>
      <c r="FB792" s="1697"/>
      <c r="FC792" s="1697"/>
      <c r="FD792" s="1697"/>
      <c r="FE792" s="1697"/>
      <c r="FF792" s="1697"/>
      <c r="FG792" s="1697"/>
      <c r="FH792" s="1697"/>
      <c r="FI792" s="1697"/>
    </row>
    <row r="793" spans="1:165">
      <c r="A793" s="1697"/>
      <c r="B793" s="1697"/>
      <c r="C793" s="1697"/>
      <c r="D793" s="1697"/>
      <c r="E793" s="1697"/>
      <c r="F793" s="1697"/>
      <c r="G793" s="1697"/>
      <c r="H793" s="1697"/>
      <c r="I793" s="1697"/>
      <c r="J793" s="1697"/>
      <c r="K793" s="1697"/>
      <c r="L793" s="1697"/>
      <c r="M793" s="1697"/>
      <c r="N793" s="1697"/>
      <c r="O793" s="1697"/>
      <c r="P793" s="1697"/>
      <c r="Q793" s="1697"/>
      <c r="R793" s="1697"/>
      <c r="S793" s="1697"/>
      <c r="T793" s="1697"/>
      <c r="U793" s="1697"/>
      <c r="V793" s="1697"/>
      <c r="W793" s="1697"/>
      <c r="X793" s="1697"/>
      <c r="Y793" s="1697"/>
      <c r="Z793" s="1697"/>
      <c r="AA793" s="1697"/>
      <c r="AB793" s="1697"/>
      <c r="AC793" s="1697"/>
      <c r="AD793" s="1697"/>
      <c r="AE793" s="1697"/>
      <c r="AF793" s="1697"/>
      <c r="AG793" s="1697"/>
      <c r="AH793" s="1697"/>
      <c r="AI793" s="1697"/>
      <c r="AJ793" s="1697"/>
      <c r="AK793" s="1697"/>
      <c r="AL793" s="1697"/>
      <c r="AM793" s="1697"/>
      <c r="AN793" s="1697"/>
      <c r="AO793" s="1697"/>
      <c r="AP793" s="1697"/>
      <c r="AQ793" s="1697"/>
      <c r="AR793" s="1697"/>
      <c r="AS793" s="1697"/>
      <c r="AT793" s="1697"/>
      <c r="AU793" s="1697"/>
      <c r="AV793" s="1697"/>
      <c r="AW793" s="1697"/>
      <c r="AX793" s="1697"/>
      <c r="AY793" s="1697"/>
      <c r="AZ793" s="1697"/>
      <c r="BA793" s="1697"/>
      <c r="BB793" s="1697"/>
      <c r="BC793" s="1697"/>
      <c r="BD793" s="1697"/>
      <c r="BE793" s="1697"/>
      <c r="BF793" s="1697"/>
      <c r="BG793" s="1697"/>
      <c r="BH793" s="1697"/>
      <c r="BI793" s="1697"/>
      <c r="BJ793" s="1697"/>
      <c r="BK793" s="1697"/>
      <c r="BL793" s="1697"/>
      <c r="BM793" s="1697"/>
      <c r="BN793" s="1697"/>
      <c r="BO793" s="1697"/>
      <c r="BP793" s="1697"/>
      <c r="BQ793" s="1697"/>
      <c r="BR793" s="1697"/>
      <c r="BS793" s="1697"/>
      <c r="BT793" s="1697"/>
      <c r="BU793" s="1697"/>
      <c r="BV793" s="1697"/>
      <c r="BW793" s="1697"/>
      <c r="BX793" s="1697"/>
      <c r="BY793" s="1697"/>
      <c r="BZ793" s="1697"/>
      <c r="CA793" s="1697"/>
      <c r="CB793" s="1697"/>
      <c r="CC793" s="1697"/>
      <c r="CD793" s="1697"/>
      <c r="CE793" s="1697"/>
      <c r="CF793" s="1697"/>
      <c r="CG793" s="1697"/>
      <c r="CH793" s="1697"/>
      <c r="CI793" s="1697"/>
      <c r="CJ793" s="1697"/>
      <c r="CK793" s="1697"/>
      <c r="CL793" s="1697"/>
      <c r="CM793" s="1697"/>
      <c r="CN793" s="1697"/>
      <c r="CO793" s="1697"/>
      <c r="CP793" s="1697"/>
      <c r="CQ793" s="1697"/>
      <c r="CR793" s="1697"/>
      <c r="CS793" s="1697"/>
      <c r="CT793" s="1697"/>
      <c r="CU793" s="1697"/>
      <c r="CV793" s="1697"/>
      <c r="CW793" s="1697"/>
      <c r="CX793" s="1697"/>
      <c r="CY793" s="1697"/>
      <c r="CZ793" s="1697"/>
      <c r="DA793" s="1697"/>
      <c r="DB793" s="1697"/>
      <c r="DC793" s="1697"/>
      <c r="DD793" s="1697"/>
      <c r="DE793" s="1697"/>
      <c r="DF793" s="1697"/>
      <c r="DG793" s="1697"/>
      <c r="DH793" s="1697"/>
      <c r="DI793" s="1697"/>
      <c r="DJ793" s="1697"/>
      <c r="DK793" s="1697"/>
      <c r="DL793" s="1697"/>
      <c r="DM793" s="1697"/>
      <c r="DN793" s="1697"/>
      <c r="DO793" s="1697"/>
      <c r="DP793" s="1697"/>
      <c r="DQ793" s="1697"/>
      <c r="DR793" s="1697"/>
      <c r="DS793" s="1697"/>
      <c r="DT793" s="1697"/>
      <c r="DU793" s="1697"/>
      <c r="DV793" s="1697"/>
      <c r="DW793" s="1697"/>
      <c r="DX793" s="1697"/>
      <c r="DY793" s="1697"/>
      <c r="DZ793" s="1697"/>
      <c r="EA793" s="1697"/>
      <c r="EB793" s="1697"/>
      <c r="EC793" s="1697"/>
      <c r="ED793" s="1697"/>
      <c r="EE793" s="1697"/>
      <c r="EF793" s="1697"/>
      <c r="EG793" s="1697"/>
      <c r="EH793" s="1697"/>
      <c r="EI793" s="1697"/>
      <c r="EJ793" s="1697"/>
      <c r="EK793" s="1697"/>
      <c r="EL793" s="1697"/>
      <c r="EM793" s="1697"/>
      <c r="EN793" s="1697"/>
      <c r="EO793" s="1697"/>
      <c r="EP793" s="1697"/>
      <c r="EQ793" s="1697"/>
      <c r="ER793" s="1697"/>
      <c r="ES793" s="1697"/>
      <c r="ET793" s="1697"/>
      <c r="EU793" s="1697"/>
      <c r="EV793" s="1697"/>
      <c r="EW793" s="1697"/>
      <c r="EX793" s="1697"/>
      <c r="EY793" s="1697"/>
      <c r="EZ793" s="1697"/>
      <c r="FA793" s="1697"/>
      <c r="FB793" s="1697"/>
      <c r="FC793" s="1697"/>
      <c r="FD793" s="1697"/>
      <c r="FE793" s="1697"/>
      <c r="FF793" s="1697"/>
      <c r="FG793" s="1697"/>
      <c r="FH793" s="1697"/>
      <c r="FI793" s="1697"/>
    </row>
    <row r="794" spans="1:165">
      <c r="A794" s="1697"/>
      <c r="B794" s="1697"/>
      <c r="C794" s="1697"/>
      <c r="D794" s="1697"/>
      <c r="E794" s="1697"/>
      <c r="F794" s="1697"/>
      <c r="G794" s="1697"/>
      <c r="H794" s="1697"/>
      <c r="I794" s="1697"/>
      <c r="J794" s="1697"/>
      <c r="K794" s="1697"/>
      <c r="L794" s="1697"/>
      <c r="M794" s="1697"/>
      <c r="N794" s="1697"/>
      <c r="O794" s="1697"/>
      <c r="P794" s="1697"/>
      <c r="Q794" s="1697"/>
      <c r="R794" s="1697"/>
      <c r="S794" s="1697"/>
      <c r="T794" s="1697"/>
      <c r="U794" s="1697"/>
      <c r="V794" s="1697"/>
      <c r="W794" s="1697"/>
      <c r="X794" s="1697"/>
      <c r="Y794" s="1697"/>
      <c r="Z794" s="1697"/>
      <c r="AA794" s="1697"/>
      <c r="AB794" s="1697"/>
      <c r="AC794" s="1697"/>
      <c r="AD794" s="1697"/>
      <c r="AE794" s="1697"/>
      <c r="AF794" s="1697"/>
      <c r="AG794" s="1697"/>
      <c r="AH794" s="1697"/>
      <c r="AI794" s="1697"/>
      <c r="AJ794" s="1697"/>
      <c r="AK794" s="1697"/>
      <c r="AL794" s="1697"/>
      <c r="AM794" s="1697"/>
      <c r="AN794" s="1697"/>
      <c r="AO794" s="1697"/>
      <c r="AP794" s="1697"/>
      <c r="AQ794" s="1697"/>
      <c r="AR794" s="1697"/>
      <c r="AS794" s="1697"/>
      <c r="AT794" s="1697"/>
      <c r="AU794" s="1697"/>
      <c r="AV794" s="1697"/>
      <c r="AW794" s="1697"/>
      <c r="AX794" s="1697"/>
      <c r="AY794" s="1697"/>
      <c r="AZ794" s="1697"/>
      <c r="BA794" s="1697"/>
      <c r="BB794" s="1697"/>
      <c r="BC794" s="1697"/>
      <c r="BD794" s="1697"/>
      <c r="BE794" s="1697"/>
      <c r="BF794" s="1697"/>
      <c r="BG794" s="1697"/>
      <c r="BH794" s="1697"/>
      <c r="BI794" s="1697"/>
      <c r="BJ794" s="1697"/>
      <c r="BK794" s="1697"/>
      <c r="BL794" s="1697"/>
      <c r="BM794" s="1697"/>
      <c r="BN794" s="1697"/>
      <c r="BO794" s="1697"/>
      <c r="BP794" s="1697"/>
      <c r="BQ794" s="1697"/>
      <c r="BR794" s="1697"/>
      <c r="BS794" s="1697"/>
      <c r="BT794" s="1697"/>
      <c r="BU794" s="1697"/>
      <c r="BV794" s="1697"/>
      <c r="BW794" s="1697"/>
      <c r="BX794" s="1697"/>
      <c r="BY794" s="1697"/>
      <c r="BZ794" s="1697"/>
      <c r="CA794" s="1697"/>
      <c r="CB794" s="1697"/>
      <c r="CC794" s="1697"/>
      <c r="CD794" s="1697"/>
      <c r="CE794" s="1697"/>
      <c r="CF794" s="1697"/>
      <c r="CG794" s="1697"/>
      <c r="CH794" s="1697"/>
      <c r="CI794" s="1697"/>
      <c r="CJ794" s="1697"/>
      <c r="CK794" s="1697"/>
      <c r="CL794" s="1697"/>
      <c r="CM794" s="1697"/>
      <c r="CN794" s="1697"/>
      <c r="CO794" s="1697"/>
      <c r="CP794" s="1697"/>
      <c r="CQ794" s="1697"/>
      <c r="CR794" s="1697"/>
      <c r="CS794" s="1697"/>
      <c r="CT794" s="1697"/>
      <c r="CU794" s="1697"/>
      <c r="CV794" s="1697"/>
      <c r="CW794" s="1697"/>
      <c r="CX794" s="1697"/>
      <c r="CY794" s="1697"/>
      <c r="CZ794" s="1697"/>
      <c r="DA794" s="1697"/>
      <c r="DB794" s="1697"/>
      <c r="DC794" s="1697"/>
      <c r="DD794" s="1697"/>
      <c r="DE794" s="1697"/>
      <c r="DF794" s="1697"/>
      <c r="DG794" s="1697"/>
      <c r="DH794" s="1697"/>
      <c r="DI794" s="1697"/>
      <c r="DJ794" s="1697"/>
      <c r="DK794" s="1697"/>
      <c r="DL794" s="1697"/>
      <c r="DM794" s="1697"/>
      <c r="DN794" s="1697"/>
      <c r="DO794" s="1697"/>
      <c r="DP794" s="1697"/>
      <c r="DQ794" s="1697"/>
      <c r="DR794" s="1697"/>
      <c r="DS794" s="1697"/>
      <c r="DT794" s="1697"/>
      <c r="DU794" s="1697"/>
      <c r="DV794" s="1697"/>
      <c r="DW794" s="1697"/>
      <c r="DX794" s="1697"/>
      <c r="DY794" s="1697"/>
      <c r="DZ794" s="1697"/>
      <c r="EA794" s="1697"/>
      <c r="EB794" s="1697"/>
      <c r="EC794" s="1697"/>
      <c r="ED794" s="1697"/>
      <c r="EE794" s="1697"/>
      <c r="EF794" s="1697"/>
      <c r="EG794" s="1697"/>
      <c r="EH794" s="1697"/>
      <c r="EI794" s="1697"/>
      <c r="EJ794" s="1697"/>
      <c r="EK794" s="1697"/>
      <c r="EL794" s="1697"/>
      <c r="EM794" s="1697"/>
      <c r="EN794" s="1697"/>
      <c r="EO794" s="1697"/>
      <c r="EP794" s="1697"/>
      <c r="EQ794" s="1697"/>
      <c r="ER794" s="1697"/>
      <c r="ES794" s="1697"/>
      <c r="ET794" s="1697"/>
      <c r="EU794" s="1697"/>
      <c r="EV794" s="1697"/>
      <c r="EW794" s="1697"/>
      <c r="EX794" s="1697"/>
      <c r="EY794" s="1697"/>
      <c r="EZ794" s="1697"/>
      <c r="FA794" s="1697"/>
      <c r="FB794" s="1697"/>
      <c r="FC794" s="1697"/>
      <c r="FD794" s="1697"/>
      <c r="FE794" s="1697"/>
      <c r="FF794" s="1697"/>
      <c r="FG794" s="1697"/>
      <c r="FH794" s="1697"/>
      <c r="FI794" s="1697"/>
    </row>
    <row r="795" spans="1:165">
      <c r="A795" s="1697"/>
      <c r="B795" s="1697"/>
      <c r="C795" s="1697"/>
      <c r="D795" s="1697"/>
      <c r="E795" s="1697"/>
      <c r="F795" s="1697"/>
      <c r="G795" s="1697"/>
      <c r="H795" s="1697"/>
      <c r="I795" s="1697"/>
      <c r="J795" s="1697"/>
      <c r="K795" s="1697"/>
      <c r="L795" s="1697"/>
      <c r="M795" s="1697"/>
      <c r="N795" s="1697"/>
      <c r="O795" s="1697"/>
      <c r="P795" s="1697"/>
      <c r="Q795" s="1697"/>
      <c r="R795" s="1697"/>
      <c r="S795" s="1697"/>
      <c r="T795" s="1697"/>
      <c r="U795" s="1697"/>
      <c r="V795" s="1697"/>
      <c r="W795" s="1697"/>
      <c r="X795" s="1697"/>
      <c r="Y795" s="1697"/>
      <c r="Z795" s="1697"/>
      <c r="AA795" s="1697"/>
      <c r="AB795" s="1697"/>
      <c r="AC795" s="1697"/>
      <c r="AD795" s="1697"/>
      <c r="AE795" s="1697"/>
      <c r="AF795" s="1697"/>
      <c r="AG795" s="1697"/>
      <c r="AH795" s="1697"/>
      <c r="AI795" s="1697"/>
      <c r="AJ795" s="1697"/>
      <c r="AK795" s="1697"/>
      <c r="AL795" s="1697"/>
      <c r="AM795" s="1697"/>
      <c r="AN795" s="1697"/>
      <c r="AO795" s="1697"/>
      <c r="AP795" s="1697"/>
      <c r="AQ795" s="1697"/>
      <c r="AR795" s="1697"/>
      <c r="AS795" s="1697"/>
      <c r="AT795" s="1697"/>
      <c r="AU795" s="1697"/>
      <c r="AV795" s="1697"/>
      <c r="AW795" s="1697"/>
      <c r="AX795" s="1697"/>
      <c r="AY795" s="1697"/>
      <c r="AZ795" s="1697"/>
      <c r="BA795" s="1697"/>
      <c r="BB795" s="1697"/>
      <c r="BC795" s="1697"/>
      <c r="BD795" s="1697"/>
      <c r="BE795" s="1697"/>
      <c r="BF795" s="1697"/>
      <c r="BG795" s="1697"/>
      <c r="BH795" s="1697"/>
      <c r="BI795" s="1697"/>
      <c r="BJ795" s="1697"/>
      <c r="BK795" s="1697"/>
      <c r="BL795" s="1697"/>
      <c r="BM795" s="1697"/>
      <c r="BN795" s="1697"/>
      <c r="BO795" s="1697"/>
      <c r="BP795" s="1697"/>
      <c r="BQ795" s="1697"/>
      <c r="BR795" s="1697"/>
      <c r="BS795" s="1697"/>
      <c r="BT795" s="1697"/>
      <c r="BU795" s="1697"/>
      <c r="BV795" s="1697"/>
      <c r="BW795" s="1697"/>
      <c r="BX795" s="1697"/>
      <c r="BY795" s="1697"/>
      <c r="BZ795" s="1697"/>
      <c r="CA795" s="1697"/>
      <c r="CB795" s="1697"/>
      <c r="CC795" s="1697"/>
      <c r="CD795" s="1697"/>
      <c r="CE795" s="1697"/>
      <c r="CF795" s="1697"/>
      <c r="CG795" s="1697"/>
      <c r="CH795" s="1697"/>
      <c r="CI795" s="1697"/>
      <c r="CJ795" s="1697"/>
      <c r="CK795" s="1697"/>
      <c r="CL795" s="1697"/>
      <c r="CM795" s="1697"/>
      <c r="CN795" s="1697"/>
      <c r="CO795" s="1697"/>
      <c r="CP795" s="1697"/>
      <c r="CQ795" s="1697"/>
      <c r="CR795" s="1697"/>
      <c r="CS795" s="1697"/>
      <c r="CT795" s="1697"/>
      <c r="CU795" s="1697"/>
      <c r="CV795" s="1697"/>
      <c r="CW795" s="1697"/>
      <c r="CX795" s="1697"/>
      <c r="CY795" s="1697"/>
      <c r="CZ795" s="1697"/>
      <c r="DA795" s="1697"/>
      <c r="DB795" s="1697"/>
      <c r="DC795" s="1697"/>
      <c r="DD795" s="1697"/>
      <c r="DE795" s="1697"/>
      <c r="DF795" s="1697"/>
      <c r="DG795" s="1697"/>
      <c r="DH795" s="1697"/>
      <c r="DI795" s="1697"/>
      <c r="DJ795" s="1697"/>
      <c r="DK795" s="1697"/>
      <c r="DL795" s="1697"/>
      <c r="DM795" s="1697"/>
      <c r="DN795" s="1697"/>
      <c r="DO795" s="1697"/>
      <c r="DP795" s="1697"/>
      <c r="DQ795" s="1697"/>
      <c r="DR795" s="1697"/>
      <c r="DS795" s="1697"/>
      <c r="DT795" s="1697"/>
      <c r="DU795" s="1697"/>
      <c r="DV795" s="1697"/>
      <c r="DW795" s="1697"/>
      <c r="DX795" s="1697"/>
      <c r="DY795" s="1697"/>
      <c r="DZ795" s="1697"/>
      <c r="EA795" s="1697"/>
      <c r="EB795" s="1697"/>
      <c r="EC795" s="1697"/>
      <c r="ED795" s="1697"/>
      <c r="EE795" s="1697"/>
      <c r="EF795" s="1697"/>
      <c r="EG795" s="1697"/>
      <c r="EH795" s="1697"/>
      <c r="EI795" s="1697"/>
      <c r="EJ795" s="1697"/>
      <c r="EK795" s="1697"/>
      <c r="EL795" s="1697"/>
      <c r="EM795" s="1697"/>
      <c r="EN795" s="1697"/>
      <c r="EO795" s="1697"/>
      <c r="EP795" s="1697"/>
      <c r="EQ795" s="1697"/>
      <c r="ER795" s="1697"/>
      <c r="ES795" s="1697"/>
      <c r="ET795" s="1697"/>
      <c r="EU795" s="1697"/>
      <c r="EV795" s="1697"/>
      <c r="EW795" s="1697"/>
      <c r="EX795" s="1697"/>
      <c r="EY795" s="1697"/>
      <c r="EZ795" s="1697"/>
      <c r="FA795" s="1697"/>
      <c r="FB795" s="1697"/>
      <c r="FC795" s="1697"/>
      <c r="FD795" s="1697"/>
      <c r="FE795" s="1697"/>
      <c r="FF795" s="1697"/>
      <c r="FG795" s="1697"/>
      <c r="FH795" s="1697"/>
      <c r="FI795" s="1697"/>
    </row>
    <row r="796" spans="1:165">
      <c r="A796" s="1697"/>
      <c r="B796" s="1697"/>
      <c r="C796" s="1697"/>
      <c r="D796" s="1697"/>
      <c r="E796" s="1697"/>
      <c r="F796" s="1697"/>
      <c r="G796" s="1697"/>
      <c r="H796" s="1697"/>
      <c r="I796" s="1697"/>
      <c r="J796" s="1697"/>
      <c r="K796" s="1697"/>
      <c r="L796" s="1697"/>
      <c r="M796" s="1697"/>
      <c r="N796" s="1697"/>
      <c r="O796" s="1697"/>
      <c r="P796" s="1697"/>
      <c r="Q796" s="1697"/>
      <c r="R796" s="1697"/>
      <c r="S796" s="1697"/>
      <c r="T796" s="1697"/>
      <c r="U796" s="1697"/>
      <c r="V796" s="1697"/>
      <c r="W796" s="1697"/>
      <c r="X796" s="1697"/>
      <c r="Y796" s="1697"/>
      <c r="Z796" s="1697"/>
      <c r="AA796" s="1697"/>
      <c r="AB796" s="1697"/>
      <c r="AC796" s="1697"/>
      <c r="AD796" s="1697"/>
      <c r="AE796" s="1697"/>
      <c r="AF796" s="1697"/>
      <c r="AG796" s="1697"/>
      <c r="AH796" s="1697"/>
      <c r="AI796" s="1697"/>
      <c r="AJ796" s="1697"/>
      <c r="AK796" s="1697"/>
      <c r="AL796" s="1697"/>
      <c r="AM796" s="1697"/>
      <c r="AN796" s="1697"/>
      <c r="AO796" s="1697"/>
      <c r="AP796" s="1697"/>
      <c r="AQ796" s="1697"/>
      <c r="AR796" s="1697"/>
      <c r="AS796" s="1697"/>
      <c r="AT796" s="1697"/>
      <c r="AU796" s="1697"/>
      <c r="AV796" s="1697"/>
      <c r="AW796" s="1697"/>
      <c r="AX796" s="1697"/>
      <c r="AY796" s="1697"/>
      <c r="AZ796" s="1697"/>
      <c r="BA796" s="1697"/>
      <c r="BB796" s="1697"/>
      <c r="BC796" s="1697"/>
      <c r="BD796" s="1697"/>
      <c r="BE796" s="1697"/>
      <c r="BF796" s="1697"/>
      <c r="BG796" s="1697"/>
      <c r="BH796" s="1697"/>
      <c r="BI796" s="1697"/>
      <c r="BJ796" s="1697"/>
      <c r="BK796" s="1697"/>
      <c r="BL796" s="1697"/>
      <c r="BM796" s="1697"/>
      <c r="BN796" s="1697"/>
      <c r="BO796" s="1697"/>
      <c r="BP796" s="1697"/>
      <c r="BQ796" s="1697"/>
      <c r="BR796" s="1697"/>
      <c r="BS796" s="1697"/>
      <c r="BT796" s="1697"/>
      <c r="BU796" s="1697"/>
      <c r="BV796" s="1697"/>
      <c r="BW796" s="1697"/>
      <c r="BX796" s="1697"/>
      <c r="BY796" s="1697"/>
      <c r="BZ796" s="1697"/>
      <c r="CA796" s="1697"/>
      <c r="CB796" s="1697"/>
      <c r="CC796" s="1697"/>
      <c r="CD796" s="1697"/>
      <c r="CE796" s="1697"/>
      <c r="CF796" s="1697"/>
      <c r="CG796" s="1697"/>
      <c r="CH796" s="1697"/>
      <c r="CI796" s="1697"/>
      <c r="CJ796" s="1697"/>
      <c r="CK796" s="1697"/>
      <c r="CL796" s="1697"/>
      <c r="CM796" s="1697"/>
      <c r="CN796" s="1697"/>
      <c r="CO796" s="1697"/>
      <c r="CP796" s="1697"/>
      <c r="CQ796" s="1697"/>
      <c r="CR796" s="1697"/>
      <c r="CS796" s="1697"/>
      <c r="CT796" s="1697"/>
      <c r="CU796" s="1697"/>
      <c r="CV796" s="1697"/>
      <c r="CW796" s="1697"/>
      <c r="CX796" s="1697"/>
      <c r="CY796" s="1697"/>
      <c r="CZ796" s="1697"/>
      <c r="DA796" s="1697"/>
      <c r="DB796" s="1697"/>
      <c r="DC796" s="1697"/>
      <c r="DD796" s="1697"/>
      <c r="DE796" s="1697"/>
      <c r="DF796" s="1697"/>
      <c r="DG796" s="1697"/>
      <c r="DH796" s="1697"/>
      <c r="DI796" s="1697"/>
      <c r="DJ796" s="1697"/>
      <c r="DK796" s="1697"/>
      <c r="DL796" s="1697"/>
      <c r="DM796" s="1697"/>
      <c r="DN796" s="1697"/>
      <c r="DO796" s="1697"/>
      <c r="DP796" s="1697"/>
      <c r="DQ796" s="1697"/>
      <c r="DR796" s="1697"/>
      <c r="DS796" s="1697"/>
      <c r="DT796" s="1697"/>
      <c r="DU796" s="1697"/>
      <c r="DV796" s="1697"/>
      <c r="DW796" s="1697"/>
      <c r="DX796" s="1697"/>
      <c r="DY796" s="1697"/>
      <c r="DZ796" s="1697"/>
      <c r="EA796" s="1697"/>
      <c r="EB796" s="1697"/>
      <c r="EC796" s="1697"/>
      <c r="ED796" s="1697"/>
      <c r="EE796" s="1697"/>
      <c r="EF796" s="1697"/>
      <c r="EG796" s="1697"/>
      <c r="EH796" s="1697"/>
      <c r="EI796" s="1697"/>
      <c r="EJ796" s="1697"/>
      <c r="EK796" s="1697"/>
      <c r="EL796" s="1697"/>
      <c r="EM796" s="1697"/>
      <c r="EN796" s="1697"/>
      <c r="EO796" s="1697"/>
      <c r="EP796" s="1697"/>
      <c r="EQ796" s="1697"/>
      <c r="ER796" s="1697"/>
      <c r="ES796" s="1697"/>
      <c r="ET796" s="1697"/>
      <c r="EU796" s="1697"/>
      <c r="EV796" s="1697"/>
      <c r="EW796" s="1697"/>
      <c r="EX796" s="1697"/>
      <c r="EY796" s="1697"/>
      <c r="EZ796" s="1697"/>
      <c r="FA796" s="1697"/>
      <c r="FB796" s="1697"/>
      <c r="FC796" s="1697"/>
      <c r="FD796" s="1697"/>
      <c r="FE796" s="1697"/>
      <c r="FF796" s="1697"/>
      <c r="FG796" s="1697"/>
      <c r="FH796" s="1697"/>
      <c r="FI796" s="1697"/>
    </row>
    <row r="797" spans="1:165">
      <c r="A797" s="1697"/>
      <c r="B797" s="1697"/>
      <c r="C797" s="1697"/>
      <c r="D797" s="1697"/>
      <c r="E797" s="1697"/>
      <c r="F797" s="1697"/>
      <c r="G797" s="1697"/>
      <c r="H797" s="1697"/>
      <c r="I797" s="1697"/>
      <c r="J797" s="1697"/>
      <c r="K797" s="1697"/>
      <c r="L797" s="1697"/>
      <c r="M797" s="1697"/>
      <c r="N797" s="1697"/>
      <c r="O797" s="1697"/>
      <c r="P797" s="1697"/>
      <c r="Q797" s="1697"/>
      <c r="R797" s="1697"/>
      <c r="S797" s="1697"/>
      <c r="T797" s="1697"/>
      <c r="U797" s="1697"/>
      <c r="V797" s="1697"/>
      <c r="W797" s="1697"/>
      <c r="X797" s="1697"/>
      <c r="Y797" s="1697"/>
      <c r="Z797" s="1697"/>
      <c r="AA797" s="1697"/>
      <c r="AB797" s="1697"/>
      <c r="AC797" s="1697"/>
      <c r="AD797" s="1697"/>
      <c r="AE797" s="1697"/>
      <c r="AF797" s="1697"/>
      <c r="AG797" s="1697"/>
      <c r="AH797" s="1697"/>
      <c r="AI797" s="1697"/>
      <c r="AJ797" s="1697"/>
      <c r="AK797" s="1697"/>
      <c r="AL797" s="1697"/>
      <c r="AM797" s="1697"/>
      <c r="AN797" s="1697"/>
      <c r="AO797" s="1697"/>
      <c r="AP797" s="1697"/>
      <c r="AQ797" s="1697"/>
      <c r="AR797" s="1697"/>
      <c r="AS797" s="1697"/>
      <c r="AT797" s="1697"/>
      <c r="AU797" s="1697"/>
      <c r="AV797" s="1697"/>
      <c r="AW797" s="1697"/>
      <c r="AX797" s="1697"/>
      <c r="AY797" s="1697"/>
      <c r="AZ797" s="1697"/>
      <c r="BA797" s="1697"/>
      <c r="BB797" s="1697"/>
      <c r="BC797" s="1697"/>
      <c r="BD797" s="1697"/>
      <c r="BE797" s="1697"/>
      <c r="BF797" s="1697"/>
      <c r="BG797" s="1697"/>
      <c r="BH797" s="1697"/>
      <c r="BI797" s="1697"/>
      <c r="BJ797" s="1697"/>
      <c r="BK797" s="1697"/>
      <c r="BL797" s="1697"/>
      <c r="BM797" s="1697"/>
      <c r="BN797" s="1697"/>
      <c r="BO797" s="1697"/>
      <c r="BP797" s="1697"/>
      <c r="BQ797" s="1697"/>
      <c r="BR797" s="1697"/>
      <c r="BS797" s="1697"/>
      <c r="BT797" s="1697"/>
      <c r="BU797" s="1697"/>
      <c r="BV797" s="1697"/>
      <c r="BW797" s="1697"/>
      <c r="BX797" s="1697"/>
      <c r="BY797" s="1697"/>
      <c r="BZ797" s="1697"/>
      <c r="CA797" s="1697"/>
      <c r="CB797" s="1697"/>
      <c r="CC797" s="1697"/>
      <c r="CD797" s="1697"/>
      <c r="CE797" s="1697"/>
      <c r="CF797" s="1697"/>
      <c r="CG797" s="1697"/>
      <c r="CH797" s="1697"/>
      <c r="CI797" s="1697"/>
      <c r="CJ797" s="1697"/>
      <c r="CK797" s="1697"/>
      <c r="CL797" s="1697"/>
      <c r="CM797" s="1697"/>
      <c r="CN797" s="1697"/>
      <c r="CO797" s="1697"/>
      <c r="CP797" s="1697"/>
      <c r="CQ797" s="1697"/>
      <c r="CR797" s="1697"/>
      <c r="CS797" s="1697"/>
      <c r="CT797" s="1697"/>
      <c r="CU797" s="1697"/>
      <c r="CV797" s="1697"/>
      <c r="CW797" s="1697"/>
      <c r="CX797" s="1697"/>
      <c r="CY797" s="1697"/>
      <c r="CZ797" s="1697"/>
      <c r="DA797" s="1697"/>
      <c r="DB797" s="1697"/>
      <c r="DC797" s="1697"/>
      <c r="DD797" s="1697"/>
      <c r="DE797" s="1697"/>
      <c r="DF797" s="1697"/>
      <c r="DG797" s="1697"/>
      <c r="DH797" s="1697"/>
      <c r="DI797" s="1697"/>
      <c r="DJ797" s="1697"/>
      <c r="DK797" s="1697"/>
      <c r="DL797" s="1697"/>
      <c r="DM797" s="1697"/>
      <c r="DN797" s="1697"/>
      <c r="DO797" s="1697"/>
      <c r="DP797" s="1697"/>
      <c r="DQ797" s="1697"/>
      <c r="DR797" s="1697"/>
      <c r="DS797" s="1697"/>
      <c r="DT797" s="1697"/>
      <c r="DU797" s="1697"/>
      <c r="DV797" s="1697"/>
      <c r="DW797" s="1697"/>
      <c r="DX797" s="1697"/>
      <c r="DY797" s="1697"/>
      <c r="DZ797" s="1697"/>
      <c r="EA797" s="1697"/>
      <c r="EB797" s="1697"/>
      <c r="EC797" s="1697"/>
      <c r="ED797" s="1697"/>
      <c r="EE797" s="1697"/>
      <c r="EF797" s="1697"/>
      <c r="EG797" s="1697"/>
      <c r="EH797" s="1697"/>
      <c r="EI797" s="1697"/>
      <c r="EJ797" s="1697"/>
      <c r="EK797" s="1697"/>
      <c r="EL797" s="1697"/>
      <c r="EM797" s="1697"/>
      <c r="EN797" s="1697"/>
      <c r="EO797" s="1697"/>
      <c r="EP797" s="1697"/>
      <c r="EQ797" s="1697"/>
      <c r="ER797" s="1697"/>
      <c r="ES797" s="1697"/>
      <c r="ET797" s="1697"/>
      <c r="EU797" s="1697"/>
      <c r="EV797" s="1697"/>
      <c r="EW797" s="1697"/>
      <c r="EX797" s="1697"/>
      <c r="EY797" s="1697"/>
      <c r="EZ797" s="1697"/>
      <c r="FA797" s="1697"/>
      <c r="FB797" s="1697"/>
      <c r="FC797" s="1697"/>
      <c r="FD797" s="1697"/>
      <c r="FE797" s="1697"/>
      <c r="FF797" s="1697"/>
      <c r="FG797" s="1697"/>
      <c r="FH797" s="1697"/>
      <c r="FI797" s="1697"/>
    </row>
    <row r="798" spans="1:165">
      <c r="A798" s="1697"/>
      <c r="B798" s="1697"/>
      <c r="C798" s="1697"/>
      <c r="D798" s="1697"/>
      <c r="E798" s="1697"/>
      <c r="F798" s="1697"/>
      <c r="G798" s="1697"/>
      <c r="H798" s="1697"/>
      <c r="I798" s="1697"/>
      <c r="J798" s="1697"/>
      <c r="K798" s="1697"/>
      <c r="L798" s="1697"/>
      <c r="M798" s="1697"/>
      <c r="N798" s="1697"/>
      <c r="O798" s="1697"/>
      <c r="P798" s="1697"/>
      <c r="Q798" s="1697"/>
      <c r="R798" s="1697"/>
      <c r="S798" s="1697"/>
      <c r="T798" s="1697"/>
      <c r="U798" s="1697"/>
      <c r="V798" s="1697"/>
      <c r="W798" s="1697"/>
      <c r="X798" s="1697"/>
      <c r="Y798" s="1697"/>
      <c r="Z798" s="1697"/>
      <c r="AA798" s="1697"/>
      <c r="AB798" s="1697"/>
      <c r="AC798" s="1697"/>
      <c r="AD798" s="1697"/>
      <c r="AE798" s="1697"/>
      <c r="AF798" s="1697"/>
      <c r="AG798" s="1697"/>
      <c r="AH798" s="1697"/>
      <c r="AI798" s="1697"/>
      <c r="AJ798" s="1697"/>
      <c r="AK798" s="1697"/>
      <c r="AL798" s="1697"/>
      <c r="AM798" s="1697"/>
      <c r="AN798" s="1697"/>
      <c r="AO798" s="1697"/>
      <c r="AP798" s="1697"/>
      <c r="AQ798" s="1697"/>
      <c r="AR798" s="1697"/>
      <c r="AS798" s="1697"/>
      <c r="AT798" s="1697"/>
      <c r="AU798" s="1697"/>
      <c r="AV798" s="1697"/>
      <c r="AW798" s="1697"/>
      <c r="AX798" s="1697"/>
      <c r="AY798" s="1697"/>
      <c r="AZ798" s="1697"/>
      <c r="BA798" s="1697"/>
      <c r="BB798" s="1697"/>
      <c r="BC798" s="1697"/>
      <c r="BD798" s="1697"/>
      <c r="BE798" s="1697"/>
      <c r="BF798" s="1697"/>
      <c r="BG798" s="1697"/>
      <c r="BH798" s="1697"/>
      <c r="BI798" s="1697"/>
      <c r="BJ798" s="1697"/>
      <c r="BK798" s="1697"/>
      <c r="BL798" s="1697"/>
      <c r="BM798" s="1697"/>
      <c r="BN798" s="1697"/>
      <c r="BO798" s="1697"/>
      <c r="BP798" s="1697"/>
      <c r="BQ798" s="1697"/>
      <c r="BR798" s="1697"/>
      <c r="BS798" s="1697"/>
      <c r="BT798" s="1697"/>
      <c r="BU798" s="1697"/>
      <c r="BV798" s="1697"/>
      <c r="BW798" s="1697"/>
      <c r="BX798" s="1697"/>
      <c r="BY798" s="1697"/>
      <c r="BZ798" s="1697"/>
      <c r="CA798" s="1697"/>
      <c r="CB798" s="1697"/>
      <c r="CC798" s="1697"/>
      <c r="CD798" s="1697"/>
      <c r="CE798" s="1697"/>
      <c r="CF798" s="1697"/>
      <c r="CG798" s="1697"/>
      <c r="CH798" s="1697"/>
      <c r="CI798" s="1697"/>
      <c r="CJ798" s="1697"/>
      <c r="CK798" s="1697"/>
      <c r="CL798" s="1697"/>
      <c r="CM798" s="1697"/>
      <c r="CN798" s="1697"/>
      <c r="CO798" s="1697"/>
      <c r="CP798" s="1697"/>
      <c r="CQ798" s="1697"/>
      <c r="CR798" s="1697"/>
      <c r="CS798" s="1697"/>
      <c r="CT798" s="1697"/>
      <c r="CU798" s="1697"/>
      <c r="CV798" s="1697"/>
      <c r="CW798" s="1697"/>
      <c r="CX798" s="1697"/>
      <c r="CY798" s="1697"/>
      <c r="CZ798" s="1697"/>
      <c r="DA798" s="1697"/>
      <c r="DB798" s="1697"/>
      <c r="DC798" s="1697"/>
      <c r="DD798" s="1697"/>
      <c r="DE798" s="1697"/>
      <c r="DF798" s="1697"/>
      <c r="DG798" s="1697"/>
      <c r="DH798" s="1697"/>
      <c r="DI798" s="1697"/>
      <c r="DJ798" s="1697"/>
      <c r="DK798" s="1697"/>
      <c r="DL798" s="1697"/>
      <c r="DM798" s="1697"/>
      <c r="DN798" s="1697"/>
      <c r="DO798" s="1697"/>
      <c r="DP798" s="1697"/>
      <c r="DQ798" s="1697"/>
      <c r="DR798" s="1697"/>
      <c r="DS798" s="1697"/>
      <c r="DT798" s="1697"/>
      <c r="DU798" s="1697"/>
      <c r="DV798" s="1697"/>
      <c r="DW798" s="1697"/>
      <c r="DX798" s="1697"/>
      <c r="DY798" s="1697"/>
      <c r="DZ798" s="1697"/>
      <c r="EA798" s="1697"/>
      <c r="EB798" s="1697"/>
      <c r="EC798" s="1697"/>
      <c r="ED798" s="1697"/>
      <c r="EE798" s="1697"/>
      <c r="EF798" s="1697"/>
      <c r="EG798" s="1697"/>
      <c r="EH798" s="1697"/>
      <c r="EI798" s="1697"/>
      <c r="EJ798" s="1697"/>
      <c r="EK798" s="1697"/>
      <c r="EL798" s="1697"/>
      <c r="EM798" s="1697"/>
      <c r="EN798" s="1697"/>
      <c r="EO798" s="1697"/>
      <c r="EP798" s="1697"/>
      <c r="EQ798" s="1697"/>
      <c r="ER798" s="1697"/>
      <c r="ES798" s="1697"/>
      <c r="ET798" s="1697"/>
      <c r="EU798" s="1697"/>
      <c r="EV798" s="1697"/>
      <c r="EW798" s="1697"/>
      <c r="EX798" s="1697"/>
      <c r="EY798" s="1697"/>
      <c r="EZ798" s="1697"/>
      <c r="FA798" s="1697"/>
      <c r="FB798" s="1697"/>
      <c r="FC798" s="1697"/>
      <c r="FD798" s="1697"/>
      <c r="FE798" s="1697"/>
      <c r="FF798" s="1697"/>
      <c r="FG798" s="1697"/>
      <c r="FH798" s="1697"/>
      <c r="FI798" s="1697"/>
    </row>
    <row r="799" spans="1:165">
      <c r="A799" s="1697"/>
      <c r="B799" s="1697"/>
      <c r="C799" s="1697"/>
      <c r="D799" s="1697"/>
      <c r="E799" s="1697"/>
      <c r="F799" s="1697"/>
      <c r="G799" s="1697"/>
      <c r="H799" s="1697"/>
      <c r="I799" s="1697"/>
      <c r="J799" s="1697"/>
      <c r="K799" s="1697"/>
      <c r="L799" s="1697"/>
      <c r="M799" s="1697"/>
      <c r="N799" s="1697"/>
      <c r="O799" s="1697"/>
      <c r="P799" s="1697"/>
      <c r="Q799" s="1697"/>
      <c r="R799" s="1697"/>
      <c r="S799" s="1697"/>
      <c r="T799" s="1697"/>
      <c r="U799" s="1697"/>
      <c r="V799" s="1697"/>
      <c r="W799" s="1697"/>
      <c r="X799" s="1697"/>
      <c r="Y799" s="1697"/>
      <c r="Z799" s="1697"/>
      <c r="AA799" s="1697"/>
      <c r="AB799" s="1697"/>
      <c r="AC799" s="1697"/>
      <c r="AD799" s="1697"/>
      <c r="AE799" s="1697"/>
      <c r="AF799" s="1697"/>
      <c r="AG799" s="1697"/>
      <c r="AH799" s="1697"/>
      <c r="AI799" s="1697"/>
      <c r="AJ799" s="1697"/>
      <c r="AK799" s="1697"/>
      <c r="AL799" s="1697"/>
      <c r="AM799" s="1697"/>
      <c r="AN799" s="1697"/>
      <c r="AO799" s="1697"/>
      <c r="AP799" s="1697"/>
      <c r="AQ799" s="1697"/>
      <c r="AR799" s="1697"/>
      <c r="AS799" s="1697"/>
      <c r="AT799" s="1697"/>
      <c r="AU799" s="1697"/>
      <c r="AV799" s="1697"/>
      <c r="AW799" s="1697"/>
      <c r="AX799" s="1697"/>
      <c r="AY799" s="1697"/>
      <c r="AZ799" s="1697"/>
      <c r="BA799" s="1697"/>
      <c r="BB799" s="1697"/>
      <c r="BC799" s="1697"/>
      <c r="BD799" s="1697"/>
      <c r="BE799" s="1697"/>
      <c r="BF799" s="1697"/>
      <c r="BG799" s="1697"/>
      <c r="BH799" s="1697"/>
      <c r="BI799" s="1697"/>
      <c r="BJ799" s="1697"/>
      <c r="BK799" s="1697"/>
      <c r="BL799" s="1697"/>
      <c r="BM799" s="1697"/>
      <c r="BN799" s="1697"/>
      <c r="BO799" s="1697"/>
      <c r="BP799" s="1697"/>
      <c r="BQ799" s="1697"/>
      <c r="BR799" s="1697"/>
      <c r="BS799" s="1697"/>
      <c r="BT799" s="1697"/>
      <c r="BU799" s="1697"/>
      <c r="BV799" s="1697"/>
      <c r="BW799" s="1697"/>
      <c r="BX799" s="1697"/>
      <c r="BY799" s="1697"/>
      <c r="BZ799" s="1697"/>
      <c r="CA799" s="1697"/>
      <c r="CB799" s="1697"/>
      <c r="CC799" s="1697"/>
      <c r="CD799" s="1697"/>
      <c r="CE799" s="1697"/>
      <c r="CF799" s="1697"/>
      <c r="CG799" s="1697"/>
      <c r="CH799" s="1697"/>
      <c r="CI799" s="1697"/>
      <c r="CJ799" s="1697"/>
      <c r="CK799" s="1697"/>
      <c r="CL799" s="1697"/>
      <c r="CM799" s="1697"/>
      <c r="CN799" s="1697"/>
      <c r="CO799" s="1697"/>
      <c r="CP799" s="1697"/>
      <c r="CQ799" s="1697"/>
      <c r="CR799" s="1697"/>
      <c r="CS799" s="1697"/>
      <c r="CT799" s="1697"/>
      <c r="CU799" s="1697"/>
      <c r="CV799" s="1697"/>
      <c r="CW799" s="1697"/>
      <c r="CX799" s="1697"/>
      <c r="CY799" s="1697"/>
      <c r="CZ799" s="1697"/>
      <c r="DA799" s="1697"/>
      <c r="DB799" s="1697"/>
      <c r="DC799" s="1697"/>
      <c r="DD799" s="1697"/>
      <c r="DE799" s="1697"/>
      <c r="DF799" s="1697"/>
      <c r="DG799" s="1697"/>
      <c r="DH799" s="1697"/>
      <c r="DI799" s="1697"/>
      <c r="DJ799" s="1697"/>
      <c r="DK799" s="1697"/>
      <c r="DL799" s="1697"/>
      <c r="DM799" s="1697"/>
      <c r="DN799" s="1697"/>
      <c r="DO799" s="1697"/>
      <c r="DP799" s="1697"/>
      <c r="DQ799" s="1697"/>
      <c r="DR799" s="1697"/>
      <c r="DS799" s="1697"/>
      <c r="DT799" s="1697"/>
      <c r="DU799" s="1697"/>
      <c r="DV799" s="1697"/>
      <c r="DW799" s="1697"/>
      <c r="DX799" s="1697"/>
      <c r="DY799" s="1697"/>
      <c r="DZ799" s="1697"/>
      <c r="EA799" s="1697"/>
      <c r="EB799" s="1697"/>
      <c r="EC799" s="1697"/>
      <c r="ED799" s="1697"/>
      <c r="EE799" s="1697"/>
      <c r="EF799" s="1697"/>
      <c r="EG799" s="1697"/>
      <c r="EH799" s="1697"/>
      <c r="EI799" s="1697"/>
      <c r="EJ799" s="1697"/>
      <c r="EK799" s="1697"/>
      <c r="EL799" s="1697"/>
      <c r="EM799" s="1697"/>
      <c r="EN799" s="1697"/>
      <c r="EO799" s="1697"/>
      <c r="EP799" s="1697"/>
      <c r="EQ799" s="1697"/>
      <c r="ER799" s="1697"/>
      <c r="ES799" s="1697"/>
      <c r="ET799" s="1697"/>
      <c r="EU799" s="1697"/>
      <c r="EV799" s="1697"/>
      <c r="EW799" s="1697"/>
      <c r="EX799" s="1697"/>
      <c r="EY799" s="1697"/>
      <c r="EZ799" s="1697"/>
      <c r="FA799" s="1697"/>
      <c r="FB799" s="1697"/>
      <c r="FC799" s="1697"/>
      <c r="FD799" s="1697"/>
      <c r="FE799" s="1697"/>
      <c r="FF799" s="1697"/>
      <c r="FG799" s="1697"/>
      <c r="FH799" s="1697"/>
      <c r="FI799" s="1697"/>
    </row>
    <row r="800" spans="1:165">
      <c r="A800" s="1697"/>
      <c r="B800" s="1697"/>
      <c r="C800" s="1697"/>
      <c r="D800" s="1697"/>
      <c r="E800" s="1697"/>
      <c r="F800" s="1697"/>
      <c r="G800" s="1697"/>
      <c r="H800" s="1697"/>
      <c r="I800" s="1697"/>
      <c r="J800" s="1697"/>
      <c r="K800" s="1697"/>
      <c r="L800" s="1697"/>
      <c r="M800" s="1697"/>
      <c r="N800" s="1697"/>
      <c r="O800" s="1697"/>
      <c r="P800" s="1697"/>
      <c r="Q800" s="1697"/>
      <c r="R800" s="1697"/>
      <c r="S800" s="1697"/>
      <c r="T800" s="1697"/>
      <c r="U800" s="1697"/>
      <c r="V800" s="1697"/>
      <c r="W800" s="1697"/>
      <c r="X800" s="1697"/>
      <c r="Y800" s="1697"/>
      <c r="Z800" s="1697"/>
      <c r="AA800" s="1697"/>
      <c r="AB800" s="1697"/>
      <c r="AC800" s="1697"/>
      <c r="AD800" s="1697"/>
      <c r="AE800" s="1697"/>
      <c r="AF800" s="1697"/>
      <c r="AG800" s="1697"/>
      <c r="AH800" s="1697"/>
      <c r="AI800" s="1697"/>
      <c r="AJ800" s="1697"/>
      <c r="AK800" s="1697"/>
      <c r="AL800" s="1697"/>
      <c r="AM800" s="1697"/>
      <c r="AN800" s="1697"/>
      <c r="AO800" s="1697"/>
      <c r="AP800" s="1697"/>
      <c r="AQ800" s="1697"/>
      <c r="AR800" s="1697"/>
      <c r="AS800" s="1697"/>
      <c r="AT800" s="1697"/>
      <c r="AU800" s="1697"/>
      <c r="AV800" s="1697"/>
      <c r="AW800" s="1697"/>
      <c r="AX800" s="1697"/>
      <c r="AY800" s="1697"/>
      <c r="AZ800" s="1697"/>
      <c r="BA800" s="1697"/>
      <c r="BB800" s="1697"/>
      <c r="BC800" s="1697"/>
      <c r="BD800" s="1697"/>
      <c r="BE800" s="1697"/>
      <c r="BF800" s="1697"/>
      <c r="BG800" s="1697"/>
      <c r="BH800" s="1697"/>
      <c r="BI800" s="1697"/>
      <c r="BJ800" s="1697"/>
      <c r="BK800" s="1697"/>
      <c r="BL800" s="1697"/>
      <c r="BM800" s="1697"/>
      <c r="BN800" s="1697"/>
      <c r="BO800" s="1697"/>
      <c r="BP800" s="1697"/>
      <c r="BQ800" s="1697"/>
      <c r="BR800" s="1697"/>
      <c r="BS800" s="1697"/>
      <c r="BT800" s="1697"/>
      <c r="BU800" s="1697"/>
      <c r="BV800" s="1697"/>
      <c r="BW800" s="1697"/>
      <c r="BX800" s="1697"/>
      <c r="BY800" s="1697"/>
      <c r="BZ800" s="1697"/>
      <c r="CA800" s="1697"/>
      <c r="CB800" s="1697"/>
      <c r="CC800" s="1697"/>
      <c r="CD800" s="1697"/>
      <c r="CE800" s="1697"/>
      <c r="CF800" s="1697"/>
      <c r="CG800" s="1697"/>
      <c r="CH800" s="1697"/>
      <c r="CI800" s="1697"/>
      <c r="CJ800" s="1697"/>
      <c r="CK800" s="1697"/>
      <c r="CL800" s="1697"/>
      <c r="CM800" s="1697"/>
      <c r="CN800" s="1697"/>
      <c r="CO800" s="1697"/>
      <c r="CP800" s="1697"/>
      <c r="CQ800" s="1697"/>
      <c r="CR800" s="1697"/>
      <c r="CS800" s="1697"/>
      <c r="CT800" s="1697"/>
      <c r="CU800" s="1697"/>
      <c r="CV800" s="1697"/>
      <c r="CW800" s="1697"/>
      <c r="CX800" s="1697"/>
      <c r="CY800" s="1697"/>
      <c r="CZ800" s="1697"/>
      <c r="DA800" s="1697"/>
      <c r="DB800" s="1697"/>
      <c r="DC800" s="1697"/>
      <c r="DD800" s="1697"/>
      <c r="DE800" s="1697"/>
      <c r="DF800" s="1697"/>
      <c r="DG800" s="1697"/>
      <c r="DH800" s="1697"/>
      <c r="DI800" s="1697"/>
      <c r="DJ800" s="1697"/>
      <c r="DK800" s="1697"/>
      <c r="DL800" s="1697"/>
      <c r="DM800" s="1697"/>
      <c r="DN800" s="1697"/>
      <c r="DO800" s="1697"/>
      <c r="DP800" s="1697"/>
      <c r="DQ800" s="1697"/>
      <c r="DR800" s="1697"/>
      <c r="DS800" s="1697"/>
      <c r="DT800" s="1697"/>
      <c r="DU800" s="1697"/>
      <c r="DV800" s="1697"/>
      <c r="DW800" s="1697"/>
      <c r="DX800" s="1697"/>
      <c r="DY800" s="1697"/>
      <c r="DZ800" s="1697"/>
      <c r="EA800" s="1697"/>
      <c r="EB800" s="1697"/>
      <c r="EC800" s="1697"/>
      <c r="ED800" s="1697"/>
      <c r="EE800" s="1697"/>
      <c r="EF800" s="1697"/>
      <c r="EG800" s="1697"/>
      <c r="EH800" s="1697"/>
      <c r="EI800" s="1697"/>
      <c r="EJ800" s="1697"/>
      <c r="EK800" s="1697"/>
      <c r="EL800" s="1697"/>
      <c r="EM800" s="1697"/>
      <c r="EN800" s="1697"/>
      <c r="EO800" s="1697"/>
      <c r="EP800" s="1697"/>
      <c r="EQ800" s="1697"/>
      <c r="ER800" s="1697"/>
      <c r="ES800" s="1697"/>
      <c r="ET800" s="1697"/>
      <c r="EU800" s="1697"/>
      <c r="EV800" s="1697"/>
      <c r="EW800" s="1697"/>
      <c r="EX800" s="1697"/>
      <c r="EY800" s="1697"/>
      <c r="EZ800" s="1697"/>
      <c r="FA800" s="1697"/>
      <c r="FB800" s="1697"/>
      <c r="FC800" s="1697"/>
      <c r="FD800" s="1697"/>
      <c r="FE800" s="1697"/>
      <c r="FF800" s="1697"/>
      <c r="FG800" s="1697"/>
      <c r="FH800" s="1697"/>
      <c r="FI800" s="1697"/>
    </row>
    <row r="801" spans="1:165">
      <c r="A801" s="1697"/>
      <c r="B801" s="1697"/>
      <c r="C801" s="1697"/>
      <c r="D801" s="1697"/>
      <c r="E801" s="1697"/>
      <c r="F801" s="1697"/>
      <c r="G801" s="1697"/>
      <c r="H801" s="1697"/>
      <c r="I801" s="1697"/>
      <c r="J801" s="1697"/>
      <c r="K801" s="1697"/>
      <c r="L801" s="1697"/>
      <c r="M801" s="1697"/>
      <c r="N801" s="1697"/>
      <c r="O801" s="1697"/>
      <c r="P801" s="1697"/>
      <c r="Q801" s="1697"/>
      <c r="R801" s="1697"/>
      <c r="S801" s="1697"/>
      <c r="T801" s="1697"/>
      <c r="U801" s="1697"/>
      <c r="V801" s="1697"/>
      <c r="W801" s="1697"/>
      <c r="X801" s="1697"/>
      <c r="Y801" s="1697"/>
      <c r="Z801" s="1697"/>
      <c r="AA801" s="1697"/>
      <c r="AB801" s="1697"/>
      <c r="AC801" s="1697"/>
      <c r="AD801" s="1697"/>
      <c r="AE801" s="1697"/>
      <c r="AF801" s="1697"/>
      <c r="AG801" s="1697"/>
      <c r="AH801" s="1697"/>
      <c r="AI801" s="1697"/>
      <c r="AJ801" s="1697"/>
      <c r="AK801" s="1697"/>
      <c r="AL801" s="1697"/>
      <c r="AM801" s="1697"/>
      <c r="AN801" s="1697"/>
      <c r="AO801" s="1697"/>
      <c r="AP801" s="1697"/>
      <c r="AQ801" s="1697"/>
      <c r="AR801" s="1697"/>
      <c r="AS801" s="1697"/>
      <c r="AT801" s="1697"/>
      <c r="AU801" s="1697"/>
      <c r="AV801" s="1697"/>
      <c r="AW801" s="1697"/>
      <c r="AX801" s="1697"/>
      <c r="AY801" s="1697"/>
      <c r="AZ801" s="1697"/>
      <c r="BA801" s="1697"/>
      <c r="BB801" s="1697"/>
      <c r="BC801" s="1697"/>
      <c r="BD801" s="1697"/>
      <c r="BE801" s="1697"/>
      <c r="BF801" s="1697"/>
      <c r="BG801" s="1697"/>
      <c r="BH801" s="1697"/>
      <c r="BI801" s="1697"/>
      <c r="BJ801" s="1697"/>
      <c r="BK801" s="1697"/>
      <c r="BL801" s="1697"/>
      <c r="BM801" s="1697"/>
      <c r="BN801" s="1697"/>
      <c r="BO801" s="1697"/>
      <c r="BP801" s="1697"/>
      <c r="BQ801" s="1697"/>
      <c r="BR801" s="1697"/>
      <c r="BS801" s="1697"/>
      <c r="BT801" s="1697"/>
      <c r="BU801" s="1697"/>
      <c r="BV801" s="1697"/>
      <c r="BW801" s="1697"/>
      <c r="BX801" s="1697"/>
      <c r="BY801" s="1697"/>
      <c r="BZ801" s="1697"/>
      <c r="CA801" s="1697"/>
      <c r="CB801" s="1697"/>
      <c r="CC801" s="1697"/>
      <c r="CD801" s="1697"/>
      <c r="CE801" s="1697"/>
      <c r="CF801" s="1697"/>
      <c r="CG801" s="1697"/>
      <c r="CH801" s="1697"/>
      <c r="CI801" s="1697"/>
      <c r="CJ801" s="1697"/>
      <c r="CK801" s="1697"/>
      <c r="CL801" s="1697"/>
      <c r="CM801" s="1697"/>
      <c r="CN801" s="1697"/>
      <c r="CO801" s="1697"/>
      <c r="CP801" s="1697"/>
      <c r="CQ801" s="1697"/>
      <c r="CR801" s="1697"/>
      <c r="CS801" s="1697"/>
      <c r="CT801" s="1697"/>
      <c r="CU801" s="1697"/>
      <c r="CV801" s="1697"/>
      <c r="CW801" s="1697"/>
      <c r="CX801" s="1697"/>
      <c r="CY801" s="1697"/>
      <c r="CZ801" s="1697"/>
      <c r="DA801" s="1697"/>
      <c r="DB801" s="1697"/>
      <c r="DC801" s="1697"/>
      <c r="DD801" s="1697"/>
      <c r="DE801" s="1697"/>
      <c r="DF801" s="1697"/>
      <c r="DG801" s="1697"/>
      <c r="DH801" s="1697"/>
      <c r="DI801" s="1697"/>
      <c r="DJ801" s="1697"/>
      <c r="DK801" s="1697"/>
      <c r="DL801" s="1697"/>
      <c r="DM801" s="1697"/>
      <c r="DN801" s="1697"/>
      <c r="DO801" s="1697"/>
      <c r="DP801" s="1697"/>
      <c r="DQ801" s="1697"/>
      <c r="DR801" s="1697"/>
      <c r="DS801" s="1697"/>
      <c r="DT801" s="1697"/>
      <c r="DU801" s="1697"/>
      <c r="DV801" s="1697"/>
      <c r="DW801" s="1697"/>
      <c r="DX801" s="1697"/>
      <c r="DY801" s="1697"/>
      <c r="DZ801" s="1697"/>
      <c r="EA801" s="1697"/>
      <c r="EB801" s="1697"/>
      <c r="EC801" s="1697"/>
      <c r="ED801" s="1697"/>
      <c r="EE801" s="1697"/>
      <c r="EF801" s="1697"/>
      <c r="EG801" s="1697"/>
      <c r="EH801" s="1697"/>
      <c r="EI801" s="1697"/>
      <c r="EJ801" s="1697"/>
      <c r="EK801" s="1697"/>
      <c r="EL801" s="1697"/>
      <c r="EM801" s="1697"/>
      <c r="EN801" s="1697"/>
      <c r="EO801" s="1697"/>
      <c r="EP801" s="1697"/>
      <c r="EQ801" s="1697"/>
      <c r="ER801" s="1697"/>
      <c r="ES801" s="1697"/>
      <c r="ET801" s="1697"/>
      <c r="EU801" s="1697"/>
      <c r="EV801" s="1697"/>
      <c r="EW801" s="1697"/>
      <c r="EX801" s="1697"/>
      <c r="EY801" s="1697"/>
      <c r="EZ801" s="1697"/>
      <c r="FA801" s="1697"/>
      <c r="FB801" s="1697"/>
      <c r="FC801" s="1697"/>
      <c r="FD801" s="1697"/>
      <c r="FE801" s="1697"/>
      <c r="FF801" s="1697"/>
      <c r="FG801" s="1697"/>
      <c r="FH801" s="1697"/>
      <c r="FI801" s="1697"/>
    </row>
    <row r="802" spans="1:165">
      <c r="A802" s="1697"/>
      <c r="B802" s="1697"/>
      <c r="C802" s="1697"/>
      <c r="D802" s="1697"/>
      <c r="E802" s="1697"/>
      <c r="F802" s="1697"/>
      <c r="G802" s="1697"/>
      <c r="H802" s="1697"/>
      <c r="I802" s="1697"/>
      <c r="J802" s="1697"/>
      <c r="K802" s="1697"/>
      <c r="L802" s="1697"/>
      <c r="M802" s="1697"/>
      <c r="N802" s="1697"/>
      <c r="O802" s="1697"/>
      <c r="P802" s="1697"/>
      <c r="Q802" s="1697"/>
      <c r="R802" s="1697"/>
      <c r="S802" s="1697"/>
      <c r="T802" s="1697"/>
      <c r="U802" s="1697"/>
      <c r="V802" s="1697"/>
      <c r="W802" s="1697"/>
      <c r="X802" s="1697"/>
      <c r="Y802" s="1697"/>
      <c r="Z802" s="1697"/>
      <c r="AA802" s="1697"/>
      <c r="AB802" s="1697"/>
      <c r="AC802" s="1697"/>
      <c r="AD802" s="1697"/>
      <c r="AE802" s="1697"/>
      <c r="AF802" s="1697"/>
      <c r="AG802" s="1697"/>
      <c r="AH802" s="1697"/>
      <c r="AI802" s="1697"/>
      <c r="AJ802" s="1697"/>
      <c r="AK802" s="1697"/>
      <c r="AL802" s="1697"/>
      <c r="AM802" s="1697"/>
      <c r="AN802" s="1697"/>
      <c r="AO802" s="1697"/>
      <c r="AP802" s="1697"/>
      <c r="AQ802" s="1697"/>
      <c r="AR802" s="1697"/>
      <c r="AS802" s="1697"/>
      <c r="AT802" s="1697"/>
      <c r="AU802" s="1697"/>
      <c r="AV802" s="1697"/>
      <c r="AW802" s="1697"/>
      <c r="AX802" s="1697"/>
      <c r="AY802" s="1697"/>
      <c r="AZ802" s="1697"/>
      <c r="BA802" s="1697"/>
      <c r="BB802" s="1697"/>
      <c r="BC802" s="1697"/>
      <c r="BD802" s="1697"/>
      <c r="BE802" s="1697"/>
      <c r="BF802" s="1697"/>
      <c r="BG802" s="1697"/>
      <c r="BH802" s="1697"/>
      <c r="BI802" s="1697"/>
      <c r="BJ802" s="1697"/>
      <c r="BK802" s="1697"/>
      <c r="BL802" s="1697"/>
      <c r="BM802" s="1697"/>
      <c r="BN802" s="1697"/>
      <c r="BO802" s="1697"/>
      <c r="BP802" s="1697"/>
      <c r="BQ802" s="1697"/>
      <c r="BR802" s="1697"/>
      <c r="BS802" s="1697"/>
      <c r="BT802" s="1697"/>
      <c r="BU802" s="1697"/>
      <c r="BV802" s="1697"/>
      <c r="BW802" s="1697"/>
      <c r="BX802" s="1697"/>
      <c r="BY802" s="1697"/>
      <c r="BZ802" s="1697"/>
      <c r="CA802" s="1697"/>
      <c r="CB802" s="1697"/>
      <c r="CC802" s="1697"/>
      <c r="CD802" s="1697"/>
      <c r="CE802" s="1697"/>
      <c r="CF802" s="1697"/>
      <c r="CG802" s="1697"/>
      <c r="CH802" s="1697"/>
      <c r="CI802" s="1697"/>
      <c r="CJ802" s="1697"/>
      <c r="CK802" s="1697"/>
      <c r="CL802" s="1697"/>
      <c r="CM802" s="1697"/>
      <c r="CN802" s="1697"/>
      <c r="CO802" s="1697"/>
      <c r="CP802" s="1697"/>
      <c r="CQ802" s="1697"/>
      <c r="CR802" s="1697"/>
      <c r="CS802" s="1697"/>
      <c r="CT802" s="1697"/>
      <c r="CU802" s="1697"/>
      <c r="CV802" s="1697"/>
      <c r="CW802" s="1697"/>
      <c r="CX802" s="1697"/>
      <c r="CY802" s="1697"/>
      <c r="CZ802" s="1697"/>
      <c r="DA802" s="1697"/>
      <c r="DB802" s="1697"/>
      <c r="DC802" s="1697"/>
      <c r="DD802" s="1697"/>
      <c r="DE802" s="1697"/>
      <c r="DF802" s="1697"/>
      <c r="DG802" s="1697"/>
      <c r="DH802" s="1697"/>
      <c r="DI802" s="1697"/>
      <c r="DJ802" s="1697"/>
      <c r="DK802" s="1697"/>
      <c r="DL802" s="1697"/>
      <c r="DM802" s="1697"/>
      <c r="DN802" s="1697"/>
      <c r="DO802" s="1697"/>
      <c r="DP802" s="1697"/>
      <c r="DQ802" s="1697"/>
      <c r="DR802" s="1697"/>
      <c r="DS802" s="1697"/>
      <c r="DT802" s="1697"/>
      <c r="DU802" s="1697"/>
      <c r="DV802" s="1697"/>
      <c r="DW802" s="1697"/>
      <c r="DX802" s="1697"/>
      <c r="DY802" s="1697"/>
      <c r="DZ802" s="1697"/>
      <c r="EA802" s="1697"/>
      <c r="EB802" s="1697"/>
      <c r="EC802" s="1697"/>
      <c r="ED802" s="1697"/>
      <c r="EE802" s="1697"/>
      <c r="EF802" s="1697"/>
      <c r="EG802" s="1697"/>
      <c r="EH802" s="1697"/>
      <c r="EI802" s="1697"/>
      <c r="EJ802" s="1697"/>
      <c r="EK802" s="1697"/>
      <c r="EL802" s="1697"/>
      <c r="EM802" s="1697"/>
      <c r="EN802" s="1697"/>
      <c r="EO802" s="1697"/>
      <c r="EP802" s="1697"/>
      <c r="EQ802" s="1697"/>
      <c r="ER802" s="1697"/>
      <c r="ES802" s="1697"/>
      <c r="ET802" s="1697"/>
      <c r="EU802" s="1697"/>
      <c r="EV802" s="1697"/>
      <c r="EW802" s="1697"/>
      <c r="EX802" s="1697"/>
      <c r="EY802" s="1697"/>
      <c r="EZ802" s="1697"/>
      <c r="FA802" s="1697"/>
      <c r="FB802" s="1697"/>
      <c r="FC802" s="1697"/>
      <c r="FD802" s="1697"/>
      <c r="FE802" s="1697"/>
      <c r="FF802" s="1697"/>
      <c r="FG802" s="1697"/>
      <c r="FH802" s="1697"/>
      <c r="FI802" s="1697"/>
    </row>
    <row r="803" spans="1:165">
      <c r="A803" s="1697"/>
      <c r="B803" s="1697"/>
      <c r="C803" s="1697"/>
      <c r="D803" s="1697"/>
      <c r="E803" s="1697"/>
      <c r="F803" s="1697"/>
      <c r="G803" s="1697"/>
      <c r="H803" s="1697"/>
      <c r="I803" s="1697"/>
      <c r="J803" s="1697"/>
      <c r="K803" s="1697"/>
      <c r="L803" s="1697"/>
      <c r="M803" s="1697"/>
      <c r="N803" s="1697"/>
      <c r="O803" s="1697"/>
      <c r="P803" s="1697"/>
      <c r="Q803" s="1697"/>
      <c r="R803" s="1697"/>
      <c r="S803" s="1697"/>
      <c r="T803" s="1697"/>
      <c r="U803" s="1697"/>
      <c r="V803" s="1697"/>
      <c r="W803" s="1697"/>
      <c r="X803" s="1697"/>
      <c r="Y803" s="1697"/>
      <c r="Z803" s="1697"/>
      <c r="AA803" s="1697"/>
      <c r="AB803" s="1697"/>
      <c r="AC803" s="1697"/>
      <c r="AD803" s="1697"/>
      <c r="AE803" s="1697"/>
      <c r="AF803" s="1697"/>
      <c r="AG803" s="1697"/>
      <c r="AH803" s="1697"/>
      <c r="AI803" s="1697"/>
      <c r="AJ803" s="1697"/>
      <c r="AK803" s="1697"/>
      <c r="AL803" s="1697"/>
      <c r="AM803" s="1697"/>
      <c r="AN803" s="1697"/>
      <c r="AO803" s="1697"/>
      <c r="AP803" s="1697"/>
      <c r="AQ803" s="1697"/>
      <c r="AR803" s="1697"/>
      <c r="AS803" s="1697"/>
      <c r="AT803" s="1697"/>
      <c r="AU803" s="1697"/>
      <c r="AV803" s="1697"/>
      <c r="AW803" s="1697"/>
      <c r="AX803" s="1697"/>
      <c r="AY803" s="1697"/>
      <c r="AZ803" s="1697"/>
      <c r="BA803" s="1697"/>
      <c r="BB803" s="1697"/>
      <c r="BC803" s="1697"/>
      <c r="BD803" s="1697"/>
      <c r="BE803" s="1697"/>
      <c r="BF803" s="1697"/>
      <c r="BG803" s="1697"/>
      <c r="BH803" s="1697"/>
      <c r="BI803" s="1697"/>
      <c r="BJ803" s="1697"/>
      <c r="BK803" s="1697"/>
      <c r="BL803" s="1697"/>
      <c r="BM803" s="1697"/>
      <c r="BN803" s="1697"/>
      <c r="BO803" s="1697"/>
      <c r="BP803" s="1697"/>
      <c r="BQ803" s="1697"/>
      <c r="BR803" s="1697"/>
      <c r="BS803" s="1697"/>
      <c r="BT803" s="1697"/>
      <c r="BU803" s="1697"/>
      <c r="BV803" s="1697"/>
      <c r="BW803" s="1697"/>
      <c r="BX803" s="1697"/>
      <c r="BY803" s="1697"/>
      <c r="BZ803" s="1697"/>
      <c r="CA803" s="1697"/>
      <c r="CB803" s="1697"/>
      <c r="CC803" s="1697"/>
      <c r="CD803" s="1697"/>
      <c r="CE803" s="1697"/>
      <c r="CF803" s="1697"/>
      <c r="CG803" s="1697"/>
      <c r="CH803" s="1697"/>
      <c r="CI803" s="1697"/>
      <c r="CJ803" s="1697"/>
      <c r="CK803" s="1697"/>
      <c r="CL803" s="1697"/>
      <c r="CM803" s="1697"/>
      <c r="CN803" s="1697"/>
      <c r="CO803" s="1697"/>
      <c r="CP803" s="1697"/>
      <c r="CQ803" s="1697"/>
      <c r="CR803" s="1697"/>
      <c r="CS803" s="1697"/>
      <c r="CT803" s="1697"/>
      <c r="CU803" s="1697"/>
      <c r="CV803" s="1697"/>
      <c r="CW803" s="1697"/>
      <c r="CX803" s="1697"/>
      <c r="CY803" s="1697"/>
      <c r="CZ803" s="1697"/>
      <c r="DA803" s="1697"/>
      <c r="DB803" s="1697"/>
      <c r="DC803" s="1697"/>
      <c r="DD803" s="1697"/>
      <c r="DE803" s="1697"/>
      <c r="DF803" s="1697"/>
      <c r="DG803" s="1697"/>
      <c r="DH803" s="1697"/>
      <c r="DI803" s="1697"/>
      <c r="DJ803" s="1697"/>
      <c r="DK803" s="1697"/>
      <c r="DL803" s="1697"/>
      <c r="DM803" s="1697"/>
      <c r="DN803" s="1697"/>
      <c r="DO803" s="1697"/>
      <c r="DP803" s="1697"/>
      <c r="DQ803" s="1697"/>
      <c r="DR803" s="1697"/>
      <c r="DS803" s="1697"/>
      <c r="DT803" s="1697"/>
      <c r="DU803" s="1697"/>
      <c r="DV803" s="1697"/>
      <c r="DW803" s="1697"/>
      <c r="DX803" s="1697"/>
      <c r="DY803" s="1697"/>
      <c r="DZ803" s="1697"/>
      <c r="EA803" s="1697"/>
      <c r="EB803" s="1697"/>
      <c r="EC803" s="1697"/>
      <c r="ED803" s="1697"/>
      <c r="EE803" s="1697"/>
      <c r="EF803" s="1697"/>
      <c r="EG803" s="1697"/>
      <c r="EH803" s="1697"/>
      <c r="EI803" s="1697"/>
      <c r="EJ803" s="1697"/>
      <c r="EK803" s="1697"/>
      <c r="EL803" s="1697"/>
      <c r="EM803" s="1697"/>
      <c r="EN803" s="1697"/>
      <c r="EO803" s="1697"/>
      <c r="EP803" s="1697"/>
      <c r="EQ803" s="1697"/>
      <c r="ER803" s="1697"/>
      <c r="ES803" s="1697"/>
      <c r="ET803" s="1697"/>
      <c r="EU803" s="1697"/>
      <c r="EV803" s="1697"/>
      <c r="EW803" s="1697"/>
      <c r="EX803" s="1697"/>
      <c r="EY803" s="1697"/>
      <c r="EZ803" s="1697"/>
      <c r="FA803" s="1697"/>
      <c r="FB803" s="1697"/>
      <c r="FC803" s="1697"/>
      <c r="FD803" s="1697"/>
      <c r="FE803" s="1697"/>
      <c r="FF803" s="1697"/>
      <c r="FG803" s="1697"/>
      <c r="FH803" s="1697"/>
      <c r="FI803" s="1697"/>
    </row>
    <row r="804" spans="1:165">
      <c r="A804" s="1697"/>
      <c r="B804" s="1697"/>
      <c r="C804" s="1697"/>
      <c r="D804" s="1697"/>
      <c r="E804" s="1697"/>
      <c r="F804" s="1697"/>
      <c r="G804" s="1697"/>
      <c r="H804" s="1697"/>
      <c r="I804" s="1697"/>
      <c r="J804" s="1697"/>
      <c r="K804" s="1697"/>
      <c r="L804" s="1697"/>
      <c r="M804" s="1697"/>
      <c r="N804" s="1697"/>
      <c r="O804" s="1697"/>
      <c r="P804" s="1697"/>
      <c r="Q804" s="1697"/>
      <c r="R804" s="1697"/>
      <c r="S804" s="1697"/>
      <c r="T804" s="1697"/>
      <c r="U804" s="1697"/>
      <c r="V804" s="1697"/>
      <c r="W804" s="1697"/>
      <c r="X804" s="1697"/>
      <c r="Y804" s="1697"/>
      <c r="Z804" s="1697"/>
      <c r="AA804" s="1697"/>
      <c r="AB804" s="1697"/>
      <c r="AC804" s="1697"/>
      <c r="AD804" s="1697"/>
      <c r="AE804" s="1697"/>
      <c r="AF804" s="1697"/>
      <c r="AG804" s="1697"/>
      <c r="AH804" s="1697"/>
      <c r="AI804" s="1697"/>
      <c r="AJ804" s="1697"/>
      <c r="AK804" s="1697"/>
      <c r="AL804" s="1697"/>
      <c r="AM804" s="1697"/>
      <c r="AN804" s="1697"/>
      <c r="AO804" s="1697"/>
      <c r="AP804" s="1697"/>
      <c r="AQ804" s="1697"/>
      <c r="AR804" s="1697"/>
      <c r="AS804" s="1697"/>
      <c r="AT804" s="1697"/>
      <c r="AU804" s="1697"/>
      <c r="AV804" s="1697"/>
      <c r="AW804" s="1697"/>
      <c r="AX804" s="1697"/>
      <c r="AY804" s="1697"/>
      <c r="AZ804" s="1697"/>
      <c r="BA804" s="1697"/>
      <c r="BB804" s="1697"/>
      <c r="BC804" s="1697"/>
      <c r="BD804" s="1697"/>
      <c r="BE804" s="1697"/>
      <c r="BF804" s="1697"/>
      <c r="BG804" s="1697"/>
      <c r="BH804" s="1697"/>
      <c r="BI804" s="1697"/>
      <c r="BJ804" s="1697"/>
      <c r="BK804" s="1697"/>
      <c r="BL804" s="1697"/>
      <c r="BM804" s="1697"/>
      <c r="BN804" s="1697"/>
      <c r="BO804" s="1697"/>
      <c r="BP804" s="1697"/>
      <c r="BQ804" s="1697"/>
      <c r="BR804" s="1697"/>
      <c r="BS804" s="1697"/>
      <c r="BT804" s="1697"/>
      <c r="BU804" s="1697"/>
      <c r="BV804" s="1697"/>
      <c r="BW804" s="1697"/>
      <c r="BX804" s="1697"/>
      <c r="BY804" s="1697"/>
      <c r="BZ804" s="1697"/>
      <c r="CA804" s="1697"/>
      <c r="CB804" s="1697"/>
      <c r="CC804" s="1697"/>
      <c r="CD804" s="1697"/>
      <c r="CE804" s="1697"/>
      <c r="CF804" s="1697"/>
      <c r="CG804" s="1697"/>
      <c r="CH804" s="1697"/>
      <c r="CI804" s="1697"/>
      <c r="CJ804" s="1697"/>
      <c r="CK804" s="1697"/>
      <c r="CL804" s="1697"/>
      <c r="CM804" s="1697"/>
      <c r="CN804" s="1697"/>
      <c r="CO804" s="1697"/>
      <c r="CP804" s="1697"/>
      <c r="CQ804" s="1697"/>
      <c r="CR804" s="1697"/>
      <c r="CS804" s="1697"/>
      <c r="CT804" s="1697"/>
      <c r="CU804" s="1697"/>
      <c r="CV804" s="1697"/>
      <c r="CW804" s="1697"/>
      <c r="CX804" s="1697"/>
      <c r="CY804" s="1697"/>
      <c r="CZ804" s="1697"/>
      <c r="DA804" s="1697"/>
      <c r="DB804" s="1697"/>
      <c r="DC804" s="1697"/>
      <c r="DD804" s="1697"/>
      <c r="DE804" s="1697"/>
      <c r="DF804" s="1697"/>
      <c r="DG804" s="1697"/>
      <c r="DH804" s="1697"/>
      <c r="DI804" s="1697"/>
      <c r="DJ804" s="1697"/>
      <c r="DK804" s="1697"/>
      <c r="DL804" s="1697"/>
      <c r="DM804" s="1697"/>
      <c r="DN804" s="1697"/>
      <c r="DO804" s="1697"/>
      <c r="DP804" s="1697"/>
      <c r="DQ804" s="1697"/>
      <c r="DR804" s="1697"/>
      <c r="DS804" s="1697"/>
      <c r="DT804" s="1697"/>
      <c r="DU804" s="1697"/>
      <c r="DV804" s="1697"/>
      <c r="DW804" s="1697"/>
      <c r="DX804" s="1697"/>
      <c r="DY804" s="1697"/>
      <c r="DZ804" s="1697"/>
      <c r="EA804" s="1697"/>
      <c r="EB804" s="1697"/>
      <c r="EC804" s="1697"/>
      <c r="ED804" s="1697"/>
      <c r="EE804" s="1697"/>
      <c r="EF804" s="1697"/>
      <c r="EG804" s="1697"/>
      <c r="EH804" s="1697"/>
      <c r="EI804" s="1697"/>
      <c r="EJ804" s="1697"/>
      <c r="EK804" s="1697"/>
      <c r="EL804" s="1697"/>
      <c r="EM804" s="1697"/>
      <c r="EN804" s="1697"/>
      <c r="EO804" s="1697"/>
      <c r="EP804" s="1697"/>
      <c r="EQ804" s="1697"/>
      <c r="ER804" s="1697"/>
      <c r="ES804" s="1697"/>
      <c r="ET804" s="1697"/>
      <c r="EU804" s="1697"/>
      <c r="EV804" s="1697"/>
      <c r="EW804" s="1697"/>
      <c r="EX804" s="1697"/>
      <c r="EY804" s="1697"/>
      <c r="EZ804" s="1697"/>
      <c r="FA804" s="1697"/>
      <c r="FB804" s="1697"/>
      <c r="FC804" s="1697"/>
      <c r="FD804" s="1697"/>
      <c r="FE804" s="1697"/>
      <c r="FF804" s="1697"/>
      <c r="FG804" s="1697"/>
      <c r="FH804" s="1697"/>
      <c r="FI804" s="1697"/>
    </row>
    <row r="805" spans="1:165">
      <c r="A805" s="1697"/>
      <c r="B805" s="1697"/>
      <c r="C805" s="1697"/>
      <c r="D805" s="1697"/>
      <c r="E805" s="1697"/>
      <c r="F805" s="1697"/>
      <c r="G805" s="1697"/>
      <c r="H805" s="1697"/>
      <c r="I805" s="1697"/>
      <c r="J805" s="1697"/>
      <c r="K805" s="1697"/>
      <c r="L805" s="1697"/>
      <c r="M805" s="1697"/>
      <c r="N805" s="1697"/>
      <c r="O805" s="1697"/>
      <c r="P805" s="1697"/>
      <c r="Q805" s="1697"/>
      <c r="R805" s="1697"/>
      <c r="S805" s="1697"/>
      <c r="T805" s="1697"/>
      <c r="U805" s="1697"/>
      <c r="V805" s="1697"/>
      <c r="W805" s="1697"/>
      <c r="X805" s="1697"/>
      <c r="Y805" s="1697"/>
      <c r="Z805" s="1697"/>
      <c r="AA805" s="1697"/>
      <c r="AB805" s="1697"/>
      <c r="AC805" s="1697"/>
      <c r="AD805" s="1697"/>
      <c r="AE805" s="1697"/>
      <c r="AF805" s="1697"/>
      <c r="AG805" s="1697"/>
      <c r="AH805" s="1697"/>
      <c r="AI805" s="1697"/>
      <c r="AJ805" s="1697"/>
      <c r="AK805" s="1697"/>
      <c r="AL805" s="1697"/>
      <c r="AM805" s="1697"/>
      <c r="AN805" s="1697"/>
      <c r="AO805" s="1697"/>
      <c r="AP805" s="1697"/>
      <c r="AQ805" s="1697"/>
      <c r="AR805" s="1697"/>
      <c r="AS805" s="1697"/>
      <c r="AT805" s="1697"/>
      <c r="AU805" s="1697"/>
      <c r="AV805" s="1697"/>
      <c r="AW805" s="1697"/>
      <c r="AX805" s="1697"/>
      <c r="AY805" s="1697"/>
      <c r="AZ805" s="1697"/>
      <c r="BA805" s="1697"/>
      <c r="BB805" s="1697"/>
      <c r="BC805" s="1697"/>
      <c r="BD805" s="1697"/>
      <c r="BE805" s="1697"/>
      <c r="BF805" s="1697"/>
      <c r="BG805" s="1697"/>
      <c r="BH805" s="1697"/>
      <c r="BI805" s="1697"/>
      <c r="BJ805" s="1697"/>
      <c r="BK805" s="1697"/>
      <c r="BL805" s="1697"/>
      <c r="BM805" s="1697"/>
      <c r="BN805" s="1697"/>
      <c r="BO805" s="1697"/>
      <c r="BP805" s="1697"/>
      <c r="BQ805" s="1697"/>
      <c r="BR805" s="1697"/>
      <c r="BS805" s="1697"/>
      <c r="BT805" s="1697"/>
      <c r="BU805" s="1697"/>
      <c r="BV805" s="1697"/>
      <c r="BW805" s="1697"/>
      <c r="BX805" s="1697"/>
      <c r="BY805" s="1697"/>
      <c r="BZ805" s="1697"/>
      <c r="CA805" s="1697"/>
      <c r="CB805" s="1697"/>
      <c r="CC805" s="1697"/>
      <c r="CD805" s="1697"/>
      <c r="CE805" s="1697"/>
      <c r="CF805" s="1697"/>
      <c r="CG805" s="1697"/>
      <c r="CH805" s="1697"/>
      <c r="CI805" s="1697"/>
      <c r="CJ805" s="1697"/>
      <c r="CK805" s="1697"/>
      <c r="CL805" s="1697"/>
      <c r="CM805" s="1697"/>
      <c r="CN805" s="1697"/>
      <c r="CO805" s="1697"/>
      <c r="CP805" s="1697"/>
      <c r="CQ805" s="1697"/>
      <c r="CR805" s="1697"/>
      <c r="CS805" s="1697"/>
      <c r="CT805" s="1697"/>
      <c r="CU805" s="1697"/>
      <c r="CV805" s="1697"/>
      <c r="CW805" s="1697"/>
      <c r="CX805" s="1697"/>
      <c r="CY805" s="1697"/>
      <c r="CZ805" s="1697"/>
      <c r="DA805" s="1697"/>
      <c r="DB805" s="1697"/>
      <c r="DC805" s="1697"/>
      <c r="DD805" s="1697"/>
      <c r="DE805" s="1697"/>
      <c r="DF805" s="1697"/>
      <c r="DG805" s="1697"/>
      <c r="DH805" s="1697"/>
      <c r="DI805" s="1697"/>
      <c r="DJ805" s="1697"/>
      <c r="DK805" s="1697"/>
      <c r="DL805" s="1697"/>
      <c r="DM805" s="1697"/>
      <c r="DN805" s="1697"/>
      <c r="DO805" s="1697"/>
      <c r="DP805" s="1697"/>
      <c r="DQ805" s="1697"/>
      <c r="DR805" s="1697"/>
      <c r="DS805" s="1697"/>
      <c r="DT805" s="1697"/>
      <c r="DU805" s="1697"/>
      <c r="DV805" s="1697"/>
      <c r="DW805" s="1697"/>
      <c r="DX805" s="1697"/>
      <c r="DY805" s="1697"/>
      <c r="DZ805" s="1697"/>
      <c r="EA805" s="1697"/>
      <c r="EB805" s="1697"/>
      <c r="EC805" s="1697"/>
      <c r="ED805" s="1697"/>
      <c r="EE805" s="1697"/>
      <c r="EF805" s="1697"/>
      <c r="EG805" s="1697"/>
      <c r="EH805" s="1697"/>
      <c r="EI805" s="1697"/>
      <c r="EJ805" s="1697"/>
      <c r="EK805" s="1697"/>
      <c r="EL805" s="1697"/>
      <c r="EM805" s="1697"/>
      <c r="EN805" s="1697"/>
      <c r="EO805" s="1697"/>
      <c r="EP805" s="1697"/>
      <c r="EQ805" s="1697"/>
      <c r="ER805" s="1697"/>
      <c r="ES805" s="1697"/>
      <c r="ET805" s="1697"/>
      <c r="EU805" s="1697"/>
      <c r="EV805" s="1697"/>
      <c r="EW805" s="1697"/>
      <c r="EX805" s="1697"/>
      <c r="EY805" s="1697"/>
      <c r="EZ805" s="1697"/>
      <c r="FA805" s="1697"/>
      <c r="FB805" s="1697"/>
      <c r="FC805" s="1697"/>
      <c r="FD805" s="1697"/>
      <c r="FE805" s="1697"/>
      <c r="FF805" s="1697"/>
      <c r="FG805" s="1697"/>
      <c r="FH805" s="1697"/>
      <c r="FI805" s="1697"/>
    </row>
    <row r="806" spans="1:165">
      <c r="A806" s="1697"/>
      <c r="B806" s="1697"/>
      <c r="C806" s="1697"/>
      <c r="D806" s="1697"/>
      <c r="E806" s="1697"/>
      <c r="F806" s="1697"/>
      <c r="G806" s="1697"/>
      <c r="H806" s="1697"/>
      <c r="I806" s="1697"/>
      <c r="J806" s="1697"/>
      <c r="K806" s="1697"/>
      <c r="L806" s="1697"/>
      <c r="M806" s="1697"/>
      <c r="N806" s="1697"/>
      <c r="O806" s="1697"/>
      <c r="P806" s="1697"/>
      <c r="Q806" s="1697"/>
      <c r="R806" s="1697"/>
      <c r="S806" s="1697"/>
      <c r="T806" s="1697"/>
      <c r="U806" s="1697"/>
      <c r="V806" s="1697"/>
      <c r="W806" s="1697"/>
      <c r="X806" s="1697"/>
      <c r="Y806" s="1697"/>
      <c r="Z806" s="1697"/>
      <c r="AA806" s="1697"/>
      <c r="AB806" s="1697"/>
      <c r="AC806" s="1697"/>
      <c r="AD806" s="1697"/>
      <c r="AE806" s="1697"/>
      <c r="AF806" s="1697"/>
      <c r="AG806" s="1697"/>
      <c r="AH806" s="1697"/>
      <c r="AI806" s="1697"/>
      <c r="AJ806" s="1697"/>
      <c r="AK806" s="1697"/>
      <c r="AL806" s="1697"/>
      <c r="AM806" s="1697"/>
      <c r="AN806" s="1697"/>
      <c r="AO806" s="1697"/>
      <c r="AP806" s="1697"/>
      <c r="AQ806" s="1697"/>
      <c r="AR806" s="1697"/>
      <c r="AS806" s="1697"/>
      <c r="AT806" s="1697"/>
      <c r="AU806" s="1697"/>
      <c r="AV806" s="1697"/>
      <c r="AW806" s="1697"/>
      <c r="AX806" s="1697"/>
      <c r="AY806" s="1697"/>
      <c r="AZ806" s="1697"/>
      <c r="BA806" s="1697"/>
      <c r="BB806" s="1697"/>
      <c r="BC806" s="1697"/>
      <c r="BD806" s="1697"/>
      <c r="BE806" s="1697"/>
      <c r="BF806" s="1697"/>
      <c r="BG806" s="1697"/>
      <c r="BH806" s="1697"/>
      <c r="BI806" s="1697"/>
      <c r="BJ806" s="1697"/>
      <c r="BK806" s="1697"/>
      <c r="BL806" s="1697"/>
      <c r="BM806" s="1697"/>
      <c r="BN806" s="1697"/>
      <c r="BO806" s="1697"/>
      <c r="BP806" s="1697"/>
      <c r="BQ806" s="1697"/>
      <c r="BR806" s="1697"/>
      <c r="BS806" s="1697"/>
      <c r="BT806" s="1697"/>
      <c r="BU806" s="1697"/>
      <c r="BV806" s="1697"/>
      <c r="BW806" s="1697"/>
      <c r="BX806" s="1697"/>
      <c r="BY806" s="1697"/>
      <c r="BZ806" s="1697"/>
      <c r="CA806" s="1697"/>
      <c r="CB806" s="1697"/>
      <c r="CC806" s="1697"/>
      <c r="CD806" s="1697"/>
      <c r="CE806" s="1697"/>
      <c r="CF806" s="1697"/>
      <c r="CG806" s="1697"/>
      <c r="CH806" s="1697"/>
      <c r="CI806" s="1697"/>
      <c r="CJ806" s="1697"/>
      <c r="CK806" s="1697"/>
      <c r="CL806" s="1697"/>
      <c r="CM806" s="1697"/>
      <c r="CN806" s="1697"/>
      <c r="CO806" s="1697"/>
      <c r="CP806" s="1697"/>
      <c r="CQ806" s="1697"/>
      <c r="CR806" s="1697"/>
      <c r="CS806" s="1697"/>
      <c r="CT806" s="1697"/>
      <c r="CU806" s="1697"/>
      <c r="CV806" s="1697"/>
      <c r="CW806" s="1697"/>
      <c r="CX806" s="1697"/>
      <c r="CY806" s="1697"/>
      <c r="CZ806" s="1697"/>
      <c r="DA806" s="1697"/>
      <c r="DB806" s="1697"/>
      <c r="DC806" s="1697"/>
      <c r="DD806" s="1697"/>
      <c r="DE806" s="1697"/>
      <c r="DF806" s="1697"/>
      <c r="DG806" s="1697"/>
      <c r="DH806" s="1697"/>
      <c r="DI806" s="1697"/>
      <c r="DJ806" s="1697"/>
      <c r="DK806" s="1697"/>
      <c r="DL806" s="1697"/>
      <c r="DM806" s="1697"/>
      <c r="DN806" s="1697"/>
      <c r="DO806" s="1697"/>
      <c r="DP806" s="1697"/>
      <c r="DQ806" s="1697"/>
      <c r="DR806" s="1697"/>
      <c r="DS806" s="1697"/>
      <c r="DT806" s="1697"/>
      <c r="DU806" s="1697"/>
      <c r="DV806" s="1697"/>
      <c r="DW806" s="1697"/>
      <c r="DX806" s="1697"/>
      <c r="DY806" s="1697"/>
      <c r="DZ806" s="1697"/>
      <c r="EA806" s="1697"/>
      <c r="EB806" s="1697"/>
      <c r="EC806" s="1697"/>
      <c r="ED806" s="1697"/>
      <c r="EE806" s="1697"/>
      <c r="EF806" s="1697"/>
      <c r="EG806" s="1697"/>
      <c r="EH806" s="1697"/>
      <c r="EI806" s="1697"/>
      <c r="EJ806" s="1697"/>
      <c r="EK806" s="1697"/>
      <c r="EL806" s="1697"/>
      <c r="EM806" s="1697"/>
      <c r="EN806" s="1697"/>
      <c r="EO806" s="1697"/>
      <c r="EP806" s="1697"/>
      <c r="EQ806" s="1697"/>
      <c r="ER806" s="1697"/>
      <c r="ES806" s="1697"/>
      <c r="ET806" s="1697"/>
      <c r="EU806" s="1697"/>
      <c r="EV806" s="1697"/>
      <c r="EW806" s="1697"/>
      <c r="EX806" s="1697"/>
      <c r="EY806" s="1697"/>
      <c r="EZ806" s="1697"/>
      <c r="FA806" s="1697"/>
      <c r="FB806" s="1697"/>
      <c r="FC806" s="1697"/>
      <c r="FD806" s="1697"/>
      <c r="FE806" s="1697"/>
      <c r="FF806" s="1697"/>
      <c r="FG806" s="1697"/>
      <c r="FH806" s="1697"/>
      <c r="FI806" s="1697"/>
    </row>
    <row r="807" spans="1:165">
      <c r="A807" s="1697"/>
      <c r="B807" s="1697"/>
      <c r="C807" s="1697"/>
      <c r="D807" s="1697"/>
      <c r="E807" s="1697"/>
      <c r="F807" s="1697"/>
      <c r="G807" s="1697"/>
      <c r="H807" s="1697"/>
      <c r="I807" s="1697"/>
      <c r="J807" s="1697"/>
      <c r="K807" s="1697"/>
      <c r="L807" s="1697"/>
      <c r="M807" s="1697"/>
      <c r="N807" s="1697"/>
      <c r="O807" s="1697"/>
      <c r="P807" s="1697"/>
      <c r="Q807" s="1697"/>
      <c r="R807" s="1697"/>
      <c r="S807" s="1697"/>
      <c r="T807" s="1697"/>
      <c r="U807" s="1697"/>
      <c r="V807" s="1697"/>
      <c r="W807" s="1697"/>
      <c r="X807" s="1697"/>
      <c r="Y807" s="1697"/>
      <c r="Z807" s="1697"/>
      <c r="AA807" s="1697"/>
      <c r="AB807" s="1697"/>
      <c r="AC807" s="1697"/>
      <c r="AD807" s="1697"/>
      <c r="AE807" s="1697"/>
      <c r="AF807" s="1697"/>
      <c r="AG807" s="1697"/>
      <c r="AH807" s="1697"/>
      <c r="AI807" s="1697"/>
      <c r="AJ807" s="1697"/>
      <c r="AK807" s="1697"/>
      <c r="AL807" s="1697"/>
      <c r="AM807" s="1697"/>
      <c r="AN807" s="1697"/>
      <c r="AO807" s="1697"/>
      <c r="AP807" s="1697"/>
      <c r="AQ807" s="1697"/>
      <c r="AR807" s="1697"/>
      <c r="AS807" s="1697"/>
      <c r="AT807" s="1697"/>
      <c r="AU807" s="1697"/>
      <c r="AV807" s="1697"/>
      <c r="AW807" s="1697"/>
      <c r="AX807" s="1697"/>
      <c r="AY807" s="1697"/>
      <c r="AZ807" s="1697"/>
      <c r="BA807" s="1697"/>
      <c r="BB807" s="1697"/>
      <c r="BC807" s="1697"/>
      <c r="BD807" s="1697"/>
      <c r="BE807" s="1697"/>
      <c r="BF807" s="1697"/>
      <c r="BG807" s="1697"/>
      <c r="BH807" s="1697"/>
      <c r="BI807" s="1697"/>
      <c r="BJ807" s="1697"/>
      <c r="BK807" s="1697"/>
      <c r="BL807" s="1697"/>
      <c r="BM807" s="1697"/>
      <c r="BN807" s="1697"/>
      <c r="BO807" s="1697"/>
      <c r="BP807" s="1697"/>
      <c r="BQ807" s="1697"/>
      <c r="BR807" s="1697"/>
      <c r="BS807" s="1697"/>
      <c r="BT807" s="1697"/>
      <c r="BU807" s="1697"/>
      <c r="BV807" s="1697"/>
      <c r="BW807" s="1697"/>
      <c r="BX807" s="1697"/>
      <c r="BY807" s="1697"/>
      <c r="BZ807" s="1697"/>
      <c r="CA807" s="1697"/>
      <c r="CB807" s="1697"/>
      <c r="CC807" s="1697"/>
      <c r="CD807" s="1697"/>
      <c r="CE807" s="1697"/>
      <c r="CF807" s="1697"/>
      <c r="CG807" s="1697"/>
      <c r="CH807" s="1697"/>
      <c r="CI807" s="1697"/>
      <c r="CJ807" s="1697"/>
      <c r="CK807" s="1697"/>
      <c r="CL807" s="1697"/>
      <c r="CM807" s="1697"/>
      <c r="CN807" s="1697"/>
      <c r="CO807" s="1697"/>
      <c r="CP807" s="1697"/>
      <c r="CQ807" s="1697"/>
      <c r="CR807" s="1697"/>
      <c r="CS807" s="1697"/>
      <c r="CT807" s="1697"/>
      <c r="CU807" s="1697"/>
      <c r="CV807" s="1697"/>
      <c r="CW807" s="1697"/>
      <c r="CX807" s="1697"/>
      <c r="CY807" s="1697"/>
      <c r="CZ807" s="1697"/>
      <c r="DA807" s="1697"/>
      <c r="DB807" s="1697"/>
      <c r="DC807" s="1697"/>
      <c r="DD807" s="1697"/>
      <c r="DE807" s="1697"/>
      <c r="DF807" s="1697"/>
      <c r="DG807" s="1697"/>
      <c r="DH807" s="1697"/>
      <c r="DI807" s="1697"/>
      <c r="DJ807" s="1697"/>
      <c r="DK807" s="1697"/>
      <c r="DL807" s="1697"/>
      <c r="DM807" s="1697"/>
      <c r="DN807" s="1697"/>
      <c r="DO807" s="1697"/>
      <c r="DP807" s="1697"/>
      <c r="DQ807" s="1697"/>
      <c r="DR807" s="1697"/>
      <c r="DS807" s="1697"/>
      <c r="DT807" s="1697"/>
      <c r="DU807" s="1697"/>
      <c r="DV807" s="1697"/>
      <c r="DW807" s="1697"/>
      <c r="DX807" s="1697"/>
      <c r="DY807" s="1697"/>
      <c r="DZ807" s="1697"/>
      <c r="EA807" s="1697"/>
      <c r="EB807" s="1697"/>
      <c r="EC807" s="1697"/>
      <c r="ED807" s="1697"/>
      <c r="EE807" s="1697"/>
      <c r="EF807" s="1697"/>
      <c r="EG807" s="1697"/>
      <c r="EH807" s="1697"/>
      <c r="EI807" s="1697"/>
      <c r="EJ807" s="1697"/>
      <c r="EK807" s="1697"/>
      <c r="EL807" s="1697"/>
      <c r="EM807" s="1697"/>
      <c r="EN807" s="1697"/>
      <c r="EO807" s="1697"/>
      <c r="EP807" s="1697"/>
      <c r="EQ807" s="1697"/>
      <c r="ER807" s="1697"/>
      <c r="ES807" s="1697"/>
      <c r="ET807" s="1697"/>
      <c r="EU807" s="1697"/>
      <c r="EV807" s="1697"/>
      <c r="EW807" s="1697"/>
      <c r="EX807" s="1697"/>
      <c r="EY807" s="1697"/>
      <c r="EZ807" s="1697"/>
      <c r="FA807" s="1697"/>
      <c r="FB807" s="1697"/>
      <c r="FC807" s="1697"/>
      <c r="FD807" s="1697"/>
      <c r="FE807" s="1697"/>
      <c r="FF807" s="1697"/>
      <c r="FG807" s="1697"/>
      <c r="FH807" s="1697"/>
      <c r="FI807" s="1697"/>
    </row>
    <row r="808" spans="1:165">
      <c r="A808" s="1697"/>
      <c r="B808" s="1697"/>
      <c r="C808" s="1697"/>
      <c r="D808" s="1697"/>
      <c r="E808" s="1697"/>
      <c r="F808" s="1697"/>
      <c r="G808" s="1697"/>
      <c r="H808" s="1697"/>
      <c r="I808" s="1697"/>
      <c r="J808" s="1697"/>
      <c r="K808" s="1697"/>
      <c r="L808" s="1697"/>
      <c r="M808" s="1697"/>
      <c r="N808" s="1697"/>
      <c r="O808" s="1697"/>
      <c r="P808" s="1697"/>
      <c r="Q808" s="1697"/>
      <c r="R808" s="1697"/>
      <c r="S808" s="1697"/>
      <c r="T808" s="1697"/>
      <c r="U808" s="1697"/>
      <c r="V808" s="1697"/>
      <c r="W808" s="1697"/>
      <c r="X808" s="1697"/>
      <c r="Y808" s="1697"/>
      <c r="Z808" s="1697"/>
      <c r="AA808" s="1697"/>
      <c r="AB808" s="1697"/>
      <c r="AC808" s="1697"/>
      <c r="AD808" s="1697"/>
      <c r="AE808" s="1697"/>
      <c r="AF808" s="1697"/>
      <c r="AG808" s="1697"/>
      <c r="AH808" s="1697"/>
      <c r="AI808" s="1697"/>
      <c r="AJ808" s="1697"/>
      <c r="AK808" s="1697"/>
      <c r="AL808" s="1697"/>
      <c r="AM808" s="1697"/>
      <c r="AN808" s="1697"/>
      <c r="AO808" s="1697"/>
      <c r="AP808" s="1697"/>
      <c r="AQ808" s="1697"/>
      <c r="AR808" s="1697"/>
      <c r="AS808" s="1697"/>
      <c r="AT808" s="1697"/>
      <c r="AU808" s="1697"/>
      <c r="AV808" s="1697"/>
      <c r="AW808" s="1697"/>
      <c r="AX808" s="1697"/>
      <c r="AY808" s="1697"/>
      <c r="AZ808" s="1697"/>
      <c r="BA808" s="1697"/>
      <c r="BB808" s="1697"/>
      <c r="BC808" s="1697"/>
      <c r="BD808" s="1697"/>
      <c r="BE808" s="1697"/>
      <c r="BF808" s="1697"/>
      <c r="BG808" s="1697"/>
      <c r="BH808" s="1697"/>
      <c r="BI808" s="1697"/>
      <c r="BJ808" s="1697"/>
      <c r="BK808" s="1697"/>
      <c r="BL808" s="1697"/>
      <c r="BM808" s="1697"/>
      <c r="BN808" s="1697"/>
      <c r="BO808" s="1697"/>
      <c r="BP808" s="1697"/>
      <c r="BQ808" s="1697"/>
      <c r="BR808" s="1697"/>
      <c r="BS808" s="1697"/>
      <c r="BT808" s="1697"/>
      <c r="BU808" s="1697"/>
      <c r="BV808" s="1697"/>
      <c r="BW808" s="1697"/>
      <c r="BX808" s="1697"/>
      <c r="BY808" s="1697"/>
      <c r="BZ808" s="1697"/>
      <c r="CA808" s="1697"/>
      <c r="CB808" s="1697"/>
      <c r="CC808" s="1697"/>
      <c r="CD808" s="1697"/>
      <c r="CE808" s="1697"/>
      <c r="CF808" s="1697"/>
      <c r="CG808" s="1697"/>
      <c r="CH808" s="1697"/>
      <c r="CI808" s="1697"/>
      <c r="CJ808" s="1697"/>
      <c r="CK808" s="1697"/>
      <c r="CL808" s="1697"/>
      <c r="CM808" s="1697"/>
      <c r="CN808" s="1697"/>
      <c r="CO808" s="1697"/>
      <c r="CP808" s="1697"/>
      <c r="CQ808" s="1697"/>
      <c r="CR808" s="1697"/>
      <c r="CS808" s="1697"/>
      <c r="CT808" s="1697"/>
      <c r="CU808" s="1697"/>
      <c r="CV808" s="1697"/>
      <c r="CW808" s="1697"/>
      <c r="CX808" s="1697"/>
      <c r="CY808" s="1697"/>
      <c r="CZ808" s="1697"/>
      <c r="DA808" s="1697"/>
      <c r="DB808" s="1697"/>
      <c r="DC808" s="1697"/>
      <c r="DD808" s="1697"/>
      <c r="DE808" s="1697"/>
      <c r="DF808" s="1697"/>
      <c r="DG808" s="1697"/>
      <c r="DH808" s="1697"/>
      <c r="DI808" s="1697"/>
      <c r="DJ808" s="1697"/>
      <c r="DK808" s="1697"/>
      <c r="DL808" s="1697"/>
      <c r="DM808" s="1697"/>
      <c r="DN808" s="1697"/>
      <c r="DO808" s="1697"/>
      <c r="DP808" s="1697"/>
      <c r="DQ808" s="1697"/>
      <c r="DR808" s="1697"/>
      <c r="DS808" s="1697"/>
      <c r="DT808" s="1697"/>
      <c r="DU808" s="1697"/>
      <c r="DV808" s="1697"/>
      <c r="DW808" s="1697"/>
      <c r="DX808" s="1697"/>
      <c r="DY808" s="1697"/>
      <c r="DZ808" s="1697"/>
      <c r="EA808" s="1697"/>
      <c r="EB808" s="1697"/>
      <c r="EC808" s="1697"/>
      <c r="ED808" s="1697"/>
      <c r="EE808" s="1697"/>
      <c r="EF808" s="1697"/>
      <c r="EG808" s="1697"/>
      <c r="EH808" s="1697"/>
      <c r="EI808" s="1697"/>
      <c r="EJ808" s="1697"/>
      <c r="EK808" s="1697"/>
      <c r="EL808" s="1697"/>
      <c r="EM808" s="1697"/>
      <c r="EN808" s="1697"/>
      <c r="EO808" s="1697"/>
      <c r="EP808" s="1697"/>
      <c r="EQ808" s="1697"/>
      <c r="ER808" s="1697"/>
      <c r="ES808" s="1697"/>
      <c r="ET808" s="1697"/>
      <c r="EU808" s="1697"/>
      <c r="EV808" s="1697"/>
      <c r="EW808" s="1697"/>
      <c r="EX808" s="1697"/>
      <c r="EY808" s="1697"/>
      <c r="EZ808" s="1697"/>
      <c r="FA808" s="1697"/>
      <c r="FB808" s="1697"/>
      <c r="FC808" s="1697"/>
      <c r="FD808" s="1697"/>
      <c r="FE808" s="1697"/>
      <c r="FF808" s="1697"/>
      <c r="FG808" s="1697"/>
      <c r="FH808" s="1697"/>
      <c r="FI808" s="1697"/>
    </row>
    <row r="809" spans="1:165">
      <c r="A809" s="1697"/>
      <c r="B809" s="1697"/>
      <c r="C809" s="1697"/>
      <c r="D809" s="1697"/>
      <c r="E809" s="1697"/>
      <c r="F809" s="1697"/>
      <c r="G809" s="1697"/>
      <c r="H809" s="1697"/>
      <c r="I809" s="1697"/>
      <c r="J809" s="1697"/>
      <c r="K809" s="1697"/>
      <c r="L809" s="1697"/>
      <c r="M809" s="1697"/>
      <c r="N809" s="1697"/>
      <c r="O809" s="1697"/>
      <c r="P809" s="1697"/>
      <c r="Q809" s="1697"/>
      <c r="R809" s="1697"/>
      <c r="S809" s="1697"/>
      <c r="T809" s="1697"/>
      <c r="U809" s="1697"/>
      <c r="V809" s="1697"/>
      <c r="W809" s="1697"/>
      <c r="X809" s="1697"/>
      <c r="Y809" s="1697"/>
      <c r="Z809" s="1697"/>
      <c r="AA809" s="1697"/>
      <c r="AB809" s="1697"/>
      <c r="AC809" s="1697"/>
      <c r="AD809" s="1697"/>
      <c r="AE809" s="1697"/>
      <c r="AF809" s="1697"/>
      <c r="AG809" s="1697"/>
      <c r="AH809" s="1697"/>
      <c r="AI809" s="1697"/>
      <c r="AJ809" s="1697"/>
      <c r="AK809" s="1697"/>
      <c r="AL809" s="1697"/>
      <c r="AM809" s="1697"/>
      <c r="AN809" s="1697"/>
      <c r="AO809" s="1697"/>
      <c r="AP809" s="1697"/>
      <c r="AQ809" s="1697"/>
      <c r="AR809" s="1697"/>
      <c r="AS809" s="1697"/>
      <c r="AT809" s="1697"/>
      <c r="AU809" s="1697"/>
      <c r="AV809" s="1697"/>
      <c r="AW809" s="1697"/>
      <c r="AX809" s="1697"/>
      <c r="AY809" s="1697"/>
      <c r="AZ809" s="1697"/>
      <c r="BA809" s="1697"/>
      <c r="BB809" s="1697"/>
      <c r="BC809" s="1697"/>
      <c r="BD809" s="1697"/>
      <c r="BE809" s="1697"/>
      <c r="BF809" s="1697"/>
      <c r="BG809" s="1697"/>
      <c r="BH809" s="1697"/>
      <c r="BI809" s="1697"/>
      <c r="BJ809" s="1697"/>
      <c r="BK809" s="1697"/>
      <c r="BL809" s="1697"/>
      <c r="BM809" s="1697"/>
      <c r="BN809" s="1697"/>
      <c r="BO809" s="1697"/>
      <c r="BP809" s="1697"/>
      <c r="BQ809" s="1697"/>
      <c r="BR809" s="1697"/>
      <c r="BS809" s="1697"/>
      <c r="BT809" s="1697"/>
      <c r="BU809" s="1697"/>
      <c r="BV809" s="1697"/>
      <c r="BW809" s="1697"/>
      <c r="BX809" s="1697"/>
      <c r="BY809" s="1697"/>
      <c r="BZ809" s="1697"/>
      <c r="CA809" s="1697"/>
      <c r="CB809" s="1697"/>
      <c r="CC809" s="1697"/>
      <c r="CD809" s="1697"/>
      <c r="CE809" s="1697"/>
      <c r="CF809" s="1697"/>
      <c r="CG809" s="1697"/>
      <c r="CH809" s="1697"/>
      <c r="CI809" s="1697"/>
      <c r="CJ809" s="1697"/>
      <c r="CK809" s="1697"/>
      <c r="CL809" s="1697"/>
      <c r="CM809" s="1697"/>
      <c r="CN809" s="1697"/>
      <c r="CO809" s="1697"/>
      <c r="CP809" s="1697"/>
      <c r="CQ809" s="1697"/>
      <c r="CR809" s="1697"/>
      <c r="CS809" s="1697"/>
      <c r="CT809" s="1697"/>
      <c r="CU809" s="1697"/>
      <c r="CV809" s="1697"/>
      <c r="CW809" s="1697"/>
      <c r="CX809" s="1697"/>
      <c r="CY809" s="1697"/>
      <c r="CZ809" s="1697"/>
      <c r="DA809" s="1697"/>
      <c r="DB809" s="1697"/>
      <c r="DC809" s="1697"/>
      <c r="DD809" s="1697"/>
      <c r="DE809" s="1697"/>
      <c r="DF809" s="1697"/>
      <c r="DG809" s="1697"/>
      <c r="DH809" s="1697"/>
      <c r="DI809" s="1697"/>
      <c r="DJ809" s="1697"/>
      <c r="DK809" s="1697"/>
      <c r="DL809" s="1697"/>
      <c r="DM809" s="1697"/>
      <c r="DN809" s="1697"/>
      <c r="DO809" s="1697"/>
      <c r="DP809" s="1697"/>
      <c r="DQ809" s="1697"/>
      <c r="DR809" s="1697"/>
      <c r="DS809" s="1697"/>
      <c r="DT809" s="1697"/>
      <c r="DU809" s="1697"/>
      <c r="DV809" s="1697"/>
      <c r="DW809" s="1697"/>
      <c r="DX809" s="1697"/>
      <c r="DY809" s="1697"/>
      <c r="DZ809" s="1697"/>
      <c r="EA809" s="1697"/>
      <c r="EB809" s="1697"/>
      <c r="EC809" s="1697"/>
      <c r="ED809" s="1697"/>
      <c r="EE809" s="1697"/>
      <c r="EF809" s="1697"/>
      <c r="EG809" s="1697"/>
      <c r="EH809" s="1697"/>
      <c r="EI809" s="1697"/>
      <c r="EJ809" s="1697"/>
      <c r="EK809" s="1697"/>
      <c r="EL809" s="1697"/>
      <c r="EM809" s="1697"/>
      <c r="EN809" s="1697"/>
      <c r="EO809" s="1697"/>
      <c r="EP809" s="1697"/>
      <c r="EQ809" s="1697"/>
      <c r="ER809" s="1697"/>
      <c r="ES809" s="1697"/>
      <c r="ET809" s="1697"/>
      <c r="EU809" s="1697"/>
      <c r="EV809" s="1697"/>
      <c r="EW809" s="1697"/>
      <c r="EX809" s="1697"/>
      <c r="EY809" s="1697"/>
      <c r="EZ809" s="1697"/>
      <c r="FA809" s="1697"/>
      <c r="FB809" s="1697"/>
      <c r="FC809" s="1697"/>
      <c r="FD809" s="1697"/>
      <c r="FE809" s="1697"/>
      <c r="FF809" s="1697"/>
      <c r="FG809" s="1697"/>
      <c r="FH809" s="1697"/>
      <c r="FI809" s="1697"/>
    </row>
    <row r="810" spans="1:165">
      <c r="A810" s="1697"/>
      <c r="B810" s="1697"/>
      <c r="C810" s="1697"/>
      <c r="D810" s="1697"/>
      <c r="E810" s="1697"/>
      <c r="F810" s="1697"/>
      <c r="G810" s="1697"/>
      <c r="H810" s="1697"/>
      <c r="I810" s="1697"/>
      <c r="J810" s="1697"/>
      <c r="K810" s="1697"/>
      <c r="L810" s="1697"/>
      <c r="M810" s="1697"/>
      <c r="N810" s="1697"/>
      <c r="O810" s="1697"/>
      <c r="P810" s="1697"/>
      <c r="Q810" s="1697"/>
      <c r="R810" s="1697"/>
      <c r="S810" s="1697"/>
      <c r="T810" s="1697"/>
      <c r="U810" s="1697"/>
      <c r="V810" s="1697"/>
      <c r="W810" s="1697"/>
      <c r="X810" s="1697"/>
      <c r="Y810" s="1697"/>
      <c r="Z810" s="1697"/>
      <c r="AA810" s="1697"/>
      <c r="AB810" s="1697"/>
      <c r="AC810" s="1697"/>
      <c r="AD810" s="1697"/>
      <c r="AE810" s="1697"/>
      <c r="AF810" s="1697"/>
      <c r="AG810" s="1697"/>
      <c r="AH810" s="1697"/>
      <c r="AI810" s="1697"/>
      <c r="AJ810" s="1697"/>
      <c r="AK810" s="1697"/>
      <c r="AL810" s="1697"/>
      <c r="AM810" s="1697"/>
      <c r="AN810" s="1697"/>
      <c r="AO810" s="1697"/>
      <c r="AP810" s="1697"/>
      <c r="AQ810" s="1697"/>
      <c r="AR810" s="1697"/>
      <c r="AS810" s="1697"/>
      <c r="AT810" s="1697"/>
      <c r="AU810" s="1697"/>
      <c r="AV810" s="1697"/>
      <c r="AW810" s="1697"/>
      <c r="AX810" s="1697"/>
      <c r="AY810" s="1697"/>
      <c r="AZ810" s="1697"/>
      <c r="BA810" s="1697"/>
      <c r="BB810" s="1697"/>
      <c r="BC810" s="1697"/>
      <c r="BD810" s="1697"/>
      <c r="BE810" s="1697"/>
      <c r="BF810" s="1697"/>
      <c r="BG810" s="1697"/>
      <c r="BH810" s="1697"/>
      <c r="BI810" s="1697"/>
      <c r="BJ810" s="1697"/>
      <c r="BK810" s="1697"/>
      <c r="BL810" s="1697"/>
      <c r="BM810" s="1697"/>
      <c r="BN810" s="1697"/>
      <c r="BO810" s="1697"/>
      <c r="BP810" s="1697"/>
      <c r="BQ810" s="1697"/>
      <c r="BR810" s="1697"/>
      <c r="BS810" s="1697"/>
      <c r="BT810" s="1697"/>
      <c r="BU810" s="1697"/>
      <c r="BV810" s="1697"/>
      <c r="BW810" s="1697"/>
      <c r="BX810" s="1697"/>
      <c r="BY810" s="1697"/>
      <c r="BZ810" s="1697"/>
      <c r="CA810" s="1697"/>
      <c r="CB810" s="1697"/>
      <c r="CC810" s="1697"/>
      <c r="CD810" s="1697"/>
      <c r="CE810" s="1697"/>
      <c r="CF810" s="1697"/>
      <c r="CG810" s="1697"/>
      <c r="CH810" s="1697"/>
      <c r="CI810" s="1697"/>
      <c r="CJ810" s="1697"/>
      <c r="CK810" s="1697"/>
      <c r="CL810" s="1697"/>
      <c r="CM810" s="1697"/>
      <c r="CN810" s="1697"/>
      <c r="CO810" s="1697"/>
      <c r="CP810" s="1697"/>
      <c r="CQ810" s="1697"/>
      <c r="CR810" s="1697"/>
      <c r="CS810" s="1697"/>
      <c r="CT810" s="1697"/>
      <c r="CU810" s="1697"/>
      <c r="CV810" s="1697"/>
      <c r="CW810" s="1697"/>
      <c r="CX810" s="1697"/>
      <c r="CY810" s="1697"/>
      <c r="CZ810" s="1697"/>
      <c r="DA810" s="1697"/>
      <c r="DB810" s="1697"/>
      <c r="DC810" s="1697"/>
      <c r="DD810" s="1697"/>
      <c r="DE810" s="1697"/>
      <c r="DF810" s="1697"/>
      <c r="DG810" s="1697"/>
      <c r="DH810" s="1697"/>
      <c r="DI810" s="1697"/>
      <c r="DJ810" s="1697"/>
      <c r="DK810" s="1697"/>
      <c r="DL810" s="1697"/>
      <c r="DM810" s="1697"/>
      <c r="DN810" s="1697"/>
      <c r="DO810" s="1697"/>
      <c r="DP810" s="1697"/>
      <c r="DQ810" s="1697"/>
      <c r="DR810" s="1697"/>
      <c r="DS810" s="1697"/>
      <c r="DT810" s="1697"/>
      <c r="DU810" s="1697"/>
      <c r="DV810" s="1697"/>
      <c r="DW810" s="1697"/>
      <c r="DX810" s="1697"/>
      <c r="DY810" s="1697"/>
      <c r="DZ810" s="1697"/>
      <c r="EA810" s="1697"/>
      <c r="EB810" s="1697"/>
      <c r="EC810" s="1697"/>
      <c r="ED810" s="1697"/>
      <c r="EE810" s="1697"/>
      <c r="EF810" s="1697"/>
      <c r="EG810" s="1697"/>
      <c r="EH810" s="1697"/>
      <c r="EI810" s="1697"/>
      <c r="EJ810" s="1697"/>
      <c r="EK810" s="1697"/>
      <c r="EL810" s="1697"/>
      <c r="EM810" s="1697"/>
      <c r="EN810" s="1697"/>
      <c r="EO810" s="1697"/>
      <c r="EP810" s="1697"/>
      <c r="EQ810" s="1697"/>
      <c r="ER810" s="1697"/>
      <c r="ES810" s="1697"/>
      <c r="ET810" s="1697"/>
      <c r="EU810" s="1697"/>
      <c r="EV810" s="1697"/>
      <c r="EW810" s="1697"/>
      <c r="EX810" s="1697"/>
      <c r="EY810" s="1697"/>
      <c r="EZ810" s="1697"/>
      <c r="FA810" s="1697"/>
      <c r="FB810" s="1697"/>
      <c r="FC810" s="1697"/>
      <c r="FD810" s="1697"/>
      <c r="FE810" s="1697"/>
      <c r="FF810" s="1697"/>
      <c r="FG810" s="1697"/>
      <c r="FH810" s="1697"/>
      <c r="FI810" s="1697"/>
    </row>
    <row r="811" spans="1:165">
      <c r="A811" s="1697"/>
      <c r="B811" s="1697"/>
      <c r="C811" s="1697"/>
      <c r="D811" s="1697"/>
      <c r="E811" s="1697"/>
      <c r="F811" s="1697"/>
      <c r="G811" s="1697"/>
      <c r="H811" s="1697"/>
      <c r="I811" s="1697"/>
      <c r="J811" s="1697"/>
      <c r="K811" s="1697"/>
      <c r="L811" s="1697"/>
      <c r="M811" s="1697"/>
      <c r="N811" s="1697"/>
      <c r="O811" s="1697"/>
      <c r="P811" s="1697"/>
      <c r="Q811" s="1697"/>
      <c r="R811" s="1697"/>
      <c r="S811" s="1697"/>
      <c r="T811" s="1697"/>
      <c r="U811" s="1697"/>
      <c r="V811" s="1697"/>
      <c r="W811" s="1697"/>
      <c r="X811" s="1697"/>
      <c r="Y811" s="1697"/>
      <c r="Z811" s="1697"/>
      <c r="AA811" s="1697"/>
      <c r="AB811" s="1697"/>
      <c r="AC811" s="1697"/>
      <c r="AD811" s="1697"/>
      <c r="AE811" s="1697"/>
      <c r="AF811" s="1697"/>
      <c r="AG811" s="1697"/>
      <c r="AH811" s="1697"/>
      <c r="AI811" s="1697"/>
      <c r="AJ811" s="1697"/>
      <c r="AK811" s="1697"/>
      <c r="AL811" s="1697"/>
      <c r="AM811" s="1697"/>
      <c r="AN811" s="1697"/>
      <c r="AO811" s="1697"/>
      <c r="AP811" s="1697"/>
      <c r="AQ811" s="1697"/>
      <c r="AR811" s="1697"/>
      <c r="AS811" s="1697"/>
      <c r="AT811" s="1697"/>
      <c r="AU811" s="1697"/>
      <c r="AV811" s="1697"/>
      <c r="AW811" s="1697"/>
      <c r="AX811" s="1697"/>
      <c r="AY811" s="1697"/>
      <c r="AZ811" s="1697"/>
      <c r="BA811" s="1697"/>
      <c r="BB811" s="1697"/>
      <c r="BC811" s="1697"/>
      <c r="BD811" s="1697"/>
      <c r="BE811" s="1697"/>
      <c r="BF811" s="1697"/>
      <c r="BG811" s="1697"/>
      <c r="BH811" s="1697"/>
      <c r="BI811" s="1697"/>
      <c r="BJ811" s="1697"/>
      <c r="BK811" s="1697"/>
      <c r="BL811" s="1697"/>
      <c r="BM811" s="1697"/>
      <c r="BN811" s="1697"/>
      <c r="BO811" s="1697"/>
      <c r="BP811" s="1697"/>
      <c r="BQ811" s="1697"/>
      <c r="BR811" s="1697"/>
      <c r="BS811" s="1697"/>
      <c r="BT811" s="1697"/>
      <c r="BU811" s="1697"/>
      <c r="BV811" s="1697"/>
      <c r="BW811" s="1697"/>
      <c r="BX811" s="1697"/>
      <c r="BY811" s="1697"/>
      <c r="BZ811" s="1697"/>
      <c r="CA811" s="1697"/>
      <c r="CB811" s="1697"/>
      <c r="CC811" s="1697"/>
      <c r="CD811" s="1697"/>
      <c r="CE811" s="1697"/>
      <c r="CF811" s="1697"/>
      <c r="CG811" s="1697"/>
      <c r="CH811" s="1697"/>
      <c r="CI811" s="1697"/>
      <c r="CJ811" s="1697"/>
      <c r="CK811" s="1697"/>
      <c r="CL811" s="1697"/>
      <c r="CM811" s="1697"/>
      <c r="CN811" s="1697"/>
      <c r="CO811" s="1697"/>
      <c r="CP811" s="1697"/>
      <c r="CQ811" s="1697"/>
      <c r="CR811" s="1697"/>
      <c r="CS811" s="1697"/>
      <c r="CT811" s="1697"/>
      <c r="CU811" s="1697"/>
      <c r="CV811" s="1697"/>
      <c r="CW811" s="1697"/>
      <c r="CX811" s="1697"/>
      <c r="CY811" s="1697"/>
      <c r="CZ811" s="1697"/>
      <c r="DA811" s="1697"/>
      <c r="DB811" s="1697"/>
      <c r="DC811" s="1697"/>
      <c r="DD811" s="1697"/>
      <c r="DE811" s="1697"/>
      <c r="DF811" s="1697"/>
      <c r="DG811" s="1697"/>
      <c r="DH811" s="1697"/>
      <c r="DI811" s="1697"/>
      <c r="DJ811" s="1697"/>
      <c r="DK811" s="1697"/>
      <c r="DL811" s="1697"/>
      <c r="DM811" s="1697"/>
      <c r="DN811" s="1697"/>
      <c r="DO811" s="1697"/>
      <c r="DP811" s="1697"/>
      <c r="DQ811" s="1697"/>
      <c r="DR811" s="1697"/>
      <c r="DS811" s="1697"/>
      <c r="DT811" s="1697"/>
      <c r="DU811" s="1697"/>
      <c r="DV811" s="1697"/>
      <c r="DW811" s="1697"/>
      <c r="DX811" s="1697"/>
      <c r="DY811" s="1697"/>
      <c r="DZ811" s="1697"/>
      <c r="EA811" s="1697"/>
      <c r="EB811" s="1697"/>
      <c r="EC811" s="1697"/>
      <c r="ED811" s="1697"/>
      <c r="EE811" s="1697"/>
      <c r="EF811" s="1697"/>
      <c r="EG811" s="1697"/>
      <c r="EH811" s="1697"/>
      <c r="EI811" s="1697"/>
      <c r="EJ811" s="1697"/>
      <c r="EK811" s="1697"/>
      <c r="EL811" s="1697"/>
      <c r="EM811" s="1697"/>
      <c r="EN811" s="1697"/>
      <c r="EO811" s="1697"/>
      <c r="EP811" s="1697"/>
      <c r="EQ811" s="1697"/>
      <c r="ER811" s="1697"/>
      <c r="ES811" s="1697"/>
      <c r="ET811" s="1697"/>
      <c r="EU811" s="1697"/>
      <c r="EV811" s="1697"/>
      <c r="EW811" s="1697"/>
      <c r="EX811" s="1697"/>
      <c r="EY811" s="1697"/>
      <c r="EZ811" s="1697"/>
      <c r="FA811" s="1697"/>
      <c r="FB811" s="1697"/>
      <c r="FC811" s="1697"/>
      <c r="FD811" s="1697"/>
      <c r="FE811" s="1697"/>
      <c r="FF811" s="1697"/>
      <c r="FG811" s="1697"/>
      <c r="FH811" s="1697"/>
      <c r="FI811" s="1697"/>
    </row>
    <row r="812" spans="1:165">
      <c r="A812" s="1697"/>
      <c r="B812" s="1697"/>
      <c r="C812" s="1697"/>
      <c r="D812" s="1697"/>
      <c r="E812" s="1697"/>
      <c r="F812" s="1697"/>
      <c r="G812" s="1697"/>
      <c r="H812" s="1697"/>
      <c r="I812" s="1697"/>
      <c r="J812" s="1697"/>
      <c r="K812" s="1697"/>
      <c r="L812" s="1697"/>
      <c r="M812" s="1697"/>
      <c r="N812" s="1697"/>
      <c r="O812" s="1697"/>
      <c r="P812" s="1697"/>
      <c r="Q812" s="1697"/>
      <c r="R812" s="1697"/>
      <c r="S812" s="1697"/>
      <c r="T812" s="1697"/>
      <c r="U812" s="1697"/>
      <c r="V812" s="1697"/>
      <c r="W812" s="1697"/>
      <c r="X812" s="1697"/>
      <c r="Y812" s="1697"/>
      <c r="Z812" s="1697"/>
      <c r="AA812" s="1697"/>
      <c r="AB812" s="1697"/>
      <c r="AC812" s="1697"/>
      <c r="AD812" s="1697"/>
      <c r="AE812" s="1697"/>
      <c r="AF812" s="1697"/>
      <c r="AG812" s="1697"/>
      <c r="AH812" s="1697"/>
      <c r="AI812" s="1697"/>
      <c r="AJ812" s="1697"/>
      <c r="AK812" s="1697"/>
      <c r="AL812" s="1697"/>
      <c r="AM812" s="1697"/>
      <c r="AN812" s="1697"/>
      <c r="AO812" s="1697"/>
      <c r="AP812" s="1697"/>
      <c r="AQ812" s="1697"/>
      <c r="AR812" s="1697"/>
      <c r="AS812" s="1697"/>
      <c r="AT812" s="1697"/>
      <c r="AU812" s="1697"/>
      <c r="AV812" s="1697"/>
      <c r="AW812" s="1697"/>
      <c r="AX812" s="1697"/>
      <c r="AY812" s="1697"/>
      <c r="AZ812" s="1697"/>
      <c r="BA812" s="1697"/>
      <c r="BB812" s="1697"/>
      <c r="BC812" s="1697"/>
      <c r="BD812" s="1697"/>
      <c r="BE812" s="1697"/>
      <c r="BF812" s="1697"/>
      <c r="BG812" s="1697"/>
      <c r="BH812" s="1697"/>
      <c r="BI812" s="1697"/>
      <c r="BJ812" s="1697"/>
      <c r="BK812" s="1697"/>
      <c r="BL812" s="1697"/>
      <c r="BM812" s="1697"/>
      <c r="BN812" s="1697"/>
      <c r="BO812" s="1697"/>
      <c r="BP812" s="1697"/>
      <c r="BQ812" s="1697"/>
      <c r="BR812" s="1697"/>
      <c r="BS812" s="1697"/>
      <c r="BT812" s="1697"/>
      <c r="BU812" s="1697"/>
      <c r="BV812" s="1697"/>
      <c r="BW812" s="1697"/>
      <c r="BX812" s="1697"/>
      <c r="BY812" s="1697"/>
      <c r="BZ812" s="1697"/>
      <c r="CA812" s="1697"/>
      <c r="CB812" s="1697"/>
      <c r="CC812" s="1697"/>
      <c r="CD812" s="1697"/>
      <c r="CE812" s="1697"/>
      <c r="CF812" s="1697"/>
      <c r="CG812" s="1697"/>
      <c r="CH812" s="1697"/>
      <c r="CI812" s="1697"/>
      <c r="CJ812" s="1697"/>
      <c r="CK812" s="1697"/>
      <c r="CL812" s="1697"/>
      <c r="CM812" s="1697"/>
      <c r="CN812" s="1697"/>
      <c r="CO812" s="1697"/>
      <c r="CP812" s="1697"/>
      <c r="CQ812" s="1697"/>
      <c r="CR812" s="1697"/>
      <c r="CS812" s="1697"/>
      <c r="CT812" s="1697"/>
      <c r="CU812" s="1697"/>
      <c r="CV812" s="1697"/>
      <c r="CW812" s="1697"/>
      <c r="CX812" s="1697"/>
      <c r="CY812" s="1697"/>
      <c r="CZ812" s="1697"/>
      <c r="DA812" s="1697"/>
      <c r="DB812" s="1697"/>
      <c r="DC812" s="1697"/>
      <c r="DD812" s="1697"/>
      <c r="DE812" s="1697"/>
      <c r="DF812" s="1697"/>
      <c r="DG812" s="1697"/>
      <c r="DH812" s="1697"/>
      <c r="DI812" s="1697"/>
      <c r="DJ812" s="1697"/>
      <c r="DK812" s="1697"/>
      <c r="DL812" s="1697"/>
      <c r="DM812" s="1697"/>
      <c r="DN812" s="1697"/>
      <c r="DO812" s="1697"/>
      <c r="DP812" s="1697"/>
      <c r="DQ812" s="1697"/>
      <c r="DR812" s="1697"/>
      <c r="DS812" s="1697"/>
      <c r="DT812" s="1697"/>
      <c r="DU812" s="1697"/>
      <c r="DV812" s="1697"/>
      <c r="DW812" s="1697"/>
      <c r="DX812" s="1697"/>
      <c r="DY812" s="1697"/>
      <c r="DZ812" s="1697"/>
      <c r="EA812" s="1697"/>
      <c r="EB812" s="1697"/>
      <c r="EC812" s="1697"/>
      <c r="ED812" s="1697"/>
      <c r="EE812" s="1697"/>
      <c r="EF812" s="1697"/>
      <c r="EG812" s="1697"/>
      <c r="EH812" s="1697"/>
      <c r="EI812" s="1697"/>
      <c r="EJ812" s="1697"/>
      <c r="EK812" s="1697"/>
      <c r="EL812" s="1697"/>
      <c r="EM812" s="1697"/>
      <c r="EN812" s="1697"/>
      <c r="EO812" s="1697"/>
      <c r="EP812" s="1697"/>
      <c r="EQ812" s="1697"/>
      <c r="ER812" s="1697"/>
      <c r="ES812" s="1697"/>
      <c r="ET812" s="1697"/>
      <c r="EU812" s="1697"/>
      <c r="EV812" s="1697"/>
      <c r="EW812" s="1697"/>
      <c r="EX812" s="1697"/>
      <c r="EY812" s="1697"/>
      <c r="EZ812" s="1697"/>
      <c r="FA812" s="1697"/>
      <c r="FB812" s="1697"/>
      <c r="FC812" s="1697"/>
      <c r="FD812" s="1697"/>
      <c r="FE812" s="1697"/>
      <c r="FF812" s="1697"/>
      <c r="FG812" s="1697"/>
      <c r="FH812" s="1697"/>
      <c r="FI812" s="1697"/>
    </row>
    <row r="813" spans="1:165">
      <c r="A813" s="1697"/>
      <c r="B813" s="1697"/>
      <c r="C813" s="1697"/>
      <c r="D813" s="1697"/>
      <c r="E813" s="1697"/>
      <c r="F813" s="1697"/>
      <c r="G813" s="1697"/>
      <c r="H813" s="1697"/>
      <c r="I813" s="1697"/>
      <c r="J813" s="1697"/>
      <c r="K813" s="1697"/>
      <c r="L813" s="1697"/>
      <c r="M813" s="1697"/>
      <c r="N813" s="1697"/>
      <c r="O813" s="1697"/>
      <c r="P813" s="1697"/>
      <c r="Q813" s="1697"/>
      <c r="R813" s="1697"/>
      <c r="S813" s="1697"/>
      <c r="T813" s="1697"/>
      <c r="U813" s="1697"/>
      <c r="V813" s="1697"/>
      <c r="W813" s="1697"/>
      <c r="X813" s="1697"/>
      <c r="Y813" s="1697"/>
      <c r="Z813" s="1697"/>
      <c r="AA813" s="1697"/>
      <c r="AB813" s="1697"/>
      <c r="AC813" s="1697"/>
      <c r="AD813" s="1697"/>
      <c r="AE813" s="1697"/>
      <c r="AF813" s="1697"/>
      <c r="AG813" s="1697"/>
      <c r="AH813" s="1697"/>
      <c r="AI813" s="1697"/>
      <c r="AJ813" s="1697"/>
      <c r="AK813" s="1697"/>
      <c r="AL813" s="1697"/>
      <c r="AM813" s="1697"/>
      <c r="AN813" s="1697"/>
      <c r="AO813" s="1697"/>
      <c r="AP813" s="1697"/>
      <c r="AQ813" s="1697"/>
      <c r="AR813" s="1697"/>
      <c r="AS813" s="1697"/>
      <c r="AT813" s="1697"/>
      <c r="AU813" s="1697"/>
      <c r="AV813" s="1697"/>
      <c r="AW813" s="1697"/>
      <c r="AX813" s="1697"/>
      <c r="AY813" s="1697"/>
      <c r="AZ813" s="1697"/>
      <c r="BA813" s="1697"/>
      <c r="BB813" s="1697"/>
      <c r="BC813" s="1697"/>
      <c r="BD813" s="1697"/>
      <c r="BE813" s="1697"/>
      <c r="BF813" s="1697"/>
      <c r="BG813" s="1697"/>
      <c r="BH813" s="1697"/>
      <c r="BI813" s="1697"/>
      <c r="BJ813" s="1697"/>
      <c r="BK813" s="1697"/>
      <c r="BL813" s="1697"/>
      <c r="BM813" s="1697"/>
      <c r="BN813" s="1697"/>
      <c r="BO813" s="1697"/>
      <c r="BP813" s="1697"/>
      <c r="BQ813" s="1697"/>
      <c r="BR813" s="1697"/>
      <c r="BS813" s="1697"/>
      <c r="BT813" s="1697"/>
      <c r="BU813" s="1697"/>
      <c r="BV813" s="1697"/>
      <c r="BW813" s="1697"/>
      <c r="BX813" s="1697"/>
      <c r="BY813" s="1697"/>
      <c r="BZ813" s="1697"/>
      <c r="CA813" s="1697"/>
      <c r="CB813" s="1697"/>
      <c r="CC813" s="1697"/>
      <c r="CD813" s="1697"/>
      <c r="CE813" s="1697"/>
      <c r="CF813" s="1697"/>
      <c r="CG813" s="1697"/>
      <c r="CH813" s="1697"/>
      <c r="CI813" s="1697"/>
      <c r="CJ813" s="1697"/>
      <c r="CK813" s="1697"/>
      <c r="CL813" s="1697"/>
      <c r="CM813" s="1697"/>
      <c r="CN813" s="1697"/>
      <c r="CO813" s="1697"/>
      <c r="CP813" s="1697"/>
      <c r="CQ813" s="1697"/>
      <c r="CR813" s="1697"/>
      <c r="CS813" s="1697"/>
      <c r="CT813" s="1697"/>
      <c r="CU813" s="1697"/>
      <c r="CV813" s="1697"/>
      <c r="CW813" s="1697"/>
      <c r="CX813" s="1697"/>
      <c r="CY813" s="1697"/>
      <c r="CZ813" s="1697"/>
      <c r="DA813" s="1697"/>
      <c r="DB813" s="1697"/>
      <c r="DC813" s="1697"/>
      <c r="DD813" s="1697"/>
      <c r="DE813" s="1697"/>
      <c r="DF813" s="1697"/>
      <c r="DG813" s="1697"/>
      <c r="DH813" s="1697"/>
      <c r="DI813" s="1697"/>
      <c r="DJ813" s="1697"/>
      <c r="DK813" s="1697"/>
      <c r="DL813" s="1697"/>
      <c r="DM813" s="1697"/>
      <c r="DN813" s="1697"/>
      <c r="DO813" s="1697"/>
      <c r="DP813" s="1697"/>
      <c r="DQ813" s="1697"/>
      <c r="DR813" s="1697"/>
      <c r="DS813" s="1697"/>
      <c r="DT813" s="1697"/>
      <c r="DU813" s="1697"/>
      <c r="DV813" s="1697"/>
      <c r="DW813" s="1697"/>
      <c r="DX813" s="1697"/>
      <c r="DY813" s="1697"/>
      <c r="DZ813" s="1697"/>
      <c r="EA813" s="1697"/>
      <c r="EB813" s="1697"/>
      <c r="EC813" s="1697"/>
      <c r="ED813" s="1697"/>
      <c r="EE813" s="1697"/>
      <c r="EF813" s="1697"/>
      <c r="EG813" s="1697"/>
      <c r="EH813" s="1697"/>
      <c r="EI813" s="1697"/>
      <c r="EJ813" s="1697"/>
      <c r="EK813" s="1697"/>
      <c r="EL813" s="1697"/>
      <c r="EM813" s="1697"/>
      <c r="EN813" s="1697"/>
      <c r="EO813" s="1697"/>
      <c r="EP813" s="1697"/>
      <c r="EQ813" s="1697"/>
      <c r="ER813" s="1697"/>
      <c r="ES813" s="1697"/>
      <c r="ET813" s="1697"/>
      <c r="EU813" s="1697"/>
      <c r="EV813" s="1697"/>
      <c r="EW813" s="1697"/>
      <c r="EX813" s="1697"/>
      <c r="EY813" s="1697"/>
      <c r="EZ813" s="1697"/>
      <c r="FA813" s="1697"/>
      <c r="FB813" s="1697"/>
      <c r="FC813" s="1697"/>
      <c r="FD813" s="1697"/>
      <c r="FE813" s="1697"/>
      <c r="FF813" s="1697"/>
      <c r="FG813" s="1697"/>
      <c r="FH813" s="1697"/>
      <c r="FI813" s="1697"/>
    </row>
    <row r="814" spans="1:165">
      <c r="A814" s="1697"/>
      <c r="B814" s="1697"/>
      <c r="C814" s="1697"/>
      <c r="D814" s="1697"/>
      <c r="E814" s="1697"/>
      <c r="F814" s="1697"/>
      <c r="G814" s="1697"/>
      <c r="H814" s="1697"/>
      <c r="I814" s="1697"/>
      <c r="J814" s="1697"/>
      <c r="K814" s="1697"/>
      <c r="L814" s="1697"/>
      <c r="M814" s="1697"/>
      <c r="N814" s="1697"/>
      <c r="O814" s="1697"/>
      <c r="P814" s="1697"/>
      <c r="Q814" s="1697"/>
      <c r="R814" s="1697"/>
      <c r="S814" s="1697"/>
      <c r="T814" s="1697"/>
      <c r="U814" s="1697"/>
      <c r="V814" s="1697"/>
      <c r="W814" s="1697"/>
      <c r="X814" s="1697"/>
      <c r="Y814" s="1697"/>
      <c r="Z814" s="1697"/>
      <c r="AA814" s="1697"/>
      <c r="AB814" s="1697"/>
      <c r="AC814" s="1697"/>
      <c r="AD814" s="1697"/>
      <c r="AE814" s="1697"/>
      <c r="AF814" s="1697"/>
      <c r="AG814" s="1697"/>
      <c r="AH814" s="1697"/>
      <c r="AI814" s="1697"/>
      <c r="AJ814" s="1697"/>
      <c r="AK814" s="1697"/>
      <c r="AL814" s="1697"/>
      <c r="AM814" s="1697"/>
      <c r="AN814" s="1697"/>
      <c r="AO814" s="1697"/>
      <c r="AP814" s="1697"/>
      <c r="AQ814" s="1697"/>
      <c r="AR814" s="1697"/>
      <c r="AS814" s="1697"/>
      <c r="AT814" s="1697"/>
      <c r="AU814" s="1697"/>
      <c r="AV814" s="1697"/>
      <c r="AW814" s="1697"/>
      <c r="AX814" s="1697"/>
      <c r="AY814" s="1697"/>
      <c r="AZ814" s="1697"/>
      <c r="BA814" s="1697"/>
      <c r="BB814" s="1697"/>
      <c r="BC814" s="1697"/>
      <c r="BD814" s="1697"/>
      <c r="BE814" s="1697"/>
      <c r="BF814" s="1697"/>
      <c r="BG814" s="1697"/>
      <c r="BH814" s="1697"/>
      <c r="BI814" s="1697"/>
      <c r="BJ814" s="1697"/>
      <c r="BK814" s="1697"/>
      <c r="BL814" s="1697"/>
      <c r="BM814" s="1697"/>
      <c r="BN814" s="1697"/>
      <c r="BO814" s="1697"/>
      <c r="BP814" s="1697"/>
      <c r="BQ814" s="1697"/>
      <c r="BR814" s="1697"/>
      <c r="BS814" s="1697"/>
      <c r="BT814" s="1697"/>
      <c r="BU814" s="1697"/>
      <c r="BV814" s="1697"/>
      <c r="BW814" s="1697"/>
      <c r="BX814" s="1697"/>
      <c r="BY814" s="1697"/>
      <c r="BZ814" s="1697"/>
      <c r="CA814" s="1697"/>
      <c r="CB814" s="1697"/>
      <c r="CC814" s="1697"/>
      <c r="CD814" s="1697"/>
      <c r="CE814" s="1697"/>
      <c r="CF814" s="1697"/>
      <c r="CG814" s="1697"/>
      <c r="CH814" s="1697"/>
      <c r="CI814" s="1697"/>
      <c r="CJ814" s="1697"/>
      <c r="CK814" s="1697"/>
      <c r="CL814" s="1697"/>
      <c r="CM814" s="1697"/>
      <c r="CN814" s="1697"/>
      <c r="CO814" s="1697"/>
      <c r="CP814" s="1697"/>
      <c r="CQ814" s="1697"/>
      <c r="CR814" s="1697"/>
      <c r="CS814" s="1697"/>
      <c r="CT814" s="1697"/>
      <c r="CU814" s="1697"/>
      <c r="CV814" s="1697"/>
      <c r="CW814" s="1697"/>
      <c r="CX814" s="1697"/>
      <c r="CY814" s="1697"/>
      <c r="CZ814" s="1697"/>
      <c r="DA814" s="1697"/>
      <c r="DB814" s="1697"/>
      <c r="DC814" s="1697"/>
      <c r="DD814" s="1697"/>
      <c r="DE814" s="1697"/>
      <c r="DF814" s="1697"/>
      <c r="DG814" s="1697"/>
      <c r="DH814" s="1697"/>
      <c r="DI814" s="1697"/>
      <c r="DJ814" s="1697"/>
      <c r="DK814" s="1697"/>
      <c r="DL814" s="1697"/>
      <c r="DM814" s="1697"/>
      <c r="DN814" s="1697"/>
      <c r="DO814" s="1697"/>
      <c r="DP814" s="1697"/>
      <c r="DQ814" s="1697"/>
      <c r="DR814" s="1697"/>
      <c r="DS814" s="1697"/>
      <c r="DT814" s="1697"/>
      <c r="DU814" s="1697"/>
      <c r="DV814" s="1697"/>
      <c r="DW814" s="1697"/>
      <c r="DX814" s="1697"/>
      <c r="DY814" s="1697"/>
      <c r="DZ814" s="1697"/>
      <c r="EA814" s="1697"/>
      <c r="EB814" s="1697"/>
      <c r="EC814" s="1697"/>
      <c r="ED814" s="1697"/>
      <c r="EE814" s="1697"/>
      <c r="EF814" s="1697"/>
      <c r="EG814" s="1697"/>
      <c r="EH814" s="1697"/>
      <c r="EI814" s="1697"/>
      <c r="EJ814" s="1697"/>
      <c r="EK814" s="1697"/>
      <c r="EL814" s="1697"/>
      <c r="EM814" s="1697"/>
      <c r="EN814" s="1697"/>
      <c r="EO814" s="1697"/>
      <c r="EP814" s="1697"/>
      <c r="EQ814" s="1697"/>
      <c r="ER814" s="1697"/>
      <c r="ES814" s="1697"/>
      <c r="ET814" s="1697"/>
      <c r="EU814" s="1697"/>
      <c r="EV814" s="1697"/>
      <c r="EW814" s="1697"/>
      <c r="EX814" s="1697"/>
      <c r="EY814" s="1697"/>
      <c r="EZ814" s="1697"/>
      <c r="FA814" s="1697"/>
      <c r="FB814" s="1697"/>
      <c r="FC814" s="1697"/>
      <c r="FD814" s="1697"/>
      <c r="FE814" s="1697"/>
      <c r="FF814" s="1697"/>
      <c r="FG814" s="1697"/>
      <c r="FH814" s="1697"/>
      <c r="FI814" s="1697"/>
    </row>
    <row r="815" spans="1:165">
      <c r="A815" s="1697"/>
      <c r="B815" s="1697"/>
      <c r="C815" s="1697"/>
      <c r="D815" s="1697"/>
      <c r="E815" s="1697"/>
      <c r="F815" s="1697"/>
      <c r="G815" s="1697"/>
      <c r="H815" s="1697"/>
      <c r="I815" s="1697"/>
      <c r="J815" s="1697"/>
      <c r="K815" s="1697"/>
      <c r="L815" s="1697"/>
      <c r="M815" s="1697"/>
      <c r="N815" s="1697"/>
      <c r="O815" s="1697"/>
      <c r="P815" s="1697"/>
      <c r="Q815" s="1697"/>
      <c r="R815" s="1697"/>
      <c r="S815" s="1697"/>
      <c r="T815" s="1697"/>
      <c r="U815" s="1697"/>
      <c r="V815" s="1697"/>
      <c r="W815" s="1697"/>
      <c r="X815" s="1697"/>
      <c r="Y815" s="1697"/>
      <c r="Z815" s="1697"/>
      <c r="AA815" s="1697"/>
      <c r="AB815" s="1697"/>
      <c r="AC815" s="1697"/>
      <c r="AD815" s="1697"/>
      <c r="AE815" s="1697"/>
      <c r="AF815" s="1697"/>
      <c r="AG815" s="1697"/>
      <c r="AH815" s="1697"/>
      <c r="AI815" s="1697"/>
      <c r="AJ815" s="1697"/>
      <c r="AK815" s="1697"/>
      <c r="AL815" s="1697"/>
      <c r="AM815" s="1697"/>
      <c r="AN815" s="1697"/>
      <c r="AO815" s="1697"/>
      <c r="AP815" s="1697"/>
      <c r="AQ815" s="1697"/>
      <c r="AR815" s="1697"/>
      <c r="AS815" s="1697"/>
      <c r="AT815" s="1697"/>
      <c r="AU815" s="1697"/>
      <c r="AV815" s="1697"/>
      <c r="AW815" s="1697"/>
      <c r="AX815" s="1697"/>
      <c r="AY815" s="1697"/>
      <c r="AZ815" s="1697"/>
      <c r="BA815" s="1697"/>
      <c r="BB815" s="1697"/>
      <c r="BC815" s="1697"/>
      <c r="BD815" s="1697"/>
      <c r="BE815" s="1697"/>
      <c r="BF815" s="1697"/>
      <c r="BG815" s="1697"/>
      <c r="BH815" s="1697"/>
      <c r="BI815" s="1697"/>
      <c r="BJ815" s="1697"/>
      <c r="BK815" s="1697"/>
      <c r="BL815" s="1697"/>
      <c r="BM815" s="1697"/>
      <c r="BN815" s="1697"/>
      <c r="BO815" s="1697"/>
      <c r="BP815" s="1697"/>
      <c r="BQ815" s="1697"/>
      <c r="BR815" s="1697"/>
      <c r="BS815" s="1697"/>
      <c r="BT815" s="1697"/>
      <c r="BU815" s="1697"/>
      <c r="BV815" s="1697"/>
      <c r="BW815" s="1697"/>
      <c r="BX815" s="1697"/>
      <c r="BY815" s="1697"/>
      <c r="BZ815" s="1697"/>
      <c r="CA815" s="1697"/>
      <c r="CB815" s="1697"/>
      <c r="CC815" s="1697"/>
      <c r="CD815" s="1697"/>
      <c r="CE815" s="1697"/>
      <c r="CF815" s="1697"/>
      <c r="CG815" s="1697"/>
      <c r="CH815" s="1697"/>
      <c r="CI815" s="1697"/>
      <c r="CJ815" s="1697"/>
      <c r="CK815" s="1697"/>
      <c r="CL815" s="1697"/>
      <c r="CM815" s="1697"/>
      <c r="CN815" s="1697"/>
      <c r="CO815" s="1697"/>
      <c r="CP815" s="1697"/>
      <c r="CQ815" s="1697"/>
      <c r="CR815" s="1697"/>
      <c r="CS815" s="1697"/>
      <c r="CT815" s="1697"/>
      <c r="CU815" s="1697"/>
      <c r="CV815" s="1697"/>
      <c r="CW815" s="1697"/>
      <c r="CX815" s="1697"/>
      <c r="CY815" s="1697"/>
      <c r="CZ815" s="1697"/>
      <c r="DA815" s="1697"/>
      <c r="DB815" s="1697"/>
      <c r="DC815" s="1697"/>
      <c r="DD815" s="1697"/>
      <c r="DE815" s="1697"/>
      <c r="DF815" s="1697"/>
      <c r="DG815" s="1697"/>
      <c r="DH815" s="1697"/>
      <c r="DI815" s="1697"/>
      <c r="DJ815" s="1697"/>
      <c r="DK815" s="1697"/>
      <c r="DL815" s="1697"/>
      <c r="DM815" s="1697"/>
      <c r="DN815" s="1697"/>
      <c r="DO815" s="1697"/>
      <c r="DP815" s="1697"/>
      <c r="DQ815" s="1697"/>
      <c r="DR815" s="1697"/>
      <c r="DS815" s="1697"/>
      <c r="DT815" s="1697"/>
      <c r="DU815" s="1697"/>
      <c r="DV815" s="1697"/>
      <c r="DW815" s="1697"/>
      <c r="DX815" s="1697"/>
      <c r="DY815" s="1697"/>
      <c r="DZ815" s="1697"/>
      <c r="EA815" s="1697"/>
      <c r="EB815" s="1697"/>
      <c r="EC815" s="1697"/>
      <c r="ED815" s="1697"/>
      <c r="EE815" s="1697"/>
      <c r="EF815" s="1697"/>
      <c r="EG815" s="1697"/>
      <c r="EH815" s="1697"/>
      <c r="EI815" s="1697"/>
      <c r="EJ815" s="1697"/>
      <c r="EK815" s="1697"/>
      <c r="EL815" s="1697"/>
      <c r="EM815" s="1697"/>
      <c r="EN815" s="1697"/>
      <c r="EO815" s="1697"/>
      <c r="EP815" s="1697"/>
      <c r="EQ815" s="1697"/>
      <c r="ER815" s="1697"/>
      <c r="ES815" s="1697"/>
      <c r="ET815" s="1697"/>
      <c r="EU815" s="1697"/>
      <c r="EV815" s="1697"/>
      <c r="EW815" s="1697"/>
      <c r="EX815" s="1697"/>
      <c r="EY815" s="1697"/>
      <c r="EZ815" s="1697"/>
      <c r="FA815" s="1697"/>
      <c r="FB815" s="1697"/>
      <c r="FC815" s="1697"/>
      <c r="FD815" s="1697"/>
      <c r="FE815" s="1697"/>
      <c r="FF815" s="1697"/>
      <c r="FG815" s="1697"/>
      <c r="FH815" s="1697"/>
      <c r="FI815" s="1697"/>
    </row>
    <row r="816" spans="1:165">
      <c r="A816" s="1697"/>
      <c r="B816" s="1697"/>
      <c r="C816" s="1697"/>
      <c r="D816" s="1697"/>
      <c r="E816" s="1697"/>
      <c r="F816" s="1697"/>
      <c r="G816" s="1697"/>
      <c r="H816" s="1697"/>
      <c r="I816" s="1697"/>
      <c r="J816" s="1697"/>
      <c r="K816" s="1697"/>
      <c r="L816" s="1697"/>
      <c r="M816" s="1697"/>
      <c r="N816" s="1697"/>
      <c r="O816" s="1697"/>
      <c r="P816" s="1697"/>
      <c r="Q816" s="1697"/>
      <c r="R816" s="1697"/>
      <c r="S816" s="1697"/>
      <c r="T816" s="1697"/>
      <c r="U816" s="1697"/>
      <c r="V816" s="1697"/>
      <c r="W816" s="1697"/>
      <c r="X816" s="1697"/>
      <c r="Y816" s="1697"/>
      <c r="Z816" s="1697"/>
      <c r="AA816" s="1697"/>
      <c r="AB816" s="1697"/>
      <c r="AC816" s="1697"/>
      <c r="AD816" s="1697"/>
      <c r="AE816" s="1697"/>
      <c r="AF816" s="1697"/>
      <c r="AG816" s="1697"/>
      <c r="AH816" s="1697"/>
      <c r="AI816" s="1697"/>
      <c r="AJ816" s="1697"/>
      <c r="AK816" s="1697"/>
      <c r="AL816" s="1697"/>
      <c r="AM816" s="1697"/>
      <c r="AN816" s="1697"/>
      <c r="AO816" s="1697"/>
      <c r="AP816" s="1697"/>
      <c r="AQ816" s="1697"/>
      <c r="AR816" s="1697"/>
      <c r="AS816" s="1697"/>
      <c r="AT816" s="1697"/>
      <c r="AU816" s="1697"/>
      <c r="AV816" s="1697"/>
      <c r="AW816" s="1697"/>
      <c r="AX816" s="1697"/>
      <c r="AY816" s="1697"/>
      <c r="AZ816" s="1697"/>
      <c r="BA816" s="1697"/>
      <c r="BB816" s="1697"/>
      <c r="BC816" s="1697"/>
      <c r="BD816" s="1697"/>
      <c r="BE816" s="1697"/>
      <c r="BF816" s="1697"/>
      <c r="BG816" s="1697"/>
      <c r="BH816" s="1697"/>
      <c r="BI816" s="1697"/>
      <c r="BJ816" s="1697"/>
      <c r="BK816" s="1697"/>
      <c r="BL816" s="1697"/>
      <c r="BM816" s="1697"/>
      <c r="BN816" s="1697"/>
      <c r="BO816" s="1697"/>
      <c r="BP816" s="1697"/>
      <c r="BQ816" s="1697"/>
      <c r="BR816" s="1697"/>
      <c r="BS816" s="1697"/>
      <c r="BT816" s="1697"/>
      <c r="BU816" s="1697"/>
      <c r="BV816" s="1697"/>
      <c r="BW816" s="1697"/>
      <c r="BX816" s="1697"/>
      <c r="BY816" s="1697"/>
      <c r="BZ816" s="1697"/>
      <c r="CA816" s="1697"/>
      <c r="CB816" s="1697"/>
      <c r="CC816" s="1697"/>
      <c r="CD816" s="1697"/>
      <c r="CE816" s="1697"/>
      <c r="CF816" s="1697"/>
      <c r="CG816" s="1697"/>
      <c r="CH816" s="1697"/>
      <c r="CI816" s="1697"/>
      <c r="CJ816" s="1697"/>
      <c r="CK816" s="1697"/>
      <c r="CL816" s="1697"/>
      <c r="CM816" s="1697"/>
      <c r="CN816" s="1697"/>
      <c r="CO816" s="1697"/>
      <c r="CP816" s="1697"/>
      <c r="CQ816" s="1697"/>
      <c r="CR816" s="1697"/>
      <c r="CS816" s="1697"/>
      <c r="CT816" s="1697"/>
      <c r="CU816" s="1697"/>
      <c r="CV816" s="1697"/>
      <c r="CW816" s="1697"/>
      <c r="CX816" s="1697"/>
      <c r="CY816" s="1697"/>
      <c r="CZ816" s="1697"/>
      <c r="DA816" s="1697"/>
      <c r="DB816" s="1697"/>
      <c r="DC816" s="1697"/>
      <c r="DD816" s="1697"/>
      <c r="DE816" s="1697"/>
      <c r="DF816" s="1697"/>
      <c r="DG816" s="1697"/>
      <c r="DH816" s="1697"/>
      <c r="DI816" s="1697"/>
      <c r="DJ816" s="1697"/>
      <c r="DK816" s="1697"/>
      <c r="DL816" s="1697"/>
      <c r="DM816" s="1697"/>
      <c r="DN816" s="1697"/>
      <c r="DO816" s="1697"/>
      <c r="DP816" s="1697"/>
      <c r="DQ816" s="1697"/>
      <c r="DR816" s="1697"/>
      <c r="DS816" s="1697"/>
      <c r="DT816" s="1697"/>
      <c r="DU816" s="1697"/>
      <c r="DV816" s="1697"/>
      <c r="DW816" s="1697"/>
      <c r="DX816" s="1697"/>
      <c r="DY816" s="1697"/>
      <c r="DZ816" s="1697"/>
      <c r="EA816" s="1697"/>
      <c r="EB816" s="1697"/>
      <c r="EC816" s="1697"/>
      <c r="ED816" s="1697"/>
      <c r="EE816" s="1697"/>
      <c r="EF816" s="1697"/>
      <c r="EG816" s="1697"/>
      <c r="EH816" s="1697"/>
      <c r="EI816" s="1697"/>
      <c r="EJ816" s="1697"/>
      <c r="EK816" s="1697"/>
      <c r="EL816" s="1697"/>
      <c r="EM816" s="1697"/>
      <c r="EN816" s="1697"/>
      <c r="EO816" s="1697"/>
      <c r="EP816" s="1697"/>
      <c r="EQ816" s="1697"/>
      <c r="ER816" s="1697"/>
      <c r="ES816" s="1697"/>
      <c r="ET816" s="1697"/>
      <c r="EU816" s="1697"/>
      <c r="EV816" s="1697"/>
      <c r="EW816" s="1697"/>
      <c r="EX816" s="1697"/>
      <c r="EY816" s="1697"/>
      <c r="EZ816" s="1697"/>
      <c r="FA816" s="1697"/>
      <c r="FB816" s="1697"/>
      <c r="FC816" s="1697"/>
      <c r="FD816" s="1697"/>
      <c r="FE816" s="1697"/>
      <c r="FF816" s="1697"/>
      <c r="FG816" s="1697"/>
      <c r="FH816" s="1697"/>
      <c r="FI816" s="1697"/>
    </row>
    <row r="817" spans="1:165">
      <c r="A817" s="1697"/>
      <c r="B817" s="1697"/>
      <c r="C817" s="1697"/>
      <c r="D817" s="1697"/>
      <c r="E817" s="1697"/>
      <c r="F817" s="1697"/>
      <c r="G817" s="1697"/>
      <c r="H817" s="1697"/>
      <c r="I817" s="1697"/>
      <c r="J817" s="1697"/>
      <c r="K817" s="1697"/>
      <c r="L817" s="1697"/>
      <c r="M817" s="1697"/>
      <c r="N817" s="1697"/>
      <c r="O817" s="1697"/>
      <c r="P817" s="1697"/>
      <c r="Q817" s="1697"/>
      <c r="R817" s="1697"/>
      <c r="S817" s="1697"/>
      <c r="T817" s="1697"/>
      <c r="U817" s="1697"/>
      <c r="V817" s="1697"/>
      <c r="W817" s="1697"/>
      <c r="X817" s="1697"/>
      <c r="Y817" s="1697"/>
      <c r="Z817" s="1697"/>
      <c r="AA817" s="1697"/>
      <c r="AB817" s="1697"/>
      <c r="AC817" s="1697"/>
      <c r="AD817" s="1697"/>
      <c r="AE817" s="1697"/>
      <c r="AF817" s="1697"/>
      <c r="AG817" s="1697"/>
      <c r="AH817" s="1697"/>
      <c r="AI817" s="1697"/>
      <c r="AJ817" s="1697"/>
      <c r="AK817" s="1697"/>
      <c r="AL817" s="1697"/>
      <c r="AM817" s="1697"/>
      <c r="AN817" s="1697"/>
      <c r="AO817" s="1697"/>
      <c r="AP817" s="1697"/>
      <c r="AQ817" s="1697"/>
      <c r="AR817" s="1697"/>
      <c r="AS817" s="1697"/>
      <c r="AT817" s="1697"/>
      <c r="AU817" s="1697"/>
      <c r="AV817" s="1697"/>
      <c r="AW817" s="1697"/>
      <c r="AX817" s="1697"/>
      <c r="AY817" s="1697"/>
      <c r="AZ817" s="1697"/>
      <c r="BA817" s="1697"/>
      <c r="BB817" s="1697"/>
      <c r="BC817" s="1697"/>
      <c r="BD817" s="1697"/>
      <c r="BE817" s="1697"/>
      <c r="BF817" s="1697"/>
      <c r="BG817" s="1697"/>
      <c r="BH817" s="1697"/>
      <c r="BI817" s="1697"/>
      <c r="BJ817" s="1697"/>
      <c r="BK817" s="1697"/>
      <c r="BL817" s="1697"/>
      <c r="BM817" s="1697"/>
      <c r="BN817" s="1697"/>
      <c r="BO817" s="1697"/>
      <c r="BP817" s="1697"/>
      <c r="BQ817" s="1697"/>
      <c r="BR817" s="1697"/>
      <c r="BS817" s="1697"/>
      <c r="BT817" s="1697"/>
      <c r="BU817" s="1697"/>
      <c r="BV817" s="1697"/>
      <c r="BW817" s="1697"/>
      <c r="BX817" s="1697"/>
      <c r="BY817" s="1697"/>
      <c r="BZ817" s="1697"/>
      <c r="CA817" s="1697"/>
      <c r="CB817" s="1697"/>
      <c r="CC817" s="1697"/>
      <c r="CD817" s="1697"/>
      <c r="CE817" s="1697"/>
      <c r="CF817" s="1697"/>
      <c r="CG817" s="1697"/>
      <c r="CH817" s="1697"/>
      <c r="CI817" s="1697"/>
      <c r="CJ817" s="1697"/>
      <c r="CK817" s="1697"/>
      <c r="CL817" s="1697"/>
      <c r="CM817" s="1697"/>
      <c r="CN817" s="1697"/>
      <c r="CO817" s="1697"/>
      <c r="CP817" s="1697"/>
      <c r="CQ817" s="1697"/>
      <c r="CR817" s="1697"/>
      <c r="CS817" s="1697"/>
      <c r="CT817" s="1697"/>
      <c r="CU817" s="1697"/>
      <c r="CV817" s="1697"/>
      <c r="CW817" s="1697"/>
      <c r="CX817" s="1697"/>
      <c r="CY817" s="1697"/>
      <c r="CZ817" s="1697"/>
      <c r="DA817" s="1697"/>
      <c r="DB817" s="1697"/>
      <c r="DC817" s="1697"/>
      <c r="DD817" s="1697"/>
      <c r="DE817" s="1697"/>
      <c r="DF817" s="1697"/>
      <c r="DG817" s="1697"/>
      <c r="DH817" s="1697"/>
      <c r="DI817" s="1697"/>
      <c r="DJ817" s="1697"/>
      <c r="DK817" s="1697"/>
      <c r="DL817" s="1697"/>
      <c r="DM817" s="1697"/>
      <c r="DN817" s="1697"/>
      <c r="DO817" s="1697"/>
      <c r="DP817" s="1697"/>
      <c r="DQ817" s="1697"/>
      <c r="DR817" s="1697"/>
      <c r="DS817" s="1697"/>
      <c r="DT817" s="1697"/>
      <c r="DU817" s="1697"/>
      <c r="DV817" s="1697"/>
      <c r="DW817" s="1697"/>
      <c r="DX817" s="1697"/>
      <c r="DY817" s="1697"/>
      <c r="DZ817" s="1697"/>
      <c r="EA817" s="1697"/>
      <c r="EB817" s="1697"/>
      <c r="EC817" s="1697"/>
      <c r="ED817" s="1697"/>
      <c r="EE817" s="1697"/>
      <c r="EF817" s="1697"/>
      <c r="EG817" s="1697"/>
      <c r="EH817" s="1697"/>
      <c r="EI817" s="1697"/>
      <c r="EJ817" s="1697"/>
      <c r="EK817" s="1697"/>
      <c r="EL817" s="1697"/>
      <c r="EM817" s="1697"/>
      <c r="EN817" s="1697"/>
      <c r="EO817" s="1697"/>
      <c r="EP817" s="1697"/>
      <c r="EQ817" s="1697"/>
      <c r="ER817" s="1697"/>
      <c r="ES817" s="1697"/>
      <c r="ET817" s="1697"/>
      <c r="EU817" s="1697"/>
      <c r="EV817" s="1697"/>
      <c r="EW817" s="1697"/>
      <c r="EX817" s="1697"/>
      <c r="EY817" s="1697"/>
      <c r="EZ817" s="1697"/>
      <c r="FA817" s="1697"/>
      <c r="FB817" s="1697"/>
      <c r="FC817" s="1697"/>
      <c r="FD817" s="1697"/>
      <c r="FE817" s="1697"/>
      <c r="FF817" s="1697"/>
      <c r="FG817" s="1697"/>
      <c r="FH817" s="1697"/>
      <c r="FI817" s="1697"/>
    </row>
    <row r="818" spans="1:165">
      <c r="A818" s="1697"/>
      <c r="B818" s="1697"/>
      <c r="C818" s="1697"/>
      <c r="D818" s="1697"/>
      <c r="E818" s="1697"/>
      <c r="F818" s="1697"/>
      <c r="G818" s="1697"/>
      <c r="H818" s="1697"/>
      <c r="I818" s="1697"/>
      <c r="J818" s="1697"/>
      <c r="K818" s="1697"/>
      <c r="L818" s="1697"/>
      <c r="M818" s="1697"/>
      <c r="N818" s="1697"/>
      <c r="O818" s="1697"/>
      <c r="P818" s="1697"/>
      <c r="Q818" s="1697"/>
      <c r="R818" s="1697"/>
      <c r="S818" s="1697"/>
      <c r="T818" s="1697"/>
      <c r="U818" s="1697"/>
      <c r="V818" s="1697"/>
      <c r="W818" s="1697"/>
      <c r="X818" s="1697"/>
      <c r="Y818" s="1697"/>
      <c r="Z818" s="1697"/>
      <c r="AA818" s="1697"/>
      <c r="AB818" s="1697"/>
      <c r="AC818" s="1697"/>
      <c r="AD818" s="1697"/>
      <c r="AE818" s="1697"/>
      <c r="AF818" s="1697"/>
      <c r="AG818" s="1697"/>
      <c r="AH818" s="1697"/>
      <c r="AI818" s="1697"/>
      <c r="AJ818" s="1697"/>
      <c r="AK818" s="1697"/>
      <c r="AL818" s="1697"/>
      <c r="AM818" s="1697"/>
      <c r="AN818" s="1697"/>
      <c r="AO818" s="1697"/>
      <c r="AP818" s="1697"/>
      <c r="AQ818" s="1697"/>
      <c r="AR818" s="1697"/>
      <c r="AS818" s="1697"/>
      <c r="AT818" s="1697"/>
      <c r="AU818" s="1697"/>
      <c r="AV818" s="1697"/>
      <c r="AW818" s="1697"/>
      <c r="AX818" s="1697"/>
      <c r="AY818" s="1697"/>
      <c r="AZ818" s="1697"/>
      <c r="BA818" s="1697"/>
      <c r="BB818" s="1697"/>
      <c r="BC818" s="1697"/>
      <c r="BD818" s="1697"/>
      <c r="BE818" s="1697"/>
      <c r="BF818" s="1697"/>
      <c r="BG818" s="1697"/>
      <c r="BH818" s="1697"/>
      <c r="BI818" s="1697"/>
      <c r="BJ818" s="1697"/>
      <c r="BK818" s="1697"/>
      <c r="BL818" s="1697"/>
      <c r="BM818" s="1697"/>
      <c r="BN818" s="1697"/>
      <c r="BO818" s="1697"/>
      <c r="BP818" s="1697"/>
      <c r="BQ818" s="1697"/>
      <c r="BR818" s="1697"/>
      <c r="BS818" s="1697"/>
      <c r="BT818" s="1697"/>
      <c r="BU818" s="1697"/>
      <c r="BV818" s="1697"/>
      <c r="BW818" s="1697"/>
      <c r="BX818" s="1697"/>
      <c r="BY818" s="1697"/>
      <c r="BZ818" s="1697"/>
      <c r="CA818" s="1697"/>
      <c r="CB818" s="1697"/>
      <c r="CC818" s="1697"/>
      <c r="CD818" s="1697"/>
      <c r="CE818" s="1697"/>
      <c r="CF818" s="1697"/>
      <c r="CG818" s="1697"/>
      <c r="CH818" s="1697"/>
      <c r="CI818" s="1697"/>
      <c r="CJ818" s="1697"/>
      <c r="CK818" s="1697"/>
      <c r="CL818" s="1697"/>
      <c r="CM818" s="1697"/>
      <c r="CN818" s="1697"/>
      <c r="CO818" s="1697"/>
      <c r="CP818" s="1697"/>
      <c r="CQ818" s="1697"/>
      <c r="CR818" s="1697"/>
      <c r="CS818" s="1697"/>
      <c r="CT818" s="1697"/>
      <c r="CU818" s="1697"/>
      <c r="CV818" s="1697"/>
      <c r="CW818" s="1697"/>
      <c r="CX818" s="1697"/>
      <c r="CY818" s="1697"/>
      <c r="CZ818" s="1697"/>
      <c r="DA818" s="1697"/>
      <c r="DB818" s="1697"/>
      <c r="DC818" s="1697"/>
      <c r="DD818" s="1697"/>
      <c r="DE818" s="1697"/>
      <c r="DF818" s="1697"/>
      <c r="DG818" s="1697"/>
      <c r="DH818" s="1697"/>
      <c r="DI818" s="1697"/>
      <c r="DJ818" s="1697"/>
      <c r="DK818" s="1697"/>
      <c r="DL818" s="1697"/>
      <c r="DM818" s="1697"/>
      <c r="DN818" s="1697"/>
      <c r="DO818" s="1697"/>
      <c r="DP818" s="1697"/>
      <c r="DQ818" s="1697"/>
      <c r="DR818" s="1697"/>
      <c r="DS818" s="1697"/>
      <c r="DT818" s="1697"/>
      <c r="DU818" s="1697"/>
      <c r="DV818" s="1697"/>
      <c r="DW818" s="1697"/>
      <c r="DX818" s="1697"/>
      <c r="DY818" s="1697"/>
      <c r="DZ818" s="1697"/>
      <c r="EA818" s="1697"/>
      <c r="EB818" s="1697"/>
      <c r="EC818" s="1697"/>
      <c r="ED818" s="1697"/>
      <c r="EE818" s="1697"/>
      <c r="EF818" s="1697"/>
      <c r="EG818" s="1697"/>
      <c r="EH818" s="1697"/>
      <c r="EI818" s="1697"/>
      <c r="EJ818" s="1697"/>
      <c r="EK818" s="1697"/>
      <c r="EL818" s="1697"/>
      <c r="EM818" s="1697"/>
      <c r="EN818" s="1697"/>
      <c r="EO818" s="1697"/>
      <c r="EP818" s="1697"/>
      <c r="EQ818" s="1697"/>
      <c r="ER818" s="1697"/>
      <c r="ES818" s="1697"/>
      <c r="ET818" s="1697"/>
      <c r="EU818" s="1697"/>
      <c r="EV818" s="1697"/>
      <c r="EW818" s="1697"/>
      <c r="EX818" s="1697"/>
      <c r="EY818" s="1697"/>
      <c r="EZ818" s="1697"/>
      <c r="FA818" s="1697"/>
      <c r="FB818" s="1697"/>
      <c r="FC818" s="1697"/>
      <c r="FD818" s="1697"/>
      <c r="FE818" s="1697"/>
      <c r="FF818" s="1697"/>
      <c r="FG818" s="1697"/>
      <c r="FH818" s="1697"/>
      <c r="FI818" s="1697"/>
    </row>
    <row r="819" spans="1:165">
      <c r="A819" s="1697"/>
      <c r="B819" s="1697"/>
      <c r="C819" s="1697"/>
      <c r="D819" s="1697"/>
      <c r="E819" s="1697"/>
      <c r="F819" s="1697"/>
      <c r="G819" s="1697"/>
      <c r="H819" s="1697"/>
      <c r="I819" s="1697"/>
      <c r="J819" s="1697"/>
      <c r="K819" s="1697"/>
      <c r="L819" s="1697"/>
      <c r="M819" s="1697"/>
      <c r="N819" s="1697"/>
      <c r="O819" s="1697"/>
      <c r="P819" s="1697"/>
      <c r="Q819" s="1697"/>
      <c r="R819" s="1697"/>
      <c r="S819" s="1697"/>
      <c r="T819" s="1697"/>
      <c r="U819" s="1697"/>
      <c r="V819" s="1697"/>
      <c r="W819" s="1697"/>
      <c r="X819" s="1697"/>
      <c r="Y819" s="1697"/>
      <c r="Z819" s="1697"/>
      <c r="AA819" s="1697"/>
      <c r="AB819" s="1697"/>
      <c r="AC819" s="1697"/>
      <c r="AD819" s="1697"/>
      <c r="AE819" s="1697"/>
      <c r="AF819" s="1697"/>
      <c r="AG819" s="1697"/>
      <c r="AH819" s="1697"/>
      <c r="AI819" s="1697"/>
      <c r="AJ819" s="1697"/>
      <c r="AK819" s="1697"/>
      <c r="AL819" s="1697"/>
      <c r="AM819" s="1697"/>
      <c r="AN819" s="1697"/>
      <c r="AO819" s="1697"/>
      <c r="AP819" s="1697"/>
      <c r="AQ819" s="1697"/>
      <c r="AR819" s="1697"/>
      <c r="AS819" s="1697"/>
      <c r="AT819" s="1697"/>
      <c r="AU819" s="1697"/>
      <c r="AV819" s="1697"/>
      <c r="AW819" s="1697"/>
      <c r="AX819" s="1697"/>
      <c r="AY819" s="1697"/>
      <c r="AZ819" s="1697"/>
      <c r="BA819" s="1697"/>
      <c r="BB819" s="1697"/>
      <c r="BC819" s="1697"/>
      <c r="BD819" s="1697"/>
      <c r="BE819" s="1697"/>
      <c r="BF819" s="1697"/>
      <c r="BG819" s="1697"/>
      <c r="BH819" s="1697"/>
      <c r="BI819" s="1697"/>
      <c r="BJ819" s="1697"/>
      <c r="BK819" s="1697"/>
      <c r="BL819" s="1697"/>
      <c r="BM819" s="1697"/>
      <c r="BN819" s="1697"/>
      <c r="BO819" s="1697"/>
      <c r="BP819" s="1697"/>
      <c r="BQ819" s="1697"/>
      <c r="BR819" s="1697"/>
      <c r="BS819" s="1697"/>
      <c r="BT819" s="1697"/>
      <c r="BU819" s="1697"/>
      <c r="BV819" s="1697"/>
      <c r="BW819" s="1697"/>
      <c r="BX819" s="1697"/>
      <c r="BY819" s="1697"/>
      <c r="BZ819" s="1697"/>
      <c r="CA819" s="1697"/>
      <c r="CB819" s="1697"/>
      <c r="CC819" s="1697"/>
      <c r="CD819" s="1697"/>
      <c r="CE819" s="1697"/>
      <c r="CF819" s="1697"/>
      <c r="CG819" s="1697"/>
      <c r="CH819" s="1697"/>
      <c r="CI819" s="1697"/>
      <c r="CJ819" s="1697"/>
      <c r="CK819" s="1697"/>
      <c r="CL819" s="1697"/>
      <c r="CM819" s="1697"/>
      <c r="CN819" s="1697"/>
      <c r="CO819" s="1697"/>
      <c r="CP819" s="1697"/>
      <c r="CQ819" s="1697"/>
      <c r="CR819" s="1697"/>
      <c r="CS819" s="1697"/>
      <c r="CT819" s="1697"/>
      <c r="CU819" s="1697"/>
      <c r="CV819" s="1697"/>
      <c r="CW819" s="1697"/>
      <c r="CX819" s="1697"/>
      <c r="CY819" s="1697"/>
      <c r="CZ819" s="1697"/>
      <c r="DA819" s="1697"/>
      <c r="DB819" s="1697"/>
      <c r="DC819" s="1697"/>
      <c r="DD819" s="1697"/>
      <c r="DE819" s="1697"/>
      <c r="DF819" s="1697"/>
      <c r="DG819" s="1697"/>
      <c r="DH819" s="1697"/>
      <c r="DI819" s="1697"/>
      <c r="DJ819" s="1697"/>
      <c r="DK819" s="1697"/>
      <c r="DL819" s="1697"/>
      <c r="DM819" s="1697"/>
      <c r="DN819" s="1697"/>
      <c r="DO819" s="1697"/>
      <c r="DP819" s="1697"/>
      <c r="DQ819" s="1697"/>
      <c r="DR819" s="1697"/>
      <c r="DS819" s="1697"/>
      <c r="DT819" s="1697"/>
      <c r="DU819" s="1697"/>
      <c r="DV819" s="1697"/>
      <c r="DW819" s="1697"/>
      <c r="DX819" s="1697"/>
      <c r="DY819" s="1697"/>
      <c r="DZ819" s="1697"/>
      <c r="EA819" s="1697"/>
      <c r="EB819" s="1697"/>
      <c r="EC819" s="1697"/>
      <c r="ED819" s="1697"/>
      <c r="EE819" s="1697"/>
      <c r="EF819" s="1697"/>
      <c r="EG819" s="1697"/>
      <c r="EH819" s="1697"/>
      <c r="EI819" s="1697"/>
      <c r="EJ819" s="1697"/>
      <c r="EK819" s="1697"/>
      <c r="EL819" s="1697"/>
      <c r="EM819" s="1697"/>
      <c r="EN819" s="1697"/>
      <c r="EO819" s="1697"/>
      <c r="EP819" s="1697"/>
      <c r="EQ819" s="1697"/>
      <c r="ER819" s="1697"/>
      <c r="ES819" s="1697"/>
      <c r="ET819" s="1697"/>
      <c r="EU819" s="1697"/>
      <c r="EV819" s="1697"/>
      <c r="EW819" s="1697"/>
      <c r="EX819" s="1697"/>
      <c r="EY819" s="1697"/>
      <c r="EZ819" s="1697"/>
      <c r="FA819" s="1697"/>
      <c r="FB819" s="1697"/>
      <c r="FC819" s="1697"/>
      <c r="FD819" s="1697"/>
      <c r="FE819" s="1697"/>
      <c r="FF819" s="1697"/>
      <c r="FG819" s="1697"/>
      <c r="FH819" s="1697"/>
      <c r="FI819" s="1697"/>
    </row>
    <row r="820" spans="1:165">
      <c r="A820" s="1697"/>
      <c r="B820" s="1697"/>
      <c r="C820" s="1697"/>
      <c r="D820" s="1697"/>
      <c r="E820" s="1697"/>
      <c r="F820" s="1697"/>
      <c r="G820" s="1697"/>
      <c r="H820" s="1697"/>
      <c r="I820" s="1697"/>
      <c r="J820" s="1697"/>
      <c r="K820" s="1697"/>
      <c r="L820" s="1697"/>
      <c r="M820" s="1697"/>
      <c r="N820" s="1697"/>
      <c r="O820" s="1697"/>
      <c r="P820" s="1697"/>
      <c r="Q820" s="1697"/>
      <c r="R820" s="1697"/>
      <c r="S820" s="1697"/>
      <c r="T820" s="1697"/>
      <c r="U820" s="1697"/>
      <c r="V820" s="1697"/>
      <c r="W820" s="1697"/>
      <c r="X820" s="1697"/>
      <c r="Y820" s="1697"/>
      <c r="Z820" s="1697"/>
      <c r="AA820" s="1697"/>
      <c r="AB820" s="1697"/>
      <c r="AC820" s="1697"/>
      <c r="AD820" s="1697"/>
      <c r="AE820" s="1697"/>
      <c r="AF820" s="1697"/>
      <c r="AG820" s="1697"/>
      <c r="AH820" s="1697"/>
      <c r="AI820" s="1697"/>
      <c r="AJ820" s="1697"/>
      <c r="AK820" s="1697"/>
      <c r="AL820" s="1697"/>
      <c r="AM820" s="1697"/>
      <c r="AN820" s="1697"/>
      <c r="AO820" s="1697"/>
      <c r="AP820" s="1697"/>
      <c r="AQ820" s="1697"/>
      <c r="AR820" s="1697"/>
      <c r="AS820" s="1697"/>
      <c r="AT820" s="1697"/>
      <c r="AU820" s="1697"/>
      <c r="AV820" s="1697"/>
      <c r="AW820" s="1697"/>
      <c r="AX820" s="1697"/>
      <c r="AY820" s="1697"/>
      <c r="AZ820" s="1697"/>
      <c r="BA820" s="1697"/>
      <c r="BB820" s="1697"/>
      <c r="BC820" s="1697"/>
      <c r="BD820" s="1697"/>
      <c r="BE820" s="1697"/>
      <c r="BF820" s="1697"/>
      <c r="BG820" s="1697"/>
      <c r="BH820" s="1697"/>
      <c r="BI820" s="1697"/>
      <c r="BJ820" s="1697"/>
      <c r="BK820" s="1697"/>
      <c r="BL820" s="1697"/>
      <c r="BM820" s="1697"/>
      <c r="BN820" s="1697"/>
      <c r="BO820" s="1697"/>
      <c r="BP820" s="1697"/>
      <c r="BQ820" s="1697"/>
      <c r="BR820" s="1697"/>
      <c r="BS820" s="1697"/>
      <c r="BT820" s="1697"/>
      <c r="BU820" s="1697"/>
      <c r="BV820" s="1697"/>
      <c r="BW820" s="1697"/>
      <c r="BX820" s="1697"/>
      <c r="BY820" s="1697"/>
      <c r="BZ820" s="1697"/>
      <c r="CA820" s="1697"/>
      <c r="CB820" s="1697"/>
      <c r="CC820" s="1697"/>
      <c r="CD820" s="1697"/>
      <c r="CE820" s="1697"/>
      <c r="CF820" s="1697"/>
      <c r="CG820" s="1697"/>
      <c r="CH820" s="1697"/>
      <c r="CI820" s="1697"/>
      <c r="CJ820" s="1697"/>
      <c r="CK820" s="1697"/>
      <c r="CL820" s="1697"/>
      <c r="CM820" s="1697"/>
      <c r="CN820" s="1697"/>
      <c r="CO820" s="1697"/>
      <c r="CP820" s="1697"/>
      <c r="CQ820" s="1697"/>
      <c r="CR820" s="1697"/>
      <c r="CS820" s="1697"/>
      <c r="CT820" s="1697"/>
      <c r="CU820" s="1697"/>
      <c r="CV820" s="1697"/>
      <c r="CW820" s="1697"/>
      <c r="CX820" s="1697"/>
      <c r="CY820" s="1697"/>
      <c r="CZ820" s="1697"/>
      <c r="DA820" s="1697"/>
      <c r="DB820" s="1697"/>
      <c r="DC820" s="1697"/>
      <c r="DD820" s="1697"/>
      <c r="DE820" s="1697"/>
      <c r="DF820" s="1697"/>
      <c r="DG820" s="1697"/>
      <c r="DH820" s="1697"/>
      <c r="DI820" s="1697"/>
      <c r="DJ820" s="1697"/>
      <c r="DK820" s="1697"/>
      <c r="DL820" s="1697"/>
      <c r="DM820" s="1697"/>
      <c r="DN820" s="1697"/>
      <c r="DO820" s="1697"/>
      <c r="DP820" s="1697"/>
      <c r="DQ820" s="1697"/>
      <c r="DR820" s="1697"/>
      <c r="DS820" s="1697"/>
      <c r="DT820" s="1697"/>
      <c r="DU820" s="1697"/>
      <c r="DV820" s="1697"/>
      <c r="DW820" s="1697"/>
      <c r="DX820" s="1697"/>
      <c r="DY820" s="1697"/>
      <c r="DZ820" s="1697"/>
      <c r="EA820" s="1697"/>
      <c r="EB820" s="1697"/>
      <c r="EC820" s="1697"/>
      <c r="ED820" s="1697"/>
      <c r="EE820" s="1697"/>
      <c r="EF820" s="1697"/>
      <c r="EG820" s="1697"/>
      <c r="EH820" s="1697"/>
      <c r="EI820" s="1697"/>
      <c r="EJ820" s="1697"/>
      <c r="EK820" s="1697"/>
      <c r="EL820" s="1697"/>
      <c r="EM820" s="1697"/>
      <c r="EN820" s="1697"/>
      <c r="EO820" s="1697"/>
      <c r="EP820" s="1697"/>
      <c r="EQ820" s="1697"/>
      <c r="ER820" s="1697"/>
      <c r="ES820" s="1697"/>
      <c r="ET820" s="1697"/>
      <c r="EU820" s="1697"/>
      <c r="EV820" s="1697"/>
      <c r="EW820" s="1697"/>
      <c r="EX820" s="1697"/>
      <c r="EY820" s="1697"/>
      <c r="EZ820" s="1697"/>
      <c r="FA820" s="1697"/>
      <c r="FB820" s="1697"/>
      <c r="FC820" s="1697"/>
      <c r="FD820" s="1697"/>
      <c r="FE820" s="1697"/>
      <c r="FF820" s="1697"/>
      <c r="FG820" s="1697"/>
      <c r="FH820" s="1697"/>
      <c r="FI820" s="1697"/>
    </row>
    <row r="821" spans="1:165">
      <c r="A821" s="1697"/>
      <c r="B821" s="1697"/>
      <c r="C821" s="1697"/>
      <c r="D821" s="1697"/>
      <c r="E821" s="1697"/>
      <c r="F821" s="1697"/>
      <c r="G821" s="1697"/>
      <c r="H821" s="1697"/>
      <c r="I821" s="1697"/>
      <c r="J821" s="1697"/>
      <c r="K821" s="1697"/>
      <c r="L821" s="1697"/>
      <c r="M821" s="1697"/>
      <c r="N821" s="1697"/>
      <c r="O821" s="1697"/>
      <c r="P821" s="1697"/>
      <c r="Q821" s="1697"/>
      <c r="R821" s="1697"/>
      <c r="S821" s="1697"/>
      <c r="T821" s="1697"/>
      <c r="U821" s="1697"/>
      <c r="V821" s="1697"/>
      <c r="W821" s="1697"/>
      <c r="X821" s="1697"/>
      <c r="Y821" s="1697"/>
      <c r="Z821" s="1697"/>
      <c r="AA821" s="1697"/>
      <c r="AB821" s="1697"/>
      <c r="AC821" s="1697"/>
      <c r="AD821" s="1697"/>
      <c r="AE821" s="1697"/>
      <c r="AF821" s="1697"/>
      <c r="AG821" s="1697"/>
      <c r="AH821" s="1697"/>
      <c r="AI821" s="1697"/>
      <c r="AJ821" s="1697"/>
      <c r="AK821" s="1697"/>
      <c r="AL821" s="1697"/>
      <c r="AM821" s="1697"/>
      <c r="AN821" s="1697"/>
      <c r="AO821" s="1697"/>
      <c r="AP821" s="1697"/>
      <c r="AQ821" s="1697"/>
      <c r="AR821" s="1697"/>
      <c r="AS821" s="1697"/>
      <c r="AT821" s="1697"/>
      <c r="AU821" s="1697"/>
      <c r="AV821" s="1697"/>
      <c r="AW821" s="1697"/>
      <c r="AX821" s="1697"/>
      <c r="AY821" s="1697"/>
      <c r="AZ821" s="1697"/>
      <c r="BA821" s="1697"/>
      <c r="BB821" s="1697"/>
      <c r="BC821" s="1697"/>
      <c r="BD821" s="1697"/>
      <c r="BE821" s="1697"/>
      <c r="BF821" s="1697"/>
      <c r="BG821" s="1697"/>
      <c r="BH821" s="1697"/>
      <c r="BI821" s="1697"/>
      <c r="BJ821" s="1697"/>
      <c r="BK821" s="1697"/>
      <c r="BL821" s="1697"/>
      <c r="BM821" s="1697"/>
      <c r="BN821" s="1697"/>
      <c r="BO821" s="1697"/>
      <c r="BP821" s="1697"/>
      <c r="BQ821" s="1697"/>
      <c r="BR821" s="1697"/>
      <c r="BS821" s="1697"/>
      <c r="BT821" s="1697"/>
      <c r="BU821" s="1697"/>
      <c r="BV821" s="1697"/>
      <c r="BW821" s="1697"/>
      <c r="BX821" s="1697"/>
      <c r="BY821" s="1697"/>
      <c r="BZ821" s="1697"/>
      <c r="CA821" s="1697"/>
      <c r="CB821" s="1697"/>
      <c r="CC821" s="1697"/>
      <c r="CD821" s="1697"/>
      <c r="CE821" s="1697"/>
      <c r="CF821" s="1697"/>
      <c r="CG821" s="1697"/>
      <c r="CH821" s="1697"/>
      <c r="CI821" s="1697"/>
      <c r="CJ821" s="1697"/>
      <c r="CK821" s="1697"/>
      <c r="CL821" s="1697"/>
      <c r="CM821" s="1697"/>
      <c r="CN821" s="1697"/>
      <c r="CO821" s="1697"/>
      <c r="CP821" s="1697"/>
      <c r="CQ821" s="1697"/>
      <c r="CR821" s="1697"/>
      <c r="CS821" s="1697"/>
      <c r="CT821" s="1697"/>
      <c r="CU821" s="1697"/>
      <c r="CV821" s="1697"/>
      <c r="CW821" s="1697"/>
      <c r="CX821" s="1697"/>
      <c r="CY821" s="1697"/>
      <c r="CZ821" s="1697"/>
      <c r="DA821" s="1697"/>
      <c r="DB821" s="1697"/>
      <c r="DC821" s="1697"/>
      <c r="DD821" s="1697"/>
      <c r="DE821" s="1697"/>
      <c r="DF821" s="1697"/>
      <c r="DG821" s="1697"/>
      <c r="DH821" s="1697"/>
      <c r="DI821" s="1697"/>
      <c r="DJ821" s="1697"/>
      <c r="DK821" s="1697"/>
      <c r="DL821" s="1697"/>
      <c r="DM821" s="1697"/>
      <c r="DN821" s="1697"/>
      <c r="DO821" s="1697"/>
      <c r="DP821" s="1697"/>
      <c r="DQ821" s="1697"/>
      <c r="DR821" s="1697"/>
      <c r="DS821" s="1697"/>
      <c r="DT821" s="1697"/>
      <c r="DU821" s="1697"/>
      <c r="DV821" s="1697"/>
      <c r="DW821" s="1697"/>
      <c r="DX821" s="1697"/>
      <c r="DY821" s="1697"/>
      <c r="DZ821" s="1697"/>
      <c r="EA821" s="1697"/>
      <c r="EB821" s="1697"/>
      <c r="EC821" s="1697"/>
      <c r="ED821" s="1697"/>
      <c r="EE821" s="1697"/>
      <c r="EF821" s="1697"/>
      <c r="EG821" s="1697"/>
      <c r="EH821" s="1697"/>
      <c r="EI821" s="1697"/>
      <c r="EJ821" s="1697"/>
      <c r="EK821" s="1697"/>
      <c r="EL821" s="1697"/>
      <c r="EM821" s="1697"/>
      <c r="EN821" s="1697"/>
      <c r="EO821" s="1697"/>
      <c r="EP821" s="1697"/>
      <c r="EQ821" s="1697"/>
      <c r="ER821" s="1697"/>
      <c r="ES821" s="1697"/>
      <c r="ET821" s="1697"/>
      <c r="EU821" s="1697"/>
      <c r="EV821" s="1697"/>
      <c r="EW821" s="1697"/>
      <c r="EX821" s="1697"/>
      <c r="EY821" s="1697"/>
      <c r="EZ821" s="1697"/>
      <c r="FA821" s="1697"/>
      <c r="FB821" s="1697"/>
      <c r="FC821" s="1697"/>
      <c r="FD821" s="1697"/>
      <c r="FE821" s="1697"/>
      <c r="FF821" s="1697"/>
      <c r="FG821" s="1697"/>
      <c r="FH821" s="1697"/>
      <c r="FI821" s="1697"/>
    </row>
    <row r="822" spans="1:165">
      <c r="A822" s="1697"/>
      <c r="B822" s="1697"/>
      <c r="C822" s="1697"/>
      <c r="D822" s="1697"/>
      <c r="E822" s="1697"/>
      <c r="F822" s="1697"/>
      <c r="G822" s="1697"/>
      <c r="H822" s="1697"/>
      <c r="I822" s="1697"/>
      <c r="J822" s="1697"/>
      <c r="K822" s="1697"/>
      <c r="L822" s="1697"/>
      <c r="M822" s="1697"/>
      <c r="N822" s="1697"/>
      <c r="O822" s="1697"/>
      <c r="P822" s="1697"/>
      <c r="Q822" s="1697"/>
      <c r="R822" s="1697"/>
      <c r="S822" s="1697"/>
      <c r="T822" s="1697"/>
      <c r="U822" s="1697"/>
      <c r="V822" s="1697"/>
      <c r="W822" s="1697"/>
      <c r="X822" s="1697"/>
      <c r="Y822" s="1697"/>
      <c r="Z822" s="1697"/>
      <c r="AA822" s="1697"/>
      <c r="AB822" s="1697"/>
      <c r="AC822" s="1697"/>
      <c r="AD822" s="1697"/>
      <c r="AE822" s="1697"/>
      <c r="AF822" s="1697"/>
      <c r="AG822" s="1697"/>
      <c r="AH822" s="1697"/>
      <c r="AI822" s="1697"/>
      <c r="AJ822" s="1697"/>
      <c r="AK822" s="1697"/>
      <c r="AL822" s="1697"/>
      <c r="AM822" s="1697"/>
      <c r="AN822" s="1697"/>
      <c r="AO822" s="1697"/>
      <c r="AP822" s="1697"/>
      <c r="AQ822" s="1697"/>
      <c r="AR822" s="1697"/>
      <c r="AS822" s="1697"/>
      <c r="AT822" s="1697"/>
      <c r="AU822" s="1697"/>
      <c r="AV822" s="1697"/>
      <c r="AW822" s="1697"/>
      <c r="AX822" s="1697"/>
      <c r="AY822" s="1697"/>
      <c r="AZ822" s="1697"/>
      <c r="BA822" s="1697"/>
      <c r="BB822" s="1697"/>
      <c r="BC822" s="1697"/>
      <c r="BD822" s="1697"/>
      <c r="BE822" s="1697"/>
      <c r="BF822" s="1697"/>
      <c r="BG822" s="1697"/>
      <c r="BH822" s="1697"/>
      <c r="BI822" s="1697"/>
      <c r="BJ822" s="1697"/>
      <c r="BK822" s="1697"/>
      <c r="BL822" s="1697"/>
      <c r="BM822" s="1697"/>
      <c r="BN822" s="1697"/>
      <c r="BO822" s="1697"/>
      <c r="BP822" s="1697"/>
      <c r="BQ822" s="1697"/>
      <c r="BR822" s="1697"/>
      <c r="BS822" s="1697"/>
      <c r="BT822" s="1697"/>
      <c r="BU822" s="1697"/>
      <c r="BV822" s="1697"/>
      <c r="BW822" s="1697"/>
      <c r="BX822" s="1697"/>
      <c r="BY822" s="1697"/>
      <c r="BZ822" s="1697"/>
      <c r="CA822" s="1697"/>
      <c r="CB822" s="1697"/>
      <c r="CC822" s="1697"/>
      <c r="CD822" s="1697"/>
      <c r="CE822" s="1697"/>
      <c r="CF822" s="1697"/>
      <c r="CG822" s="1697"/>
      <c r="CH822" s="1697"/>
      <c r="CI822" s="1697"/>
      <c r="CJ822" s="1697"/>
      <c r="CK822" s="1697"/>
      <c r="CL822" s="1697"/>
      <c r="CM822" s="1697"/>
      <c r="CN822" s="1697"/>
      <c r="CO822" s="1697"/>
      <c r="CP822" s="1697"/>
      <c r="CQ822" s="1697"/>
      <c r="CR822" s="1697"/>
      <c r="CS822" s="1697"/>
      <c r="CT822" s="1697"/>
      <c r="CU822" s="1697"/>
      <c r="CV822" s="1697"/>
      <c r="CW822" s="1697"/>
      <c r="CX822" s="1697"/>
      <c r="CY822" s="1697"/>
      <c r="CZ822" s="1697"/>
      <c r="DA822" s="1697"/>
      <c r="DB822" s="1697"/>
      <c r="DC822" s="1697"/>
      <c r="DD822" s="1697"/>
      <c r="DE822" s="1697"/>
      <c r="DF822" s="1697"/>
      <c r="DG822" s="1697"/>
      <c r="DH822" s="1697"/>
      <c r="DI822" s="1697"/>
      <c r="DJ822" s="1697"/>
      <c r="DK822" s="1697"/>
      <c r="DL822" s="1697"/>
      <c r="DM822" s="1697"/>
      <c r="DN822" s="1697"/>
      <c r="DO822" s="1697"/>
      <c r="DP822" s="1697"/>
      <c r="DQ822" s="1697"/>
      <c r="DR822" s="1697"/>
      <c r="DS822" s="1697"/>
      <c r="DT822" s="1697"/>
      <c r="DU822" s="1697"/>
      <c r="DV822" s="1697"/>
      <c r="DW822" s="1697"/>
      <c r="DX822" s="1697"/>
      <c r="DY822" s="1697"/>
      <c r="DZ822" s="1697"/>
      <c r="EA822" s="1697"/>
      <c r="EB822" s="1697"/>
      <c r="EC822" s="1697"/>
      <c r="ED822" s="1697"/>
      <c r="EE822" s="1697"/>
      <c r="EF822" s="1697"/>
      <c r="EG822" s="1697"/>
      <c r="EH822" s="1697"/>
      <c r="EI822" s="1697"/>
      <c r="EJ822" s="1697"/>
      <c r="EK822" s="1697"/>
      <c r="EL822" s="1697"/>
      <c r="EM822" s="1697"/>
      <c r="EN822" s="1697"/>
      <c r="EO822" s="1697"/>
      <c r="EP822" s="1697"/>
      <c r="EQ822" s="1697"/>
      <c r="ER822" s="1697"/>
      <c r="ES822" s="1697"/>
      <c r="ET822" s="1697"/>
      <c r="EU822" s="1697"/>
      <c r="EV822" s="1697"/>
      <c r="EW822" s="1697"/>
      <c r="EX822" s="1697"/>
      <c r="EY822" s="1697"/>
      <c r="EZ822" s="1697"/>
      <c r="FA822" s="1697"/>
      <c r="FB822" s="1697"/>
      <c r="FC822" s="1697"/>
      <c r="FD822" s="1697"/>
      <c r="FE822" s="1697"/>
      <c r="FF822" s="1697"/>
      <c r="FG822" s="1697"/>
      <c r="FH822" s="1697"/>
      <c r="FI822" s="1697"/>
    </row>
    <row r="823" spans="1:165">
      <c r="A823" s="1697"/>
      <c r="B823" s="1697"/>
      <c r="C823" s="1697"/>
      <c r="D823" s="1697"/>
      <c r="E823" s="1697"/>
      <c r="F823" s="1697"/>
      <c r="G823" s="1697"/>
      <c r="H823" s="1697"/>
      <c r="I823" s="1697"/>
      <c r="J823" s="1697"/>
      <c r="K823" s="1697"/>
      <c r="L823" s="1697"/>
      <c r="M823" s="1697"/>
      <c r="N823" s="1697"/>
      <c r="O823" s="1697"/>
      <c r="P823" s="1697"/>
      <c r="Q823" s="1697"/>
      <c r="R823" s="1697"/>
      <c r="S823" s="1697"/>
      <c r="T823" s="1697"/>
      <c r="U823" s="1697"/>
      <c r="V823" s="1697"/>
      <c r="W823" s="1697"/>
      <c r="X823" s="1697"/>
      <c r="Y823" s="1697"/>
      <c r="Z823" s="1697"/>
      <c r="AA823" s="1697"/>
      <c r="AB823" s="1697"/>
      <c r="AC823" s="1697"/>
      <c r="AD823" s="1697"/>
      <c r="AE823" s="1697"/>
      <c r="AF823" s="1697"/>
      <c r="AG823" s="1697"/>
      <c r="AH823" s="1697"/>
      <c r="AI823" s="1697"/>
      <c r="AJ823" s="1697"/>
      <c r="AK823" s="1697"/>
      <c r="AL823" s="1697"/>
      <c r="AM823" s="1697"/>
      <c r="AN823" s="1697"/>
      <c r="AO823" s="1697"/>
      <c r="AP823" s="1697"/>
      <c r="AQ823" s="1697"/>
      <c r="AR823" s="1697"/>
      <c r="AS823" s="1697"/>
      <c r="AT823" s="1697"/>
      <c r="AU823" s="1697"/>
      <c r="AV823" s="1697"/>
      <c r="AW823" s="1697"/>
      <c r="AX823" s="1697"/>
      <c r="AY823" s="1697"/>
      <c r="AZ823" s="1697"/>
      <c r="BA823" s="1697"/>
      <c r="BB823" s="1697"/>
      <c r="BC823" s="1697"/>
      <c r="BD823" s="1697"/>
      <c r="BE823" s="1697"/>
      <c r="BF823" s="1697"/>
      <c r="BG823" s="1697"/>
      <c r="BH823" s="1697"/>
      <c r="BI823" s="1697"/>
      <c r="BJ823" s="1697"/>
      <c r="BK823" s="1697"/>
      <c r="BL823" s="1697"/>
      <c r="BM823" s="1697"/>
      <c r="BN823" s="1697"/>
      <c r="BO823" s="1697"/>
      <c r="BP823" s="1697"/>
      <c r="BQ823" s="1697"/>
      <c r="BR823" s="1697"/>
      <c r="BS823" s="1697"/>
      <c r="BT823" s="1697"/>
      <c r="BU823" s="1697"/>
      <c r="BV823" s="1697"/>
      <c r="BW823" s="1697"/>
      <c r="BX823" s="1697"/>
      <c r="BY823" s="1697"/>
      <c r="BZ823" s="1697"/>
      <c r="CA823" s="1697"/>
      <c r="CB823" s="1697"/>
      <c r="CC823" s="1697"/>
      <c r="CD823" s="1697"/>
      <c r="CE823" s="1697"/>
      <c r="CF823" s="1697"/>
      <c r="CG823" s="1697"/>
      <c r="CH823" s="1697"/>
      <c r="CI823" s="1697"/>
      <c r="CJ823" s="1697"/>
      <c r="CK823" s="1697"/>
      <c r="CL823" s="1697"/>
      <c r="CM823" s="1697"/>
      <c r="CN823" s="1697"/>
      <c r="CO823" s="1697"/>
      <c r="CP823" s="1697"/>
      <c r="CQ823" s="1697"/>
      <c r="CR823" s="1697"/>
      <c r="CS823" s="1697"/>
      <c r="CT823" s="1697"/>
      <c r="CU823" s="1697"/>
      <c r="CV823" s="1697"/>
      <c r="CW823" s="1697"/>
      <c r="CX823" s="1697"/>
      <c r="CY823" s="1697"/>
      <c r="CZ823" s="1697"/>
      <c r="DA823" s="1697"/>
      <c r="DB823" s="1697"/>
      <c r="DC823" s="1697"/>
      <c r="DD823" s="1697"/>
      <c r="DE823" s="1697"/>
      <c r="DF823" s="1697"/>
      <c r="DG823" s="1697"/>
      <c r="DH823" s="1697"/>
      <c r="DI823" s="1697"/>
      <c r="DJ823" s="1697"/>
      <c r="DK823" s="1697"/>
      <c r="DL823" s="1697"/>
      <c r="DM823" s="1697"/>
      <c r="DN823" s="1697"/>
      <c r="DO823" s="1697"/>
      <c r="DP823" s="1697"/>
      <c r="DQ823" s="1697"/>
      <c r="DR823" s="1697"/>
      <c r="DS823" s="1697"/>
      <c r="DT823" s="1697"/>
      <c r="DU823" s="1697"/>
      <c r="DV823" s="1697"/>
      <c r="DW823" s="1697"/>
      <c r="DX823" s="1697"/>
      <c r="DY823" s="1697"/>
      <c r="DZ823" s="1697"/>
      <c r="EA823" s="1697"/>
      <c r="EB823" s="1697"/>
      <c r="EC823" s="1697"/>
      <c r="ED823" s="1697"/>
      <c r="EE823" s="1697"/>
      <c r="EF823" s="1697"/>
      <c r="EG823" s="1697"/>
      <c r="EH823" s="1697"/>
      <c r="EI823" s="1697"/>
      <c r="EJ823" s="1697"/>
      <c r="EK823" s="1697"/>
      <c r="EL823" s="1697"/>
      <c r="EM823" s="1697"/>
      <c r="EN823" s="1697"/>
      <c r="EO823" s="1697"/>
      <c r="EP823" s="1697"/>
      <c r="EQ823" s="1697"/>
      <c r="ER823" s="1697"/>
      <c r="ES823" s="1697"/>
      <c r="ET823" s="1697"/>
      <c r="EU823" s="1697"/>
      <c r="EV823" s="1697"/>
      <c r="EW823" s="1697"/>
      <c r="EX823" s="1697"/>
      <c r="EY823" s="1697"/>
      <c r="EZ823" s="1697"/>
      <c r="FA823" s="1697"/>
      <c r="FB823" s="1697"/>
      <c r="FC823" s="1697"/>
      <c r="FD823" s="1697"/>
      <c r="FE823" s="1697"/>
      <c r="FF823" s="1697"/>
      <c r="FG823" s="1697"/>
      <c r="FH823" s="1697"/>
      <c r="FI823" s="1697"/>
    </row>
    <row r="824" spans="1:165">
      <c r="A824" s="1697"/>
      <c r="B824" s="1697"/>
      <c r="C824" s="1697"/>
      <c r="D824" s="1697"/>
      <c r="E824" s="1697"/>
      <c r="F824" s="1697"/>
      <c r="G824" s="1697"/>
      <c r="H824" s="1697"/>
      <c r="I824" s="1697"/>
      <c r="J824" s="1697"/>
      <c r="K824" s="1697"/>
      <c r="L824" s="1697"/>
      <c r="M824" s="1697"/>
      <c r="N824" s="1697"/>
      <c r="O824" s="1697"/>
      <c r="P824" s="1697"/>
      <c r="Q824" s="1697"/>
      <c r="R824" s="1697"/>
      <c r="S824" s="1697"/>
      <c r="T824" s="1697"/>
      <c r="U824" s="1697"/>
      <c r="V824" s="1697"/>
      <c r="W824" s="1697"/>
      <c r="X824" s="1697"/>
      <c r="Y824" s="1697"/>
      <c r="Z824" s="1697"/>
      <c r="AA824" s="1697"/>
      <c r="AB824" s="1697"/>
      <c r="AC824" s="1697"/>
      <c r="AD824" s="1697"/>
      <c r="AE824" s="1697"/>
      <c r="AF824" s="1697"/>
      <c r="AG824" s="1697"/>
      <c r="AH824" s="1697"/>
      <c r="AI824" s="1697"/>
      <c r="AJ824" s="1697"/>
      <c r="AK824" s="1697"/>
      <c r="AL824" s="1697"/>
      <c r="AM824" s="1697"/>
      <c r="AN824" s="1697"/>
      <c r="AO824" s="1697"/>
      <c r="AP824" s="1697"/>
      <c r="AQ824" s="1697"/>
      <c r="AR824" s="1697"/>
      <c r="AS824" s="1697"/>
      <c r="AT824" s="1697"/>
      <c r="AU824" s="1697"/>
      <c r="AV824" s="1697"/>
      <c r="AW824" s="1697"/>
      <c r="AX824" s="1697"/>
      <c r="AY824" s="1697"/>
      <c r="AZ824" s="1697"/>
      <c r="BA824" s="1697"/>
      <c r="BB824" s="1697"/>
      <c r="BC824" s="1697"/>
      <c r="BD824" s="1697"/>
      <c r="BE824" s="1697"/>
      <c r="BF824" s="1697"/>
      <c r="BG824" s="1697"/>
      <c r="BH824" s="1697"/>
      <c r="BI824" s="1697"/>
      <c r="BJ824" s="1697"/>
      <c r="BK824" s="1697"/>
      <c r="BL824" s="1697"/>
      <c r="BM824" s="1697"/>
      <c r="BN824" s="1697"/>
      <c r="BO824" s="1697"/>
      <c r="BP824" s="1697"/>
      <c r="BQ824" s="1697"/>
      <c r="BR824" s="1697"/>
      <c r="BS824" s="1697"/>
      <c r="BT824" s="1697"/>
      <c r="BU824" s="1697"/>
      <c r="BV824" s="1697"/>
      <c r="BW824" s="1697"/>
      <c r="BX824" s="1697"/>
      <c r="BY824" s="1697"/>
      <c r="BZ824" s="1697"/>
      <c r="CA824" s="1697"/>
      <c r="CB824" s="1697"/>
      <c r="CC824" s="1697"/>
      <c r="CD824" s="1697"/>
      <c r="CE824" s="1697"/>
      <c r="CF824" s="1697"/>
      <c r="CG824" s="1697"/>
      <c r="CH824" s="1697"/>
      <c r="CI824" s="1697"/>
      <c r="CJ824" s="1697"/>
      <c r="CK824" s="1697"/>
      <c r="CL824" s="1697"/>
      <c r="CM824" s="1697"/>
      <c r="CN824" s="1697"/>
      <c r="CO824" s="1697"/>
      <c r="CP824" s="1697"/>
      <c r="CQ824" s="1697"/>
      <c r="CR824" s="1697"/>
      <c r="CS824" s="1697"/>
      <c r="CT824" s="1697"/>
      <c r="CU824" s="1697"/>
      <c r="CV824" s="1697"/>
      <c r="CW824" s="1697"/>
      <c r="CX824" s="1697"/>
      <c r="CY824" s="1697"/>
      <c r="CZ824" s="1697"/>
      <c r="DA824" s="1697"/>
      <c r="DB824" s="1697"/>
      <c r="DC824" s="1697"/>
      <c r="DD824" s="1697"/>
      <c r="DE824" s="1697"/>
      <c r="DF824" s="1697"/>
      <c r="DG824" s="1697"/>
      <c r="DH824" s="1697"/>
      <c r="DI824" s="1697"/>
      <c r="DJ824" s="1697"/>
      <c r="DK824" s="1697"/>
      <c r="DL824" s="1697"/>
      <c r="DM824" s="1697"/>
      <c r="DN824" s="1697"/>
      <c r="DO824" s="1697"/>
      <c r="DP824" s="1697"/>
      <c r="DQ824" s="1697"/>
      <c r="DR824" s="1697"/>
      <c r="DS824" s="1697"/>
      <c r="DT824" s="1697"/>
      <c r="DU824" s="1697"/>
      <c r="DV824" s="1697"/>
      <c r="DW824" s="1697"/>
      <c r="DX824" s="1697"/>
      <c r="DY824" s="1697"/>
      <c r="DZ824" s="1697"/>
      <c r="EA824" s="1697"/>
      <c r="EB824" s="1697"/>
      <c r="EC824" s="1697"/>
      <c r="ED824" s="1697"/>
      <c r="EE824" s="1697"/>
      <c r="EF824" s="1697"/>
      <c r="EG824" s="1697"/>
      <c r="EH824" s="1697"/>
      <c r="EI824" s="1697"/>
      <c r="EJ824" s="1697"/>
      <c r="EK824" s="1697"/>
      <c r="EL824" s="1697"/>
      <c r="EM824" s="1697"/>
      <c r="EN824" s="1697"/>
      <c r="EO824" s="1697"/>
      <c r="EP824" s="1697"/>
      <c r="EQ824" s="1697"/>
      <c r="ER824" s="1697"/>
      <c r="ES824" s="1697"/>
      <c r="ET824" s="1697"/>
      <c r="EU824" s="1697"/>
      <c r="EV824" s="1697"/>
      <c r="EW824" s="1697"/>
      <c r="EX824" s="1697"/>
      <c r="EY824" s="1697"/>
      <c r="EZ824" s="1697"/>
      <c r="FA824" s="1697"/>
      <c r="FB824" s="1697"/>
      <c r="FC824" s="1697"/>
      <c r="FD824" s="1697"/>
      <c r="FE824" s="1697"/>
      <c r="FF824" s="1697"/>
      <c r="FG824" s="1697"/>
      <c r="FH824" s="1697"/>
      <c r="FI824" s="1697"/>
    </row>
    <row r="825" spans="1:165">
      <c r="A825" s="1697"/>
      <c r="B825" s="1697"/>
      <c r="C825" s="1697"/>
      <c r="D825" s="1697"/>
      <c r="E825" s="1697"/>
      <c r="F825" s="1697"/>
      <c r="G825" s="1697"/>
      <c r="H825" s="1697"/>
      <c r="I825" s="1697"/>
      <c r="J825" s="1697"/>
      <c r="K825" s="1697"/>
      <c r="L825" s="1697"/>
      <c r="M825" s="1697"/>
      <c r="N825" s="1697"/>
      <c r="O825" s="1697"/>
      <c r="P825" s="1697"/>
      <c r="Q825" s="1697"/>
      <c r="R825" s="1697"/>
      <c r="S825" s="1697"/>
      <c r="T825" s="1697"/>
      <c r="U825" s="1697"/>
      <c r="V825" s="1697"/>
      <c r="W825" s="1697"/>
      <c r="X825" s="1697"/>
      <c r="Y825" s="1697"/>
      <c r="Z825" s="1697"/>
      <c r="AA825" s="1697"/>
      <c r="AB825" s="1697"/>
      <c r="AC825" s="1697"/>
      <c r="AD825" s="1697"/>
      <c r="AE825" s="1697"/>
      <c r="AF825" s="1697"/>
      <c r="AG825" s="1697"/>
      <c r="AH825" s="1697"/>
      <c r="AI825" s="1697"/>
      <c r="AJ825" s="1697"/>
      <c r="AK825" s="1697"/>
      <c r="AL825" s="1697"/>
      <c r="AM825" s="1697"/>
      <c r="AN825" s="1697"/>
      <c r="AO825" s="1697"/>
      <c r="AP825" s="1697"/>
      <c r="AQ825" s="1697"/>
      <c r="AR825" s="1697"/>
      <c r="AS825" s="1697"/>
      <c r="AT825" s="1697"/>
      <c r="AU825" s="1697"/>
      <c r="AV825" s="1697"/>
      <c r="AW825" s="1697"/>
      <c r="AX825" s="1697"/>
      <c r="AY825" s="1697"/>
      <c r="AZ825" s="1697"/>
      <c r="BA825" s="1697"/>
      <c r="BB825" s="1697"/>
      <c r="BC825" s="1697"/>
      <c r="BD825" s="1697"/>
      <c r="BE825" s="1697"/>
      <c r="BF825" s="1697"/>
      <c r="BG825" s="1697"/>
      <c r="BH825" s="1697"/>
      <c r="BI825" s="1697"/>
      <c r="BJ825" s="1697"/>
      <c r="BK825" s="1697"/>
      <c r="BL825" s="1697"/>
      <c r="BM825" s="1697"/>
      <c r="BN825" s="1697"/>
      <c r="BO825" s="1697"/>
      <c r="BP825" s="1697"/>
      <c r="BQ825" s="1697"/>
      <c r="BR825" s="1697"/>
      <c r="BS825" s="1697"/>
      <c r="BT825" s="1697"/>
      <c r="BU825" s="1697"/>
      <c r="BV825" s="1697"/>
      <c r="BW825" s="1697"/>
      <c r="BX825" s="1697"/>
      <c r="BY825" s="1697"/>
      <c r="BZ825" s="1697"/>
      <c r="CA825" s="1697"/>
      <c r="CB825" s="1697"/>
      <c r="CC825" s="1697"/>
      <c r="CD825" s="1697"/>
      <c r="CE825" s="1697"/>
      <c r="CF825" s="1697"/>
      <c r="CG825" s="1697"/>
      <c r="CH825" s="1697"/>
      <c r="CI825" s="1697"/>
      <c r="CJ825" s="1697"/>
      <c r="CK825" s="1697"/>
      <c r="CL825" s="1697"/>
      <c r="CM825" s="1697"/>
      <c r="CN825" s="1697"/>
      <c r="CO825" s="1697"/>
      <c r="CP825" s="1697"/>
      <c r="CQ825" s="1697"/>
      <c r="CR825" s="1697"/>
      <c r="CS825" s="1697"/>
      <c r="CT825" s="1697"/>
      <c r="CU825" s="1697"/>
      <c r="CV825" s="1697"/>
      <c r="CW825" s="1697"/>
      <c r="CX825" s="1697"/>
      <c r="CY825" s="1697"/>
      <c r="CZ825" s="1697"/>
      <c r="DA825" s="1697"/>
      <c r="DB825" s="1697"/>
      <c r="DC825" s="1697"/>
      <c r="DD825" s="1697"/>
      <c r="DE825" s="1697"/>
      <c r="DF825" s="1697"/>
      <c r="DG825" s="1697"/>
      <c r="DH825" s="1697"/>
      <c r="DI825" s="1697"/>
      <c r="DJ825" s="1697"/>
      <c r="DK825" s="1697"/>
      <c r="DL825" s="1697"/>
      <c r="DM825" s="1697"/>
      <c r="DN825" s="1697"/>
      <c r="DO825" s="1697"/>
      <c r="DP825" s="1697"/>
      <c r="DQ825" s="1697"/>
      <c r="DR825" s="1697"/>
      <c r="DS825" s="1697"/>
      <c r="DT825" s="1697"/>
      <c r="DU825" s="1697"/>
      <c r="DV825" s="1697"/>
      <c r="DW825" s="1697"/>
      <c r="DX825" s="1697"/>
      <c r="DY825" s="1697"/>
      <c r="DZ825" s="1697"/>
      <c r="EA825" s="1697"/>
      <c r="EB825" s="1697"/>
      <c r="EC825" s="1697"/>
      <c r="ED825" s="1697"/>
      <c r="EE825" s="1697"/>
      <c r="EF825" s="1697"/>
      <c r="EG825" s="1697"/>
      <c r="EH825" s="1697"/>
      <c r="EI825" s="1697"/>
      <c r="EJ825" s="1697"/>
      <c r="EK825" s="1697"/>
      <c r="EL825" s="1697"/>
      <c r="EM825" s="1697"/>
      <c r="EN825" s="1697"/>
      <c r="EO825" s="1697"/>
      <c r="EP825" s="1697"/>
      <c r="EQ825" s="1697"/>
      <c r="ER825" s="1697"/>
      <c r="ES825" s="1697"/>
      <c r="ET825" s="1697"/>
      <c r="EU825" s="1697"/>
      <c r="EV825" s="1697"/>
      <c r="EW825" s="1697"/>
      <c r="EX825" s="1697"/>
      <c r="EY825" s="1697"/>
      <c r="EZ825" s="1697"/>
      <c r="FA825" s="1697"/>
      <c r="FB825" s="1697"/>
      <c r="FC825" s="1697"/>
      <c r="FD825" s="1697"/>
      <c r="FE825" s="1697"/>
      <c r="FF825" s="1697"/>
      <c r="FG825" s="1697"/>
      <c r="FH825" s="1697"/>
      <c r="FI825" s="1697"/>
    </row>
    <row r="826" spans="1:165">
      <c r="A826" s="1697"/>
      <c r="B826" s="1697"/>
      <c r="C826" s="1697"/>
      <c r="D826" s="1697"/>
      <c r="E826" s="1697"/>
      <c r="F826" s="1697"/>
      <c r="G826" s="1697"/>
      <c r="H826" s="1697"/>
      <c r="I826" s="1697"/>
      <c r="J826" s="1697"/>
      <c r="K826" s="1697"/>
      <c r="L826" s="1697"/>
      <c r="M826" s="1697"/>
      <c r="N826" s="1697"/>
      <c r="O826" s="1697"/>
      <c r="P826" s="1697"/>
      <c r="Q826" s="1697"/>
      <c r="R826" s="1697"/>
      <c r="S826" s="1697"/>
      <c r="T826" s="1697"/>
      <c r="U826" s="1697"/>
      <c r="V826" s="1697"/>
      <c r="W826" s="1697"/>
      <c r="X826" s="1697"/>
      <c r="Y826" s="1697"/>
      <c r="Z826" s="1697"/>
      <c r="AA826" s="1697"/>
      <c r="AB826" s="1697"/>
      <c r="AC826" s="1697"/>
      <c r="AD826" s="1697"/>
      <c r="AE826" s="1697"/>
      <c r="AF826" s="1697"/>
      <c r="AG826" s="1697"/>
      <c r="AH826" s="1697"/>
      <c r="AI826" s="1697"/>
      <c r="AJ826" s="1697"/>
      <c r="AK826" s="1697"/>
      <c r="AL826" s="1697"/>
      <c r="AM826" s="1697"/>
      <c r="AN826" s="1697"/>
      <c r="AO826" s="1697"/>
      <c r="AP826" s="1697"/>
      <c r="AQ826" s="1697"/>
      <c r="AR826" s="1697"/>
      <c r="AS826" s="1697"/>
      <c r="AT826" s="1697"/>
      <c r="AU826" s="1697"/>
      <c r="AV826" s="1697"/>
      <c r="AW826" s="1697"/>
      <c r="AX826" s="1697"/>
      <c r="AY826" s="1697"/>
      <c r="AZ826" s="1697"/>
      <c r="BA826" s="1697"/>
      <c r="BB826" s="1697"/>
      <c r="BC826" s="1697"/>
      <c r="BD826" s="1697"/>
      <c r="BE826" s="1697"/>
      <c r="BF826" s="1697"/>
      <c r="BG826" s="1697"/>
      <c r="BH826" s="1697"/>
      <c r="BI826" s="1697"/>
      <c r="BJ826" s="1697"/>
      <c r="BK826" s="1697"/>
      <c r="BL826" s="1697"/>
      <c r="BM826" s="1697"/>
      <c r="BN826" s="1697"/>
      <c r="BO826" s="1697"/>
      <c r="BP826" s="1697"/>
      <c r="BQ826" s="1697"/>
      <c r="BR826" s="1697"/>
      <c r="BS826" s="1697"/>
      <c r="BT826" s="1697"/>
      <c r="BU826" s="1697"/>
      <c r="BV826" s="1697"/>
      <c r="BW826" s="1697"/>
      <c r="BX826" s="1697"/>
      <c r="BY826" s="1697"/>
      <c r="BZ826" s="1697"/>
      <c r="CA826" s="1697"/>
      <c r="CB826" s="1697"/>
      <c r="CC826" s="1697"/>
      <c r="CD826" s="1697"/>
      <c r="CE826" s="1697"/>
      <c r="CF826" s="1697"/>
      <c r="CG826" s="1697"/>
      <c r="CH826" s="1697"/>
      <c r="CI826" s="1697"/>
      <c r="CJ826" s="1697"/>
      <c r="CK826" s="1697"/>
      <c r="CL826" s="1697"/>
      <c r="CM826" s="1697"/>
      <c r="CN826" s="1697"/>
      <c r="CO826" s="1697"/>
      <c r="CP826" s="1697"/>
      <c r="CQ826" s="1697"/>
      <c r="CR826" s="1697"/>
      <c r="CS826" s="1697"/>
      <c r="CT826" s="1697"/>
      <c r="CU826" s="1697"/>
      <c r="CV826" s="1697"/>
      <c r="CW826" s="1697"/>
      <c r="CX826" s="1697"/>
      <c r="CY826" s="1697"/>
      <c r="CZ826" s="1697"/>
      <c r="DA826" s="1697"/>
      <c r="DB826" s="1697"/>
      <c r="DC826" s="1697"/>
      <c r="DD826" s="1697"/>
      <c r="DE826" s="1697"/>
      <c r="DF826" s="1697"/>
      <c r="DG826" s="1697"/>
      <c r="DH826" s="1697"/>
      <c r="DI826" s="1697"/>
      <c r="DJ826" s="1697"/>
      <c r="DK826" s="1697"/>
      <c r="DL826" s="1697"/>
      <c r="DM826" s="1697"/>
      <c r="DN826" s="1697"/>
      <c r="DO826" s="1697"/>
      <c r="DP826" s="1697"/>
      <c r="DQ826" s="1697"/>
      <c r="DR826" s="1697"/>
      <c r="DS826" s="1697"/>
      <c r="DT826" s="1697"/>
      <c r="DU826" s="1697"/>
      <c r="DV826" s="1697"/>
      <c r="DW826" s="1697"/>
      <c r="DX826" s="1697"/>
      <c r="DY826" s="1697"/>
      <c r="DZ826" s="1697"/>
      <c r="EA826" s="1697"/>
      <c r="EB826" s="1697"/>
      <c r="EC826" s="1697"/>
      <c r="ED826" s="1697"/>
      <c r="EE826" s="1697"/>
      <c r="EF826" s="1697"/>
      <c r="EG826" s="1697"/>
      <c r="EH826" s="1697"/>
      <c r="EI826" s="1697"/>
      <c r="EJ826" s="1697"/>
      <c r="EK826" s="1697"/>
      <c r="EL826" s="1697"/>
      <c r="EM826" s="1697"/>
      <c r="EN826" s="1697"/>
      <c r="EO826" s="1697"/>
      <c r="EP826" s="1697"/>
      <c r="EQ826" s="1697"/>
      <c r="ER826" s="1697"/>
      <c r="ES826" s="1697"/>
      <c r="ET826" s="1697"/>
      <c r="EU826" s="1697"/>
      <c r="EV826" s="1697"/>
      <c r="EW826" s="1697"/>
      <c r="EX826" s="1697"/>
      <c r="EY826" s="1697"/>
      <c r="EZ826" s="1697"/>
      <c r="FA826" s="1697"/>
      <c r="FB826" s="1697"/>
      <c r="FC826" s="1697"/>
      <c r="FD826" s="1697"/>
      <c r="FE826" s="1697"/>
      <c r="FF826" s="1697"/>
      <c r="FG826" s="1697"/>
      <c r="FH826" s="1697"/>
      <c r="FI826" s="1697"/>
    </row>
    <row r="827" spans="1:165">
      <c r="A827" s="1697"/>
      <c r="B827" s="1697"/>
      <c r="C827" s="1697"/>
      <c r="D827" s="1697"/>
      <c r="E827" s="1697"/>
      <c r="F827" s="1697"/>
      <c r="G827" s="1697"/>
      <c r="H827" s="1697"/>
      <c r="I827" s="1697"/>
      <c r="J827" s="1697"/>
      <c r="K827" s="1697"/>
      <c r="L827" s="1697"/>
      <c r="M827" s="1697"/>
      <c r="N827" s="1697"/>
      <c r="O827" s="1697"/>
      <c r="P827" s="1697"/>
      <c r="Q827" s="1697"/>
      <c r="R827" s="1697"/>
      <c r="S827" s="1697"/>
      <c r="T827" s="1697"/>
      <c r="U827" s="1697"/>
      <c r="V827" s="1697"/>
      <c r="W827" s="1697"/>
      <c r="X827" s="1697"/>
      <c r="Y827" s="1697"/>
      <c r="Z827" s="1697"/>
      <c r="AA827" s="1697"/>
      <c r="AB827" s="1697"/>
      <c r="AC827" s="1697"/>
      <c r="AD827" s="1697"/>
      <c r="AE827" s="1697"/>
      <c r="AF827" s="1697"/>
      <c r="AG827" s="1697"/>
      <c r="AH827" s="1697"/>
      <c r="AI827" s="1697"/>
      <c r="AJ827" s="1697"/>
      <c r="AK827" s="1697"/>
      <c r="AL827" s="1697"/>
      <c r="AM827" s="1697"/>
      <c r="AN827" s="1697"/>
      <c r="AO827" s="1697"/>
      <c r="AP827" s="1697"/>
      <c r="AQ827" s="1697"/>
      <c r="AR827" s="1697"/>
      <c r="AS827" s="1697"/>
      <c r="AT827" s="1697"/>
      <c r="AU827" s="1697"/>
      <c r="AV827" s="1697"/>
      <c r="AW827" s="1697"/>
      <c r="AX827" s="1697"/>
      <c r="AY827" s="1697"/>
      <c r="AZ827" s="1697"/>
      <c r="BA827" s="1697"/>
      <c r="BB827" s="1697"/>
      <c r="BC827" s="1697"/>
      <c r="BD827" s="1697"/>
      <c r="BE827" s="1697"/>
      <c r="BF827" s="1697"/>
      <c r="BG827" s="1697"/>
      <c r="BH827" s="1697"/>
      <c r="BI827" s="1697"/>
      <c r="BJ827" s="1697"/>
      <c r="BK827" s="1697"/>
      <c r="BL827" s="1697"/>
      <c r="BM827" s="1697"/>
      <c r="BN827" s="1697"/>
      <c r="BO827" s="1697"/>
      <c r="BP827" s="1697"/>
      <c r="BQ827" s="1697"/>
      <c r="BR827" s="1697"/>
      <c r="BS827" s="1697"/>
      <c r="BT827" s="1697"/>
      <c r="BU827" s="1697"/>
      <c r="BV827" s="1697"/>
      <c r="BW827" s="1697"/>
      <c r="BX827" s="1697"/>
      <c r="BY827" s="1697"/>
      <c r="BZ827" s="1697"/>
      <c r="CA827" s="1697"/>
      <c r="CB827" s="1697"/>
      <c r="CC827" s="1697"/>
      <c r="CD827" s="1697"/>
      <c r="CE827" s="1697"/>
      <c r="CF827" s="1697"/>
      <c r="CG827" s="1697"/>
      <c r="CH827" s="1697"/>
      <c r="CI827" s="1697"/>
      <c r="CJ827" s="1697"/>
      <c r="CK827" s="1697"/>
      <c r="CL827" s="1697"/>
      <c r="CM827" s="1697"/>
      <c r="CN827" s="1697"/>
      <c r="CO827" s="1697"/>
      <c r="CP827" s="1697"/>
      <c r="CQ827" s="1697"/>
      <c r="CR827" s="1697"/>
      <c r="CS827" s="1697"/>
      <c r="CT827" s="1697"/>
      <c r="CU827" s="1697"/>
      <c r="CV827" s="1697"/>
      <c r="CW827" s="1697"/>
      <c r="CX827" s="1697"/>
      <c r="CY827" s="1697"/>
      <c r="CZ827" s="1697"/>
      <c r="DA827" s="1697"/>
      <c r="DB827" s="1697"/>
      <c r="DC827" s="1697"/>
      <c r="DD827" s="1697"/>
      <c r="DE827" s="1697"/>
      <c r="DF827" s="1697"/>
      <c r="DG827" s="1697"/>
      <c r="DH827" s="1697"/>
      <c r="DI827" s="1697"/>
      <c r="DJ827" s="1697"/>
      <c r="DK827" s="1697"/>
      <c r="DL827" s="1697"/>
      <c r="DM827" s="1697"/>
      <c r="DN827" s="1697"/>
      <c r="DO827" s="1697"/>
      <c r="DP827" s="1697"/>
      <c r="DQ827" s="1697"/>
      <c r="DR827" s="1697"/>
      <c r="DS827" s="1697"/>
      <c r="DT827" s="1697"/>
      <c r="DU827" s="1697"/>
      <c r="DV827" s="1697"/>
      <c r="DW827" s="1697"/>
      <c r="DX827" s="1697"/>
      <c r="DY827" s="1697"/>
      <c r="DZ827" s="1697"/>
      <c r="EA827" s="1697"/>
      <c r="EB827" s="1697"/>
      <c r="EC827" s="1697"/>
      <c r="ED827" s="1697"/>
      <c r="EE827" s="1697"/>
      <c r="EF827" s="1697"/>
      <c r="EG827" s="1697"/>
      <c r="EH827" s="1697"/>
      <c r="EI827" s="1697"/>
      <c r="EJ827" s="1697"/>
      <c r="EK827" s="1697"/>
      <c r="EL827" s="1697"/>
      <c r="EM827" s="1697"/>
      <c r="EN827" s="1697"/>
      <c r="EO827" s="1697"/>
      <c r="EP827" s="1697"/>
      <c r="EQ827" s="1697"/>
      <c r="ER827" s="1697"/>
      <c r="ES827" s="1697"/>
      <c r="ET827" s="1697"/>
      <c r="EU827" s="1697"/>
      <c r="EV827" s="1697"/>
      <c r="EW827" s="1697"/>
      <c r="EX827" s="1697"/>
      <c r="EY827" s="1697"/>
      <c r="EZ827" s="1697"/>
      <c r="FA827" s="1697"/>
      <c r="FB827" s="1697"/>
      <c r="FC827" s="1697"/>
      <c r="FD827" s="1697"/>
      <c r="FE827" s="1697"/>
      <c r="FF827" s="1697"/>
      <c r="FG827" s="1697"/>
      <c r="FH827" s="1697"/>
      <c r="FI827" s="1697"/>
    </row>
    <row r="828" spans="1:165">
      <c r="A828" s="1697"/>
      <c r="B828" s="1697"/>
      <c r="C828" s="1697"/>
      <c r="D828" s="1697"/>
      <c r="E828" s="1697"/>
      <c r="F828" s="1697"/>
      <c r="G828" s="1697"/>
      <c r="H828" s="1697"/>
      <c r="I828" s="1697"/>
      <c r="J828" s="1697"/>
      <c r="K828" s="1697"/>
      <c r="L828" s="1697"/>
      <c r="M828" s="1697"/>
      <c r="N828" s="1697"/>
      <c r="O828" s="1697"/>
      <c r="P828" s="1697"/>
      <c r="Q828" s="1697"/>
      <c r="R828" s="1697"/>
      <c r="S828" s="1697"/>
      <c r="T828" s="1697"/>
      <c r="U828" s="1697"/>
      <c r="V828" s="1697"/>
      <c r="W828" s="1697"/>
      <c r="X828" s="1697"/>
      <c r="Y828" s="1697"/>
      <c r="Z828" s="1697"/>
      <c r="AA828" s="1697"/>
      <c r="AB828" s="1697"/>
      <c r="AC828" s="1697"/>
      <c r="AD828" s="1697"/>
      <c r="AE828" s="1697"/>
      <c r="AF828" s="1697"/>
      <c r="AG828" s="1697"/>
      <c r="AH828" s="1697"/>
      <c r="AI828" s="1697"/>
      <c r="AJ828" s="1697"/>
      <c r="AK828" s="1697"/>
      <c r="AL828" s="1697"/>
      <c r="AM828" s="1697"/>
      <c r="AN828" s="1697"/>
      <c r="AO828" s="1697"/>
      <c r="AP828" s="1697"/>
      <c r="AQ828" s="1697"/>
      <c r="AR828" s="1697"/>
      <c r="AS828" s="1697"/>
      <c r="AT828" s="1697"/>
      <c r="AU828" s="1697"/>
      <c r="AV828" s="1697"/>
      <c r="AW828" s="1697"/>
      <c r="AX828" s="1697"/>
      <c r="AY828" s="1697"/>
      <c r="AZ828" s="1697"/>
      <c r="BA828" s="1697"/>
      <c r="BB828" s="1697"/>
      <c r="BC828" s="1697"/>
      <c r="BD828" s="1697"/>
      <c r="BE828" s="1697"/>
      <c r="BF828" s="1697"/>
      <c r="BG828" s="1697"/>
      <c r="BH828" s="1697"/>
      <c r="BI828" s="1697"/>
      <c r="BJ828" s="1697"/>
      <c r="BK828" s="1697"/>
      <c r="BL828" s="1697"/>
      <c r="BM828" s="1697"/>
      <c r="BN828" s="1697"/>
      <c r="BO828" s="1697"/>
      <c r="BP828" s="1697"/>
      <c r="BQ828" s="1697"/>
      <c r="BR828" s="1697"/>
      <c r="BS828" s="1697"/>
      <c r="BT828" s="1697"/>
      <c r="BU828" s="1697"/>
      <c r="BV828" s="1697"/>
      <c r="BW828" s="1697"/>
      <c r="BX828" s="1697"/>
      <c r="BY828" s="1697"/>
      <c r="BZ828" s="1697"/>
      <c r="CA828" s="1697"/>
      <c r="CB828" s="1697"/>
      <c r="CC828" s="1697"/>
      <c r="CD828" s="1697"/>
      <c r="CE828" s="1697"/>
      <c r="CF828" s="1697"/>
      <c r="CG828" s="1697"/>
      <c r="CH828" s="1697"/>
      <c r="CI828" s="1697"/>
      <c r="CJ828" s="1697"/>
      <c r="CK828" s="1697"/>
      <c r="CL828" s="1697"/>
      <c r="CM828" s="1697"/>
      <c r="CN828" s="1697"/>
      <c r="CO828" s="1697"/>
      <c r="CP828" s="1697"/>
      <c r="CQ828" s="1697"/>
      <c r="CR828" s="1697"/>
      <c r="CS828" s="1697"/>
      <c r="CT828" s="1697"/>
      <c r="CU828" s="1697"/>
      <c r="CV828" s="1697"/>
      <c r="CW828" s="1697"/>
      <c r="CX828" s="1697"/>
      <c r="CY828" s="1697"/>
      <c r="CZ828" s="1697"/>
      <c r="DA828" s="1697"/>
      <c r="DB828" s="1697"/>
      <c r="DC828" s="1697"/>
      <c r="DD828" s="1697"/>
      <c r="DE828" s="1697"/>
      <c r="DF828" s="1697"/>
      <c r="DG828" s="1697"/>
      <c r="DH828" s="1697"/>
      <c r="DI828" s="1697"/>
      <c r="DJ828" s="1697"/>
      <c r="DK828" s="1697"/>
      <c r="DL828" s="1697"/>
      <c r="DM828" s="1697"/>
      <c r="DN828" s="1697"/>
      <c r="DO828" s="1697"/>
      <c r="DP828" s="1697"/>
      <c r="DQ828" s="1697"/>
      <c r="DR828" s="1697"/>
      <c r="DS828" s="1697"/>
      <c r="DT828" s="1697"/>
      <c r="DU828" s="1697"/>
      <c r="DV828" s="1697"/>
      <c r="DW828" s="1697"/>
      <c r="DX828" s="1697"/>
      <c r="DY828" s="1697"/>
      <c r="DZ828" s="1697"/>
      <c r="EA828" s="1697"/>
      <c r="EB828" s="1697"/>
      <c r="EC828" s="1697"/>
      <c r="ED828" s="1697"/>
      <c r="EE828" s="1697"/>
      <c r="EF828" s="1697"/>
      <c r="EG828" s="1697"/>
      <c r="EH828" s="1697"/>
      <c r="EI828" s="1697"/>
      <c r="EJ828" s="1697"/>
      <c r="EK828" s="1697"/>
      <c r="EL828" s="1697"/>
      <c r="EM828" s="1697"/>
      <c r="EN828" s="1697"/>
      <c r="EO828" s="1697"/>
      <c r="EP828" s="1697"/>
      <c r="EQ828" s="1697"/>
      <c r="ER828" s="1697"/>
      <c r="ES828" s="1697"/>
      <c r="ET828" s="1697"/>
      <c r="EU828" s="1697"/>
      <c r="EV828" s="1697"/>
      <c r="EW828" s="1697"/>
      <c r="EX828" s="1697"/>
      <c r="EY828" s="1697"/>
      <c r="EZ828" s="1697"/>
      <c r="FA828" s="1697"/>
      <c r="FB828" s="1697"/>
      <c r="FC828" s="1697"/>
      <c r="FD828" s="1697"/>
      <c r="FE828" s="1697"/>
      <c r="FF828" s="1697"/>
      <c r="FG828" s="1697"/>
      <c r="FH828" s="1697"/>
      <c r="FI828" s="1697"/>
    </row>
    <row r="829" spans="1:165">
      <c r="A829" s="1697"/>
      <c r="B829" s="1697"/>
      <c r="C829" s="1697"/>
      <c r="D829" s="1697"/>
      <c r="E829" s="1697"/>
      <c r="F829" s="1697"/>
      <c r="G829" s="1697"/>
      <c r="H829" s="1697"/>
      <c r="I829" s="1697"/>
      <c r="J829" s="1697"/>
      <c r="K829" s="1697"/>
      <c r="L829" s="1697"/>
      <c r="M829" s="1697"/>
      <c r="N829" s="1697"/>
      <c r="O829" s="1697"/>
      <c r="P829" s="1697"/>
      <c r="Q829" s="1697"/>
      <c r="R829" s="1697"/>
      <c r="S829" s="1697"/>
      <c r="T829" s="1697"/>
      <c r="U829" s="1697"/>
      <c r="V829" s="1697"/>
      <c r="W829" s="1697"/>
      <c r="X829" s="1697"/>
      <c r="Y829" s="1697"/>
      <c r="Z829" s="1697"/>
      <c r="AA829" s="1697"/>
      <c r="AB829" s="1697"/>
      <c r="AC829" s="1697"/>
      <c r="AD829" s="1697"/>
      <c r="AE829" s="1697"/>
      <c r="AF829" s="1697"/>
      <c r="AG829" s="1697"/>
      <c r="AH829" s="1697"/>
      <c r="AI829" s="1697"/>
      <c r="AJ829" s="1697"/>
      <c r="AK829" s="1697"/>
      <c r="AL829" s="1697"/>
      <c r="AM829" s="1697"/>
      <c r="AN829" s="1697"/>
      <c r="AO829" s="1697"/>
      <c r="AP829" s="1697"/>
      <c r="AQ829" s="1697"/>
      <c r="AR829" s="1697"/>
      <c r="AS829" s="1697"/>
      <c r="AT829" s="1697"/>
      <c r="AU829" s="1697"/>
      <c r="AV829" s="1697"/>
      <c r="AW829" s="1697"/>
      <c r="AX829" s="1697"/>
      <c r="AY829" s="1697"/>
      <c r="AZ829" s="1697"/>
      <c r="BA829" s="1697"/>
      <c r="BB829" s="1697"/>
      <c r="BC829" s="1697"/>
      <c r="BD829" s="1697"/>
      <c r="BE829" s="1697"/>
      <c r="BF829" s="1697"/>
      <c r="BG829" s="1697"/>
      <c r="BH829" s="1697"/>
      <c r="BI829" s="1697"/>
      <c r="BJ829" s="1697"/>
      <c r="BK829" s="1697"/>
      <c r="BL829" s="1697"/>
      <c r="BM829" s="1697"/>
      <c r="BN829" s="1697"/>
      <c r="BO829" s="1697"/>
      <c r="BP829" s="1697"/>
      <c r="BQ829" s="1697"/>
      <c r="BR829" s="1697"/>
      <c r="BS829" s="1697"/>
      <c r="BT829" s="1697"/>
      <c r="BU829" s="1697"/>
      <c r="BV829" s="1697"/>
      <c r="BW829" s="1697"/>
      <c r="BX829" s="1697"/>
      <c r="BY829" s="1697"/>
      <c r="BZ829" s="1697"/>
      <c r="CA829" s="1697"/>
      <c r="CB829" s="1697"/>
      <c r="CC829" s="1697"/>
      <c r="CD829" s="1697"/>
      <c r="CE829" s="1697"/>
      <c r="CF829" s="1697"/>
      <c r="CG829" s="1697"/>
      <c r="CH829" s="1697"/>
      <c r="CI829" s="1697"/>
      <c r="CJ829" s="1697"/>
      <c r="CK829" s="1697"/>
      <c r="CL829" s="1697"/>
      <c r="CM829" s="1697"/>
      <c r="CN829" s="1697"/>
      <c r="CO829" s="1697"/>
      <c r="CP829" s="1697"/>
      <c r="CQ829" s="1697"/>
      <c r="CR829" s="1697"/>
      <c r="CS829" s="1697"/>
      <c r="CT829" s="1697"/>
      <c r="CU829" s="1697"/>
      <c r="CV829" s="1697"/>
      <c r="CW829" s="1697"/>
      <c r="CX829" s="1697"/>
      <c r="CY829" s="1697"/>
      <c r="CZ829" s="1697"/>
      <c r="DA829" s="1697"/>
      <c r="DB829" s="1697"/>
      <c r="DC829" s="1697"/>
      <c r="DD829" s="1697"/>
      <c r="DE829" s="1697"/>
      <c r="DF829" s="1697"/>
      <c r="DG829" s="1697"/>
      <c r="DH829" s="1697"/>
      <c r="DI829" s="1697"/>
      <c r="DJ829" s="1697"/>
      <c r="DK829" s="1697"/>
      <c r="DL829" s="1697"/>
      <c r="DM829" s="1697"/>
      <c r="DN829" s="1697"/>
      <c r="DO829" s="1697"/>
      <c r="DP829" s="1697"/>
      <c r="DQ829" s="1697"/>
      <c r="DR829" s="1697"/>
      <c r="DS829" s="1697"/>
      <c r="DT829" s="1697"/>
      <c r="DU829" s="1697"/>
      <c r="DV829" s="1697"/>
      <c r="DW829" s="1697"/>
      <c r="DX829" s="1697"/>
      <c r="DY829" s="1697"/>
      <c r="DZ829" s="1697"/>
      <c r="EA829" s="1697"/>
      <c r="EB829" s="1697"/>
      <c r="EC829" s="1697"/>
      <c r="ED829" s="1697"/>
      <c r="EE829" s="1697"/>
      <c r="EF829" s="1697"/>
      <c r="EG829" s="1697"/>
      <c r="EH829" s="1697"/>
      <c r="EI829" s="1697"/>
      <c r="EJ829" s="1697"/>
      <c r="EK829" s="1697"/>
      <c r="EL829" s="1697"/>
      <c r="EM829" s="1697"/>
      <c r="EN829" s="1697"/>
      <c r="EO829" s="1697"/>
      <c r="EP829" s="1697"/>
      <c r="EQ829" s="1697"/>
      <c r="ER829" s="1697"/>
      <c r="ES829" s="1697"/>
      <c r="ET829" s="1697"/>
      <c r="EU829" s="1697"/>
      <c r="EV829" s="1697"/>
      <c r="EW829" s="1697"/>
      <c r="EX829" s="1697"/>
      <c r="EY829" s="1697"/>
      <c r="EZ829" s="1697"/>
      <c r="FA829" s="1697"/>
      <c r="FB829" s="1697"/>
      <c r="FC829" s="1697"/>
      <c r="FD829" s="1697"/>
      <c r="FE829" s="1697"/>
      <c r="FF829" s="1697"/>
      <c r="FG829" s="1697"/>
      <c r="FH829" s="1697"/>
      <c r="FI829" s="1697"/>
    </row>
    <row r="830" spans="1:165">
      <c r="A830" s="1697"/>
      <c r="B830" s="1697"/>
      <c r="C830" s="1697"/>
      <c r="D830" s="1697"/>
      <c r="E830" s="1697"/>
      <c r="F830" s="1697"/>
      <c r="G830" s="1697"/>
      <c r="H830" s="1697"/>
      <c r="I830" s="1697"/>
      <c r="J830" s="1697"/>
      <c r="K830" s="1697"/>
      <c r="L830" s="1697"/>
      <c r="M830" s="1697"/>
      <c r="N830" s="1697"/>
      <c r="O830" s="1697"/>
      <c r="P830" s="1697"/>
      <c r="Q830" s="1697"/>
      <c r="R830" s="1697"/>
      <c r="S830" s="1697"/>
      <c r="T830" s="1697"/>
      <c r="U830" s="1697"/>
      <c r="V830" s="1697"/>
      <c r="W830" s="1697"/>
      <c r="X830" s="1697"/>
      <c r="Y830" s="1697"/>
      <c r="Z830" s="1697"/>
      <c r="AA830" s="1697"/>
      <c r="AB830" s="1697"/>
      <c r="AC830" s="1697"/>
      <c r="AD830" s="1697"/>
      <c r="AE830" s="1697"/>
      <c r="AF830" s="1697"/>
      <c r="AG830" s="1697"/>
      <c r="AH830" s="1697"/>
      <c r="AI830" s="1697"/>
      <c r="AJ830" s="1697"/>
      <c r="AK830" s="1697"/>
      <c r="AL830" s="1697"/>
      <c r="AM830" s="1697"/>
      <c r="AN830" s="1697"/>
      <c r="AO830" s="1697"/>
      <c r="AP830" s="1697"/>
      <c r="AQ830" s="1697"/>
      <c r="AR830" s="1697"/>
      <c r="AS830" s="1697"/>
      <c r="AT830" s="1697"/>
      <c r="AU830" s="1697"/>
      <c r="AV830" s="1697"/>
      <c r="AW830" s="1697"/>
      <c r="AX830" s="1697"/>
      <c r="AY830" s="1697"/>
      <c r="AZ830" s="1697"/>
      <c r="BA830" s="1697"/>
      <c r="BB830" s="1697"/>
      <c r="BC830" s="1697"/>
      <c r="BD830" s="1697"/>
      <c r="BE830" s="1697"/>
      <c r="BF830" s="1697"/>
      <c r="BG830" s="1697"/>
      <c r="BH830" s="1697"/>
      <c r="BI830" s="1697"/>
      <c r="BJ830" s="1697"/>
      <c r="BK830" s="1697"/>
      <c r="BL830" s="1697"/>
      <c r="BM830" s="1697"/>
      <c r="BN830" s="1697"/>
      <c r="BO830" s="1697"/>
      <c r="BP830" s="1697"/>
      <c r="BQ830" s="1697"/>
      <c r="BR830" s="1697"/>
      <c r="BS830" s="1697"/>
      <c r="BT830" s="1697"/>
      <c r="BU830" s="1697"/>
      <c r="BV830" s="1697"/>
      <c r="BW830" s="1697"/>
      <c r="BX830" s="1697"/>
      <c r="BY830" s="1697"/>
      <c r="BZ830" s="1697"/>
      <c r="CA830" s="1697"/>
      <c r="CB830" s="1697"/>
      <c r="CC830" s="1697"/>
      <c r="CD830" s="1697"/>
      <c r="CE830" s="1697"/>
      <c r="CF830" s="1697"/>
      <c r="CG830" s="1697"/>
      <c r="CH830" s="1697"/>
      <c r="CI830" s="1697"/>
      <c r="CJ830" s="1697"/>
      <c r="CK830" s="1697"/>
      <c r="CL830" s="1697"/>
      <c r="CM830" s="1697"/>
      <c r="CN830" s="1697"/>
      <c r="CO830" s="1697"/>
      <c r="CP830" s="1697"/>
      <c r="CQ830" s="1697"/>
      <c r="CR830" s="1697"/>
      <c r="CS830" s="1697"/>
      <c r="CT830" s="1697"/>
      <c r="CU830" s="1697"/>
      <c r="CV830" s="1697"/>
      <c r="CW830" s="1697"/>
      <c r="CX830" s="1697"/>
      <c r="CY830" s="1697"/>
      <c r="CZ830" s="1697"/>
      <c r="DA830" s="1697"/>
      <c r="DB830" s="1697"/>
      <c r="DC830" s="1697"/>
      <c r="DD830" s="1697"/>
      <c r="DE830" s="1697"/>
      <c r="DF830" s="1697"/>
      <c r="DG830" s="1697"/>
      <c r="DH830" s="1697"/>
      <c r="DI830" s="1697"/>
      <c r="DJ830" s="1697"/>
      <c r="DK830" s="1697"/>
      <c r="DL830" s="1697"/>
      <c r="DM830" s="1697"/>
      <c r="DN830" s="1697"/>
      <c r="DO830" s="1697"/>
      <c r="DP830" s="1697"/>
      <c r="DQ830" s="1697"/>
      <c r="DR830" s="1697"/>
      <c r="DS830" s="1697"/>
      <c r="DT830" s="1697"/>
      <c r="DU830" s="1697"/>
      <c r="DV830" s="1697"/>
      <c r="DW830" s="1697"/>
      <c r="DX830" s="1697"/>
      <c r="DY830" s="1697"/>
      <c r="DZ830" s="1697"/>
      <c r="EA830" s="1697"/>
      <c r="EB830" s="1697"/>
      <c r="EC830" s="1697"/>
      <c r="ED830" s="1697"/>
      <c r="EE830" s="1697"/>
      <c r="EF830" s="1697"/>
      <c r="EG830" s="1697"/>
      <c r="EH830" s="1697"/>
      <c r="EI830" s="1697"/>
      <c r="EJ830" s="1697"/>
      <c r="EK830" s="1697"/>
      <c r="EL830" s="1697"/>
      <c r="EM830" s="1697"/>
      <c r="EN830" s="1697"/>
      <c r="EO830" s="1697"/>
      <c r="EP830" s="1697"/>
      <c r="EQ830" s="1697"/>
      <c r="ER830" s="1697"/>
      <c r="ES830" s="1697"/>
      <c r="ET830" s="1697"/>
      <c r="EU830" s="1697"/>
      <c r="EV830" s="1697"/>
      <c r="EW830" s="1697"/>
      <c r="EX830" s="1697"/>
      <c r="EY830" s="1697"/>
      <c r="EZ830" s="1697"/>
      <c r="FA830" s="1697"/>
      <c r="FB830" s="1697"/>
      <c r="FC830" s="1697"/>
      <c r="FD830" s="1697"/>
      <c r="FE830" s="1697"/>
      <c r="FF830" s="1697"/>
      <c r="FG830" s="1697"/>
      <c r="FH830" s="1697"/>
      <c r="FI830" s="1697"/>
    </row>
    <row r="831" spans="1:165">
      <c r="A831" s="1697"/>
      <c r="B831" s="1697"/>
      <c r="C831" s="1697"/>
      <c r="D831" s="1697"/>
      <c r="E831" s="1697"/>
      <c r="F831" s="1697"/>
      <c r="G831" s="1697"/>
      <c r="H831" s="1697"/>
      <c r="I831" s="1697"/>
      <c r="J831" s="1697"/>
      <c r="K831" s="1697"/>
      <c r="L831" s="1697"/>
      <c r="M831" s="1697"/>
      <c r="N831" s="1697"/>
      <c r="O831" s="1697"/>
      <c r="P831" s="1697"/>
      <c r="Q831" s="1697"/>
      <c r="R831" s="1697"/>
      <c r="S831" s="1697"/>
      <c r="T831" s="1697"/>
      <c r="U831" s="1697"/>
      <c r="V831" s="1697"/>
      <c r="W831" s="1697"/>
      <c r="X831" s="1697"/>
      <c r="Y831" s="1697"/>
      <c r="Z831" s="1697"/>
      <c r="AA831" s="1697"/>
      <c r="AB831" s="1697"/>
      <c r="AC831" s="1697"/>
      <c r="AD831" s="1697"/>
      <c r="AE831" s="1697"/>
      <c r="AF831" s="1697"/>
      <c r="AG831" s="1697"/>
      <c r="AH831" s="1697"/>
      <c r="AI831" s="1697"/>
      <c r="AJ831" s="1697"/>
      <c r="AK831" s="1697"/>
      <c r="AL831" s="1697"/>
      <c r="AM831" s="1697"/>
      <c r="AN831" s="1697"/>
      <c r="AO831" s="1697"/>
      <c r="AP831" s="1697"/>
      <c r="AQ831" s="1697"/>
      <c r="AR831" s="1697"/>
      <c r="AS831" s="1697"/>
      <c r="AT831" s="1697"/>
      <c r="AU831" s="1697"/>
      <c r="AV831" s="1697"/>
      <c r="AW831" s="1697"/>
      <c r="AX831" s="1697"/>
      <c r="AY831" s="1697"/>
      <c r="AZ831" s="1697"/>
      <c r="BA831" s="1697"/>
      <c r="BB831" s="1697"/>
      <c r="BC831" s="1697"/>
      <c r="BD831" s="1697"/>
      <c r="BE831" s="1697"/>
      <c r="BF831" s="1697"/>
      <c r="BG831" s="1697"/>
      <c r="BH831" s="1697"/>
      <c r="BI831" s="1697"/>
      <c r="BJ831" s="1697"/>
      <c r="BK831" s="1697"/>
      <c r="BL831" s="1697"/>
      <c r="BM831" s="1697"/>
      <c r="BN831" s="1697"/>
      <c r="BO831" s="1697"/>
      <c r="BP831" s="1697"/>
      <c r="BQ831" s="1697"/>
      <c r="BR831" s="1697"/>
      <c r="BS831" s="1697"/>
      <c r="BT831" s="1697"/>
      <c r="BU831" s="1697"/>
      <c r="BV831" s="1697"/>
      <c r="BW831" s="1697"/>
      <c r="BX831" s="1697"/>
      <c r="BY831" s="1697"/>
      <c r="BZ831" s="1697"/>
      <c r="CA831" s="1697"/>
      <c r="CB831" s="1697"/>
      <c r="CC831" s="1697"/>
      <c r="CD831" s="1697"/>
      <c r="CE831" s="1697"/>
      <c r="CF831" s="1697"/>
      <c r="CG831" s="1697"/>
      <c r="CH831" s="1697"/>
      <c r="CI831" s="1697"/>
      <c r="CJ831" s="1697"/>
      <c r="CK831" s="1697"/>
      <c r="CL831" s="1697"/>
      <c r="CM831" s="1697"/>
      <c r="CN831" s="1697"/>
      <c r="CO831" s="1697"/>
      <c r="CP831" s="1697"/>
      <c r="CQ831" s="1697"/>
      <c r="CR831" s="1697"/>
      <c r="CS831" s="1697"/>
      <c r="CT831" s="1697"/>
      <c r="CU831" s="1697"/>
      <c r="CV831" s="1697"/>
      <c r="CW831" s="1697"/>
      <c r="CX831" s="1697"/>
      <c r="CY831" s="1697"/>
      <c r="CZ831" s="1697"/>
      <c r="DA831" s="1697"/>
      <c r="DB831" s="1697"/>
      <c r="DC831" s="1697"/>
      <c r="DD831" s="1697"/>
      <c r="DE831" s="1697"/>
      <c r="DF831" s="1697"/>
      <c r="DG831" s="1697"/>
      <c r="DH831" s="1697"/>
      <c r="DI831" s="1697"/>
      <c r="DJ831" s="1697"/>
      <c r="DK831" s="1697"/>
      <c r="DL831" s="1697"/>
      <c r="DM831" s="1697"/>
      <c r="DN831" s="1697"/>
      <c r="DO831" s="1697"/>
      <c r="DP831" s="1697"/>
      <c r="DQ831" s="1697"/>
      <c r="DR831" s="1697"/>
      <c r="DS831" s="1697"/>
      <c r="DT831" s="1697"/>
      <c r="DU831" s="1697"/>
      <c r="DV831" s="1697"/>
      <c r="DW831" s="1697"/>
      <c r="DX831" s="1697"/>
      <c r="DY831" s="1697"/>
      <c r="DZ831" s="1697"/>
      <c r="EA831" s="1697"/>
      <c r="EB831" s="1697"/>
      <c r="EC831" s="1697"/>
      <c r="ED831" s="1697"/>
      <c r="EE831" s="1697"/>
      <c r="EF831" s="1697"/>
      <c r="EG831" s="1697"/>
      <c r="EH831" s="1697"/>
      <c r="EI831" s="1697"/>
      <c r="EJ831" s="1697"/>
      <c r="EK831" s="1697"/>
      <c r="EL831" s="1697"/>
      <c r="EM831" s="1697"/>
      <c r="EN831" s="1697"/>
      <c r="EO831" s="1697"/>
      <c r="EP831" s="1697"/>
      <c r="EQ831" s="1697"/>
      <c r="ER831" s="1697"/>
      <c r="ES831" s="1697"/>
      <c r="ET831" s="1697"/>
      <c r="EU831" s="1697"/>
      <c r="EV831" s="1697"/>
      <c r="EW831" s="1697"/>
      <c r="EX831" s="1697"/>
      <c r="EY831" s="1697"/>
      <c r="EZ831" s="1697"/>
      <c r="FA831" s="1697"/>
      <c r="FB831" s="1697"/>
      <c r="FC831" s="1697"/>
      <c r="FD831" s="1697"/>
      <c r="FE831" s="1697"/>
      <c r="FF831" s="1697"/>
      <c r="FG831" s="1697"/>
      <c r="FH831" s="1697"/>
      <c r="FI831" s="1697"/>
    </row>
    <row r="832" spans="1:165">
      <c r="A832" s="1697"/>
      <c r="B832" s="1697"/>
      <c r="C832" s="1697"/>
      <c r="D832" s="1697"/>
      <c r="E832" s="1697"/>
      <c r="F832" s="1697"/>
      <c r="G832" s="1697"/>
      <c r="H832" s="1697"/>
      <c r="I832" s="1697"/>
      <c r="J832" s="1697"/>
      <c r="K832" s="1697"/>
      <c r="L832" s="1697"/>
      <c r="M832" s="1697"/>
      <c r="N832" s="1697"/>
      <c r="O832" s="1697"/>
      <c r="P832" s="1697"/>
      <c r="Q832" s="1697"/>
      <c r="R832" s="1697"/>
      <c r="S832" s="1697"/>
      <c r="T832" s="1697"/>
      <c r="U832" s="1697"/>
      <c r="V832" s="1697"/>
      <c r="W832" s="1697"/>
      <c r="X832" s="1697"/>
      <c r="Y832" s="1697"/>
      <c r="Z832" s="1697"/>
      <c r="AA832" s="1697"/>
      <c r="AB832" s="1697"/>
      <c r="AC832" s="1697"/>
      <c r="AD832" s="1697"/>
      <c r="AE832" s="1697"/>
      <c r="AF832" s="1697"/>
      <c r="AG832" s="1697"/>
      <c r="AH832" s="1697"/>
      <c r="AI832" s="1697"/>
      <c r="AJ832" s="1697"/>
      <c r="AK832" s="1697"/>
      <c r="AL832" s="1697"/>
      <c r="AM832" s="1697"/>
      <c r="AN832" s="1697"/>
      <c r="AO832" s="1697"/>
      <c r="AP832" s="1697"/>
      <c r="AQ832" s="1697"/>
      <c r="AR832" s="1697"/>
      <c r="AS832" s="1697"/>
      <c r="AT832" s="1697"/>
      <c r="AU832" s="1697"/>
      <c r="AV832" s="1697"/>
      <c r="AW832" s="1697"/>
      <c r="AX832" s="1697"/>
      <c r="AY832" s="1697"/>
      <c r="AZ832" s="1697"/>
      <c r="BA832" s="1697"/>
      <c r="BB832" s="1697"/>
      <c r="BC832" s="1697"/>
      <c r="BD832" s="1697"/>
      <c r="BE832" s="1697"/>
      <c r="BF832" s="1697"/>
      <c r="BG832" s="1697"/>
      <c r="BH832" s="1697"/>
      <c r="BI832" s="1697"/>
      <c r="BJ832" s="1697"/>
      <c r="BK832" s="1697"/>
      <c r="BL832" s="1697"/>
      <c r="BM832" s="1697"/>
      <c r="BN832" s="1697"/>
      <c r="BO832" s="1697"/>
      <c r="BP832" s="1697"/>
      <c r="BQ832" s="1697"/>
      <c r="BR832" s="1697"/>
      <c r="BS832" s="1697"/>
      <c r="BT832" s="1697"/>
      <c r="BU832" s="1697"/>
      <c r="BV832" s="1697"/>
      <c r="BW832" s="1697"/>
      <c r="BX832" s="1697"/>
      <c r="BY832" s="1697"/>
      <c r="BZ832" s="1697"/>
      <c r="CA832" s="1697"/>
      <c r="CB832" s="1697"/>
      <c r="CC832" s="1697"/>
      <c r="CD832" s="1697"/>
      <c r="CE832" s="1697"/>
      <c r="CF832" s="1697"/>
      <c r="CG832" s="1697"/>
      <c r="CH832" s="1697"/>
      <c r="CI832" s="1697"/>
      <c r="CJ832" s="1697"/>
      <c r="CK832" s="1697"/>
      <c r="CL832" s="1697"/>
      <c r="CM832" s="1697"/>
      <c r="CN832" s="1697"/>
      <c r="CO832" s="1697"/>
      <c r="CP832" s="1697"/>
      <c r="CQ832" s="1697"/>
      <c r="CR832" s="1697"/>
      <c r="CS832" s="1697"/>
      <c r="CT832" s="1697"/>
      <c r="CU832" s="1697"/>
      <c r="CV832" s="1697"/>
      <c r="CW832" s="1697"/>
      <c r="CX832" s="1697"/>
      <c r="CY832" s="1697"/>
      <c r="CZ832" s="1697"/>
      <c r="DA832" s="1697"/>
      <c r="DB832" s="1697"/>
      <c r="DC832" s="1697"/>
      <c r="DD832" s="1697"/>
      <c r="DE832" s="1697"/>
      <c r="DF832" s="1697"/>
      <c r="DG832" s="1697"/>
      <c r="DH832" s="1697"/>
      <c r="DI832" s="1697"/>
      <c r="DJ832" s="1697"/>
      <c r="DK832" s="1697"/>
      <c r="DL832" s="1697"/>
      <c r="DM832" s="1697"/>
      <c r="DN832" s="1697"/>
      <c r="DO832" s="1697"/>
      <c r="DP832" s="1697"/>
      <c r="DQ832" s="1697"/>
      <c r="DR832" s="1697"/>
      <c r="DS832" s="1697"/>
      <c r="DT832" s="1697"/>
      <c r="DU832" s="1697"/>
      <c r="DV832" s="1697"/>
      <c r="DW832" s="1697"/>
      <c r="DX832" s="1697"/>
      <c r="DY832" s="1697"/>
      <c r="DZ832" s="1697"/>
      <c r="EA832" s="1697"/>
      <c r="EB832" s="1697"/>
      <c r="EC832" s="1697"/>
      <c r="ED832" s="1697"/>
      <c r="EE832" s="1697"/>
      <c r="EF832" s="1697"/>
      <c r="EG832" s="1697"/>
      <c r="EH832" s="1697"/>
      <c r="EI832" s="1697"/>
      <c r="EJ832" s="1697"/>
      <c r="EK832" s="1697"/>
      <c r="EL832" s="1697"/>
      <c r="EM832" s="1697"/>
      <c r="EN832" s="1697"/>
      <c r="EO832" s="1697"/>
      <c r="EP832" s="1697"/>
      <c r="EQ832" s="1697"/>
      <c r="ER832" s="1697"/>
      <c r="ES832" s="1697"/>
      <c r="ET832" s="1697"/>
      <c r="EU832" s="1697"/>
      <c r="EV832" s="1697"/>
      <c r="EW832" s="1697"/>
      <c r="EX832" s="1697"/>
      <c r="EY832" s="1697"/>
      <c r="EZ832" s="1697"/>
      <c r="FA832" s="1697"/>
      <c r="FB832" s="1697"/>
      <c r="FC832" s="1697"/>
      <c r="FD832" s="1697"/>
      <c r="FE832" s="1697"/>
      <c r="FF832" s="1697"/>
      <c r="FG832" s="1697"/>
      <c r="FH832" s="1697"/>
      <c r="FI832" s="1697"/>
    </row>
    <row r="833" spans="1:165">
      <c r="A833" s="1697"/>
      <c r="B833" s="1697"/>
      <c r="C833" s="1697"/>
      <c r="D833" s="1697"/>
      <c r="E833" s="1697"/>
      <c r="F833" s="1697"/>
      <c r="G833" s="1697"/>
      <c r="H833" s="1697"/>
      <c r="I833" s="1697"/>
      <c r="J833" s="1697"/>
      <c r="K833" s="1697"/>
      <c r="L833" s="1697"/>
      <c r="M833" s="1697"/>
      <c r="N833" s="1697"/>
      <c r="O833" s="1697"/>
      <c r="P833" s="1697"/>
      <c r="Q833" s="1697"/>
      <c r="R833" s="1697"/>
      <c r="S833" s="1697"/>
      <c r="T833" s="1697"/>
      <c r="U833" s="1697"/>
      <c r="V833" s="1697"/>
      <c r="W833" s="1697"/>
      <c r="X833" s="1697"/>
      <c r="Y833" s="1697"/>
      <c r="Z833" s="1697"/>
      <c r="AA833" s="1697"/>
      <c r="AB833" s="1697"/>
      <c r="AC833" s="1697"/>
      <c r="AD833" s="1697"/>
      <c r="AE833" s="1697"/>
      <c r="AF833" s="1697"/>
      <c r="AG833" s="1697"/>
      <c r="AH833" s="1697"/>
      <c r="AI833" s="1697"/>
      <c r="AJ833" s="1697"/>
      <c r="AK833" s="1697"/>
      <c r="AL833" s="1697"/>
      <c r="AM833" s="1697"/>
      <c r="AN833" s="1697"/>
      <c r="AO833" s="1697"/>
      <c r="AP833" s="1697"/>
      <c r="AQ833" s="1697"/>
      <c r="AR833" s="1697"/>
      <c r="AS833" s="1697"/>
      <c r="AT833" s="1697"/>
      <c r="AU833" s="1697"/>
      <c r="AV833" s="1697"/>
      <c r="AW833" s="1697"/>
      <c r="AX833" s="1697"/>
      <c r="AY833" s="1697"/>
      <c r="AZ833" s="1697"/>
      <c r="BA833" s="1697"/>
      <c r="BB833" s="1697"/>
      <c r="BC833" s="1697"/>
      <c r="BD833" s="1697"/>
      <c r="BE833" s="1697"/>
      <c r="BF833" s="1697"/>
      <c r="BG833" s="1697"/>
      <c r="BH833" s="1697"/>
      <c r="BI833" s="1697"/>
      <c r="BJ833" s="1697"/>
      <c r="BK833" s="1697"/>
      <c r="BL833" s="1697"/>
      <c r="BM833" s="1697"/>
      <c r="BN833" s="1697"/>
      <c r="BO833" s="1697"/>
      <c r="BP833" s="1697"/>
      <c r="BQ833" s="1697"/>
      <c r="BR833" s="1697"/>
      <c r="BS833" s="1697"/>
      <c r="BT833" s="1697"/>
      <c r="BU833" s="1697"/>
      <c r="BV833" s="1697"/>
      <c r="BW833" s="1697"/>
      <c r="BX833" s="1697"/>
      <c r="BY833" s="1697"/>
      <c r="BZ833" s="1697"/>
      <c r="CA833" s="1697"/>
      <c r="CB833" s="1697"/>
      <c r="CC833" s="1697"/>
      <c r="CD833" s="1697"/>
      <c r="CE833" s="1697"/>
      <c r="CF833" s="1697"/>
      <c r="CG833" s="1697"/>
      <c r="CH833" s="1697"/>
      <c r="CI833" s="1697"/>
      <c r="CJ833" s="1697"/>
      <c r="CK833" s="1697"/>
      <c r="CL833" s="1697"/>
      <c r="CM833" s="1697"/>
      <c r="CN833" s="1697"/>
      <c r="CO833" s="1697"/>
      <c r="CP833" s="1697"/>
      <c r="CQ833" s="1697"/>
      <c r="CR833" s="1697"/>
      <c r="CS833" s="1697"/>
      <c r="CT833" s="1697"/>
      <c r="CU833" s="1697"/>
      <c r="CV833" s="1697"/>
      <c r="CW833" s="1697"/>
      <c r="CX833" s="1697"/>
      <c r="CY833" s="1697"/>
      <c r="CZ833" s="1697"/>
      <c r="DA833" s="1697"/>
      <c r="DB833" s="1697"/>
      <c r="DC833" s="1697"/>
      <c r="DD833" s="1697"/>
      <c r="DE833" s="1697"/>
      <c r="DF833" s="1697"/>
      <c r="DG833" s="1697"/>
      <c r="DH833" s="1697"/>
      <c r="DI833" s="1697"/>
      <c r="DJ833" s="1697"/>
      <c r="DK833" s="1697"/>
      <c r="DL833" s="1697"/>
      <c r="DM833" s="1697"/>
      <c r="DN833" s="1697"/>
      <c r="DO833" s="1697"/>
      <c r="DP833" s="1697"/>
      <c r="DQ833" s="1697"/>
      <c r="DR833" s="1697"/>
      <c r="DS833" s="1697"/>
      <c r="DT833" s="1697"/>
      <c r="DU833" s="1697"/>
      <c r="DV833" s="1697"/>
      <c r="DW833" s="1697"/>
      <c r="DX833" s="1697"/>
      <c r="DY833" s="1697"/>
      <c r="DZ833" s="1697"/>
      <c r="EA833" s="1697"/>
      <c r="EB833" s="1697"/>
      <c r="EC833" s="1697"/>
      <c r="ED833" s="1697"/>
      <c r="EE833" s="1697"/>
      <c r="EF833" s="1697"/>
      <c r="EG833" s="1697"/>
      <c r="EH833" s="1697"/>
      <c r="EI833" s="1697"/>
      <c r="EJ833" s="1697"/>
      <c r="EK833" s="1697"/>
      <c r="EL833" s="1697"/>
      <c r="EM833" s="1697"/>
      <c r="EN833" s="1697"/>
      <c r="EO833" s="1697"/>
      <c r="EP833" s="1697"/>
      <c r="EQ833" s="1697"/>
      <c r="ER833" s="1697"/>
      <c r="ES833" s="1697"/>
      <c r="ET833" s="1697"/>
      <c r="EU833" s="1697"/>
      <c r="EV833" s="1697"/>
      <c r="EW833" s="1697"/>
      <c r="EX833" s="1697"/>
      <c r="EY833" s="1697"/>
      <c r="EZ833" s="1697"/>
      <c r="FA833" s="1697"/>
      <c r="FB833" s="1697"/>
      <c r="FC833" s="1697"/>
      <c r="FD833" s="1697"/>
      <c r="FE833" s="1697"/>
      <c r="FF833" s="1697"/>
      <c r="FG833" s="1697"/>
      <c r="FH833" s="1697"/>
      <c r="FI833" s="1697"/>
    </row>
    <row r="834" spans="1:165">
      <c r="A834" s="1697"/>
      <c r="B834" s="1697"/>
      <c r="C834" s="1697"/>
      <c r="D834" s="1697"/>
      <c r="E834" s="1697"/>
      <c r="F834" s="1697"/>
      <c r="G834" s="1697"/>
      <c r="H834" s="1697"/>
      <c r="I834" s="1697"/>
      <c r="J834" s="1697"/>
      <c r="K834" s="1697"/>
      <c r="L834" s="1697"/>
      <c r="M834" s="1697"/>
      <c r="N834" s="1697"/>
      <c r="O834" s="1697"/>
      <c r="P834" s="1697"/>
      <c r="Q834" s="1697"/>
      <c r="R834" s="1697"/>
      <c r="S834" s="1697"/>
      <c r="T834" s="1697"/>
      <c r="U834" s="1697"/>
      <c r="V834" s="1697"/>
      <c r="W834" s="1697"/>
      <c r="X834" s="1697"/>
      <c r="Y834" s="1697"/>
      <c r="Z834" s="1697"/>
      <c r="AA834" s="1697"/>
      <c r="AB834" s="1697"/>
      <c r="AC834" s="1697"/>
      <c r="AD834" s="1697"/>
      <c r="AE834" s="1697"/>
      <c r="AF834" s="1697"/>
      <c r="AG834" s="1697"/>
      <c r="AH834" s="1697"/>
      <c r="AI834" s="1697"/>
      <c r="AJ834" s="1697"/>
      <c r="AK834" s="1697"/>
      <c r="AL834" s="1697"/>
      <c r="AM834" s="1697"/>
      <c r="AN834" s="1697"/>
      <c r="AO834" s="1697"/>
      <c r="AP834" s="1697"/>
      <c r="AQ834" s="1697"/>
      <c r="AR834" s="1697"/>
      <c r="AS834" s="1697"/>
      <c r="AT834" s="1697"/>
      <c r="AU834" s="1697"/>
      <c r="AV834" s="1697"/>
      <c r="AW834" s="1697"/>
      <c r="AX834" s="1697"/>
      <c r="AY834" s="1697"/>
      <c r="AZ834" s="1697"/>
      <c r="BA834" s="1697"/>
      <c r="BB834" s="1697"/>
      <c r="BC834" s="1697"/>
      <c r="BD834" s="1697"/>
      <c r="BE834" s="1697"/>
      <c r="BF834" s="1697"/>
      <c r="BG834" s="1697"/>
      <c r="BH834" s="1697"/>
      <c r="BI834" s="1697"/>
      <c r="BJ834" s="1697"/>
      <c r="BK834" s="1697"/>
      <c r="BL834" s="1697"/>
      <c r="BM834" s="1697"/>
      <c r="BN834" s="1697"/>
      <c r="BO834" s="1697"/>
      <c r="BP834" s="1697"/>
      <c r="BQ834" s="1697"/>
      <c r="BR834" s="1697"/>
      <c r="BS834" s="1697"/>
      <c r="BT834" s="1697"/>
      <c r="BU834" s="1697"/>
      <c r="BV834" s="1697"/>
      <c r="BW834" s="1697"/>
      <c r="BX834" s="1697"/>
      <c r="BY834" s="1697"/>
      <c r="BZ834" s="1697"/>
      <c r="CA834" s="1697"/>
      <c r="CB834" s="1697"/>
      <c r="CC834" s="1697"/>
      <c r="CD834" s="1697"/>
      <c r="CE834" s="1697"/>
      <c r="CF834" s="1697"/>
      <c r="CG834" s="1697"/>
      <c r="CH834" s="1697"/>
      <c r="CI834" s="1697"/>
      <c r="CJ834" s="1697"/>
      <c r="CK834" s="1697"/>
      <c r="CL834" s="1697"/>
      <c r="CM834" s="1697"/>
      <c r="CN834" s="1697"/>
      <c r="CO834" s="1697"/>
      <c r="CP834" s="1697"/>
      <c r="CQ834" s="1697"/>
      <c r="CR834" s="1697"/>
      <c r="CS834" s="1697"/>
      <c r="CT834" s="1697"/>
      <c r="CU834" s="1697"/>
      <c r="CV834" s="1697"/>
      <c r="CW834" s="1697"/>
      <c r="CX834" s="1697"/>
      <c r="CY834" s="1697"/>
      <c r="CZ834" s="1697"/>
      <c r="DA834" s="1697"/>
      <c r="DB834" s="1697"/>
      <c r="DC834" s="1697"/>
      <c r="DD834" s="1697"/>
      <c r="DE834" s="1697"/>
      <c r="DF834" s="1697"/>
      <c r="DG834" s="1697"/>
      <c r="DH834" s="1697"/>
      <c r="DI834" s="1697"/>
      <c r="DJ834" s="1697"/>
      <c r="DK834" s="1697"/>
      <c r="DL834" s="1697"/>
      <c r="DM834" s="1697"/>
      <c r="DN834" s="1697"/>
      <c r="DO834" s="1697"/>
      <c r="DP834" s="1697"/>
      <c r="DQ834" s="1697"/>
      <c r="DR834" s="1697"/>
      <c r="DS834" s="1697"/>
      <c r="DT834" s="1697"/>
      <c r="DU834" s="1697"/>
      <c r="DV834" s="1697"/>
      <c r="DW834" s="1697"/>
      <c r="DX834" s="1697"/>
      <c r="DY834" s="1697"/>
      <c r="DZ834" s="1697"/>
      <c r="EA834" s="1697"/>
      <c r="EB834" s="1697"/>
      <c r="EC834" s="1697"/>
      <c r="ED834" s="1697"/>
      <c r="EE834" s="1697"/>
      <c r="EF834" s="1697"/>
      <c r="EG834" s="1697"/>
      <c r="EH834" s="1697"/>
      <c r="EI834" s="1697"/>
      <c r="EJ834" s="1697"/>
      <c r="EK834" s="1697"/>
      <c r="EL834" s="1697"/>
      <c r="EM834" s="1697"/>
      <c r="EN834" s="1697"/>
      <c r="EO834" s="1697"/>
      <c r="EP834" s="1697"/>
      <c r="EQ834" s="1697"/>
      <c r="ER834" s="1697"/>
      <c r="ES834" s="1697"/>
      <c r="ET834" s="1697"/>
      <c r="EU834" s="1697"/>
      <c r="EV834" s="1697"/>
      <c r="EW834" s="1697"/>
      <c r="EX834" s="1697"/>
      <c r="EY834" s="1697"/>
      <c r="EZ834" s="1697"/>
      <c r="FA834" s="1697"/>
      <c r="FB834" s="1697"/>
      <c r="FC834" s="1697"/>
      <c r="FD834" s="1697"/>
      <c r="FE834" s="1697"/>
      <c r="FF834" s="1697"/>
      <c r="FG834" s="1697"/>
      <c r="FH834" s="1697"/>
      <c r="FI834" s="1697"/>
    </row>
    <row r="835" spans="1:165">
      <c r="A835" s="1697"/>
      <c r="B835" s="1697"/>
      <c r="C835" s="1697"/>
      <c r="D835" s="1697"/>
      <c r="E835" s="1697"/>
      <c r="F835" s="1697"/>
      <c r="G835" s="1697"/>
      <c r="H835" s="1697"/>
      <c r="I835" s="1697"/>
      <c r="J835" s="1697"/>
      <c r="K835" s="1697"/>
      <c r="L835" s="1697"/>
      <c r="M835" s="1697"/>
      <c r="N835" s="1697"/>
      <c r="O835" s="1697"/>
      <c r="P835" s="1697"/>
      <c r="Q835" s="1697"/>
      <c r="R835" s="1697"/>
      <c r="S835" s="1697"/>
      <c r="T835" s="1697"/>
      <c r="U835" s="1697"/>
      <c r="V835" s="1697"/>
      <c r="W835" s="1697"/>
      <c r="X835" s="1697"/>
      <c r="Y835" s="1697"/>
      <c r="Z835" s="1697"/>
      <c r="AA835" s="1697"/>
      <c r="AB835" s="1697"/>
      <c r="AC835" s="1697"/>
      <c r="AD835" s="1697"/>
      <c r="AE835" s="1697"/>
      <c r="AF835" s="1697"/>
      <c r="AG835" s="1697"/>
      <c r="AH835" s="1697"/>
      <c r="AI835" s="1697"/>
      <c r="AJ835" s="1697"/>
      <c r="AK835" s="1697"/>
      <c r="AL835" s="1697"/>
      <c r="AM835" s="1697"/>
      <c r="AN835" s="1697"/>
      <c r="AO835" s="1697"/>
      <c r="AP835" s="1697"/>
      <c r="AQ835" s="1697"/>
      <c r="AR835" s="1697"/>
      <c r="AS835" s="1697"/>
      <c r="AT835" s="1697"/>
      <c r="AU835" s="1697"/>
      <c r="AV835" s="1697"/>
      <c r="AW835" s="1697"/>
      <c r="AX835" s="1697"/>
      <c r="AY835" s="1697"/>
      <c r="AZ835" s="1697"/>
      <c r="BA835" s="1697"/>
      <c r="BB835" s="1697"/>
      <c r="BC835" s="1697"/>
      <c r="BD835" s="1697"/>
      <c r="BE835" s="1697"/>
      <c r="BF835" s="1697"/>
      <c r="BG835" s="1697"/>
      <c r="BH835" s="1697"/>
      <c r="BI835" s="1697"/>
      <c r="BJ835" s="1697"/>
      <c r="BK835" s="1697"/>
      <c r="BL835" s="1697"/>
      <c r="BM835" s="1697"/>
      <c r="BN835" s="1697"/>
      <c r="BO835" s="1697"/>
      <c r="BP835" s="1697"/>
      <c r="BQ835" s="1697"/>
      <c r="BR835" s="1697"/>
      <c r="BS835" s="1697"/>
      <c r="BT835" s="1697"/>
      <c r="BU835" s="1697"/>
      <c r="BV835" s="1697"/>
      <c r="BW835" s="1697"/>
      <c r="BX835" s="1697"/>
      <c r="BY835" s="1697"/>
      <c r="BZ835" s="1697"/>
      <c r="CA835" s="1697"/>
      <c r="CB835" s="1697"/>
      <c r="CC835" s="1697"/>
      <c r="CD835" s="1697"/>
      <c r="CE835" s="1697"/>
      <c r="CF835" s="1697"/>
      <c r="CG835" s="1697"/>
      <c r="CH835" s="1697"/>
      <c r="CI835" s="1697"/>
      <c r="CJ835" s="1697"/>
      <c r="CK835" s="1697"/>
      <c r="CL835" s="1697"/>
      <c r="CM835" s="1697"/>
      <c r="CN835" s="1697"/>
      <c r="CO835" s="1697"/>
      <c r="CP835" s="1697"/>
      <c r="CQ835" s="1697"/>
      <c r="CR835" s="1697"/>
      <c r="CS835" s="1697"/>
      <c r="CT835" s="1697"/>
      <c r="CU835" s="1697"/>
      <c r="CV835" s="1697"/>
      <c r="CW835" s="1697"/>
      <c r="CX835" s="1697"/>
      <c r="CY835" s="1697"/>
      <c r="CZ835" s="1697"/>
      <c r="DA835" s="1697"/>
      <c r="DB835" s="1697"/>
      <c r="DC835" s="1697"/>
      <c r="DD835" s="1697"/>
      <c r="DE835" s="1697"/>
      <c r="DF835" s="1697"/>
      <c r="DG835" s="1697"/>
      <c r="DH835" s="1697"/>
      <c r="DI835" s="1697"/>
      <c r="DJ835" s="1697"/>
      <c r="DK835" s="1697"/>
      <c r="DL835" s="1697"/>
      <c r="DM835" s="1697"/>
      <c r="DN835" s="1697"/>
      <c r="DO835" s="1697"/>
      <c r="DP835" s="1697"/>
      <c r="DQ835" s="1697"/>
      <c r="DR835" s="1697"/>
      <c r="DS835" s="1697"/>
      <c r="DT835" s="1697"/>
      <c r="DU835" s="1697"/>
      <c r="DV835" s="1697"/>
      <c r="DW835" s="1697"/>
      <c r="DX835" s="1697"/>
      <c r="DY835" s="1697"/>
      <c r="DZ835" s="1697"/>
      <c r="EA835" s="1697"/>
      <c r="EB835" s="1697"/>
      <c r="EC835" s="1697"/>
      <c r="ED835" s="1697"/>
      <c r="EE835" s="1697"/>
      <c r="EF835" s="1697"/>
      <c r="EG835" s="1697"/>
      <c r="EH835" s="1697"/>
      <c r="EI835" s="1697"/>
      <c r="EJ835" s="1697"/>
      <c r="EK835" s="1697"/>
      <c r="EL835" s="1697"/>
      <c r="EM835" s="1697"/>
      <c r="EN835" s="1697"/>
      <c r="EO835" s="1697"/>
      <c r="EP835" s="1697"/>
      <c r="EQ835" s="1697"/>
      <c r="ER835" s="1697"/>
      <c r="ES835" s="1697"/>
      <c r="ET835" s="1697"/>
      <c r="EU835" s="1697"/>
      <c r="EV835" s="1697"/>
      <c r="EW835" s="1697"/>
      <c r="EX835" s="1697"/>
      <c r="EY835" s="1697"/>
      <c r="EZ835" s="1697"/>
      <c r="FA835" s="1697"/>
      <c r="FB835" s="1697"/>
      <c r="FC835" s="1697"/>
      <c r="FD835" s="1697"/>
      <c r="FE835" s="1697"/>
      <c r="FF835" s="1697"/>
      <c r="FG835" s="1697"/>
      <c r="FH835" s="1697"/>
      <c r="FI835" s="1697"/>
    </row>
    <row r="836" spans="1:165">
      <c r="A836" s="1697"/>
      <c r="B836" s="1697"/>
      <c r="C836" s="1697"/>
      <c r="D836" s="1697"/>
      <c r="E836" s="1697"/>
      <c r="F836" s="1697"/>
      <c r="G836" s="1697"/>
      <c r="H836" s="1697"/>
      <c r="I836" s="1697"/>
      <c r="J836" s="1697"/>
      <c r="K836" s="1697"/>
      <c r="L836" s="1697"/>
      <c r="M836" s="1697"/>
      <c r="N836" s="1697"/>
      <c r="O836" s="1697"/>
      <c r="P836" s="1697"/>
      <c r="Q836" s="1697"/>
      <c r="R836" s="1697"/>
      <c r="S836" s="1697"/>
      <c r="T836" s="1697"/>
      <c r="U836" s="1697"/>
      <c r="V836" s="1697"/>
      <c r="W836" s="1697"/>
      <c r="X836" s="1697"/>
      <c r="Y836" s="1697"/>
      <c r="Z836" s="1697"/>
      <c r="AA836" s="1697"/>
      <c r="AB836" s="1697"/>
      <c r="AC836" s="1697"/>
      <c r="AD836" s="1697"/>
      <c r="AE836" s="1697"/>
      <c r="AF836" s="1697"/>
      <c r="AG836" s="1697"/>
      <c r="AH836" s="1697"/>
      <c r="AI836" s="1697"/>
      <c r="AJ836" s="1697"/>
      <c r="AK836" s="1697"/>
      <c r="AL836" s="1697"/>
      <c r="AM836" s="1697"/>
      <c r="AN836" s="1697"/>
      <c r="AO836" s="1697"/>
      <c r="AP836" s="1697"/>
      <c r="AQ836" s="1697"/>
      <c r="AR836" s="1697"/>
      <c r="AS836" s="1697"/>
      <c r="AT836" s="1697"/>
      <c r="AU836" s="1697"/>
      <c r="AV836" s="1697"/>
      <c r="AW836" s="1697"/>
      <c r="AX836" s="1697"/>
      <c r="AY836" s="1697"/>
      <c r="AZ836" s="1697"/>
      <c r="BA836" s="1697"/>
      <c r="BB836" s="1697"/>
      <c r="BC836" s="1697"/>
      <c r="BD836" s="1697"/>
      <c r="BE836" s="1697"/>
      <c r="BF836" s="1697"/>
      <c r="BG836" s="1697"/>
      <c r="BH836" s="1697"/>
      <c r="BI836" s="1697"/>
      <c r="BJ836" s="1697"/>
      <c r="BK836" s="1697"/>
      <c r="BL836" s="1697"/>
      <c r="BM836" s="1697"/>
      <c r="BN836" s="1697"/>
      <c r="BO836" s="1697"/>
      <c r="BP836" s="1697"/>
      <c r="BQ836" s="1697"/>
      <c r="BR836" s="1697"/>
      <c r="BS836" s="1697"/>
      <c r="BT836" s="1697"/>
      <c r="BU836" s="1697"/>
      <c r="BV836" s="1697"/>
      <c r="BW836" s="1697"/>
      <c r="BX836" s="1697"/>
      <c r="BY836" s="1697"/>
      <c r="BZ836" s="1697"/>
      <c r="CA836" s="1697"/>
      <c r="CB836" s="1697"/>
      <c r="CC836" s="1697"/>
      <c r="CD836" s="1697"/>
      <c r="CE836" s="1697"/>
      <c r="CF836" s="1697"/>
      <c r="CG836" s="1697"/>
      <c r="CH836" s="1697"/>
      <c r="CI836" s="1697"/>
      <c r="CJ836" s="1697"/>
      <c r="CK836" s="1697"/>
      <c r="CL836" s="1697"/>
      <c r="CM836" s="1697"/>
      <c r="CN836" s="1697"/>
      <c r="CO836" s="1697"/>
      <c r="CP836" s="1697"/>
      <c r="CQ836" s="1697"/>
      <c r="CR836" s="1697"/>
      <c r="CS836" s="1697"/>
      <c r="CT836" s="1697"/>
      <c r="CU836" s="1697"/>
      <c r="CV836" s="1697"/>
      <c r="CW836" s="1697"/>
      <c r="CX836" s="1697"/>
      <c r="CY836" s="1697"/>
      <c r="CZ836" s="1697"/>
      <c r="DA836" s="1697"/>
      <c r="DB836" s="1697"/>
      <c r="DC836" s="1697"/>
      <c r="DD836" s="1697"/>
      <c r="DE836" s="1697"/>
      <c r="DF836" s="1697"/>
      <c r="DG836" s="1697"/>
      <c r="DH836" s="1697"/>
      <c r="DI836" s="1697"/>
      <c r="DJ836" s="1697"/>
      <c r="DK836" s="1697"/>
      <c r="DL836" s="1697"/>
      <c r="DM836" s="1697"/>
      <c r="DN836" s="1697"/>
      <c r="DO836" s="1697"/>
      <c r="DP836" s="1697"/>
      <c r="DQ836" s="1697"/>
      <c r="DR836" s="1697"/>
      <c r="DS836" s="1697"/>
      <c r="DT836" s="1697"/>
      <c r="DU836" s="1697"/>
      <c r="DV836" s="1697"/>
      <c r="DW836" s="1697"/>
      <c r="DX836" s="1697"/>
      <c r="DY836" s="1697"/>
      <c r="DZ836" s="1697"/>
      <c r="EA836" s="1697"/>
      <c r="EB836" s="1697"/>
      <c r="EC836" s="1697"/>
      <c r="ED836" s="1697"/>
      <c r="EE836" s="1697"/>
      <c r="EF836" s="1697"/>
      <c r="EG836" s="1697"/>
      <c r="EH836" s="1697"/>
      <c r="EI836" s="1697"/>
      <c r="EJ836" s="1697"/>
      <c r="EK836" s="1697"/>
      <c r="EL836" s="1697"/>
      <c r="EM836" s="1697"/>
      <c r="EN836" s="1697"/>
      <c r="EO836" s="1697"/>
      <c r="EP836" s="1697"/>
      <c r="EQ836" s="1697"/>
      <c r="ER836" s="1697"/>
      <c r="ES836" s="1697"/>
      <c r="ET836" s="1697"/>
      <c r="EU836" s="1697"/>
      <c r="EV836" s="1697"/>
      <c r="EW836" s="1697"/>
      <c r="EX836" s="1697"/>
      <c r="EY836" s="1697"/>
      <c r="EZ836" s="1697"/>
      <c r="FA836" s="1697"/>
      <c r="FB836" s="1697"/>
      <c r="FC836" s="1697"/>
      <c r="FD836" s="1697"/>
      <c r="FE836" s="1697"/>
      <c r="FF836" s="1697"/>
      <c r="FG836" s="1697"/>
      <c r="FH836" s="1697"/>
      <c r="FI836" s="1697"/>
    </row>
    <row r="837" spans="1:165">
      <c r="A837" s="1697"/>
      <c r="B837" s="1697"/>
      <c r="C837" s="1697"/>
      <c r="D837" s="1697"/>
      <c r="E837" s="1697"/>
      <c r="F837" s="1697"/>
      <c r="G837" s="1697"/>
      <c r="H837" s="1697"/>
      <c r="I837" s="1697"/>
      <c r="J837" s="1697"/>
      <c r="K837" s="1697"/>
      <c r="L837" s="1697"/>
      <c r="M837" s="1697"/>
      <c r="N837" s="1697"/>
      <c r="O837" s="1697"/>
      <c r="P837" s="1697"/>
      <c r="Q837" s="1697"/>
      <c r="R837" s="1697"/>
      <c r="S837" s="1697"/>
      <c r="T837" s="1697"/>
      <c r="U837" s="1697"/>
      <c r="V837" s="1697"/>
      <c r="W837" s="1697"/>
      <c r="X837" s="1697"/>
      <c r="Y837" s="1697"/>
      <c r="Z837" s="1697"/>
      <c r="AA837" s="1697"/>
      <c r="AB837" s="1697"/>
      <c r="AC837" s="1697"/>
      <c r="AD837" s="1697"/>
      <c r="AE837" s="1697"/>
      <c r="AF837" s="1697"/>
      <c r="AG837" s="1697"/>
      <c r="AH837" s="1697"/>
      <c r="AI837" s="1697"/>
      <c r="AJ837" s="1697"/>
      <c r="AK837" s="1697"/>
      <c r="AL837" s="1697"/>
      <c r="AM837" s="1697"/>
      <c r="AN837" s="1697"/>
      <c r="AO837" s="1697"/>
      <c r="AP837" s="1697"/>
      <c r="AQ837" s="1697"/>
      <c r="AR837" s="1697"/>
      <c r="AS837" s="1697"/>
      <c r="AT837" s="1697"/>
      <c r="AU837" s="1697"/>
      <c r="AV837" s="1697"/>
      <c r="AW837" s="1697"/>
      <c r="AX837" s="1697"/>
      <c r="AY837" s="1697"/>
      <c r="AZ837" s="1697"/>
      <c r="BA837" s="1697"/>
      <c r="BB837" s="1697"/>
      <c r="BC837" s="1697"/>
      <c r="BD837" s="1697"/>
      <c r="BE837" s="1697"/>
      <c r="BF837" s="1697"/>
      <c r="BG837" s="1697"/>
      <c r="BH837" s="1697"/>
      <c r="BI837" s="1697"/>
      <c r="BJ837" s="1697"/>
      <c r="BK837" s="1697"/>
      <c r="BL837" s="1697"/>
      <c r="BM837" s="1697"/>
      <c r="BN837" s="1697"/>
      <c r="BO837" s="1697"/>
      <c r="BP837" s="1697"/>
      <c r="BQ837" s="1697"/>
      <c r="BR837" s="1697"/>
      <c r="BS837" s="1697"/>
      <c r="BT837" s="1697"/>
      <c r="BU837" s="1697"/>
      <c r="BV837" s="1697"/>
      <c r="BW837" s="1697"/>
      <c r="BX837" s="1697"/>
      <c r="BY837" s="1697"/>
      <c r="BZ837" s="1697"/>
      <c r="CA837" s="1697"/>
      <c r="CB837" s="1697"/>
      <c r="CC837" s="1697"/>
      <c r="CD837" s="1697"/>
      <c r="CE837" s="1697"/>
      <c r="CF837" s="1697"/>
      <c r="CG837" s="1697"/>
      <c r="CH837" s="1697"/>
      <c r="CI837" s="1697"/>
      <c r="CJ837" s="1697"/>
      <c r="CK837" s="1697"/>
      <c r="CL837" s="1697"/>
      <c r="CM837" s="1697"/>
      <c r="CN837" s="1697"/>
      <c r="CO837" s="1697"/>
      <c r="CP837" s="1697"/>
      <c r="CQ837" s="1697"/>
      <c r="CR837" s="1697"/>
      <c r="CS837" s="1697"/>
      <c r="CT837" s="1697"/>
      <c r="CU837" s="1697"/>
      <c r="CV837" s="1697"/>
      <c r="CW837" s="1697"/>
      <c r="CX837" s="1697"/>
      <c r="CY837" s="1697"/>
      <c r="CZ837" s="1697"/>
      <c r="DA837" s="1697"/>
      <c r="DB837" s="1697"/>
      <c r="DC837" s="1697"/>
      <c r="DD837" s="1697"/>
      <c r="DE837" s="1697"/>
      <c r="DF837" s="1697"/>
      <c r="DG837" s="1697"/>
      <c r="DH837" s="1697"/>
      <c r="DI837" s="1697"/>
      <c r="DJ837" s="1697"/>
      <c r="DK837" s="1697"/>
      <c r="DL837" s="1697"/>
      <c r="DM837" s="1697"/>
      <c r="DN837" s="1697"/>
      <c r="DO837" s="1697"/>
      <c r="DP837" s="1697"/>
      <c r="DQ837" s="1697"/>
      <c r="DR837" s="1697"/>
      <c r="DS837" s="1697"/>
      <c r="DT837" s="1697"/>
      <c r="DU837" s="1697"/>
      <c r="DV837" s="1697"/>
      <c r="DW837" s="1697"/>
      <c r="DX837" s="1697"/>
      <c r="DY837" s="1697"/>
      <c r="DZ837" s="1697"/>
      <c r="EA837" s="1697"/>
      <c r="EB837" s="1697"/>
      <c r="EC837" s="1697"/>
      <c r="ED837" s="1697"/>
      <c r="EE837" s="1697"/>
      <c r="EF837" s="1697"/>
      <c r="EG837" s="1697"/>
      <c r="EH837" s="1697"/>
      <c r="EI837" s="1697"/>
      <c r="EJ837" s="1697"/>
      <c r="EK837" s="1697"/>
      <c r="EL837" s="1697"/>
      <c r="EM837" s="1697"/>
      <c r="EN837" s="1697"/>
      <c r="EO837" s="1697"/>
      <c r="EP837" s="1697"/>
      <c r="EQ837" s="1697"/>
      <c r="ER837" s="1697"/>
      <c r="ES837" s="1697"/>
      <c r="ET837" s="1697"/>
      <c r="EU837" s="1697"/>
      <c r="EV837" s="1697"/>
      <c r="EW837" s="1697"/>
      <c r="EX837" s="1697"/>
      <c r="EY837" s="1697"/>
      <c r="EZ837" s="1697"/>
      <c r="FA837" s="1697"/>
      <c r="FB837" s="1697"/>
      <c r="FC837" s="1697"/>
      <c r="FD837" s="1697"/>
      <c r="FE837" s="1697"/>
      <c r="FF837" s="1697"/>
      <c r="FG837" s="1697"/>
      <c r="FH837" s="1697"/>
      <c r="FI837" s="1697"/>
    </row>
    <row r="838" spans="1:165">
      <c r="A838" s="1697"/>
      <c r="B838" s="1697"/>
      <c r="C838" s="1697"/>
      <c r="D838" s="1697"/>
      <c r="E838" s="1697"/>
      <c r="F838" s="1697"/>
      <c r="G838" s="1697"/>
      <c r="H838" s="1697"/>
      <c r="I838" s="1697"/>
      <c r="J838" s="1697"/>
      <c r="K838" s="1697"/>
      <c r="L838" s="1697"/>
      <c r="M838" s="1697"/>
      <c r="N838" s="1697"/>
      <c r="O838" s="1697"/>
      <c r="P838" s="1697"/>
      <c r="Q838" s="1697"/>
      <c r="R838" s="1697"/>
      <c r="S838" s="1697"/>
      <c r="T838" s="1697"/>
      <c r="U838" s="1697"/>
      <c r="V838" s="1697"/>
      <c r="W838" s="1697"/>
      <c r="X838" s="1697"/>
      <c r="Y838" s="1697"/>
      <c r="Z838" s="1697"/>
      <c r="AA838" s="1697"/>
      <c r="AB838" s="1697"/>
      <c r="AC838" s="1697"/>
      <c r="AD838" s="1697"/>
      <c r="AE838" s="1697"/>
      <c r="AF838" s="1697"/>
      <c r="AG838" s="1697"/>
      <c r="AH838" s="1697"/>
      <c r="AI838" s="1697"/>
      <c r="AJ838" s="1697"/>
      <c r="AK838" s="1697"/>
      <c r="AL838" s="1697"/>
      <c r="AM838" s="1697"/>
      <c r="AN838" s="1697"/>
      <c r="AO838" s="1697"/>
      <c r="AP838" s="1697"/>
      <c r="AQ838" s="1697"/>
      <c r="AR838" s="1697"/>
      <c r="AS838" s="1697"/>
      <c r="AT838" s="1697"/>
      <c r="AU838" s="1697"/>
      <c r="AV838" s="1697"/>
      <c r="AW838" s="1697"/>
      <c r="AX838" s="1697"/>
      <c r="AY838" s="1697"/>
      <c r="AZ838" s="1697"/>
      <c r="BA838" s="1697"/>
      <c r="BB838" s="1697"/>
      <c r="BC838" s="1697"/>
      <c r="BD838" s="1697"/>
      <c r="BE838" s="1697"/>
      <c r="BF838" s="1697"/>
      <c r="BG838" s="1697"/>
      <c r="BH838" s="1697"/>
      <c r="BI838" s="1697"/>
      <c r="BJ838" s="1697"/>
      <c r="BK838" s="1697"/>
      <c r="BL838" s="1697"/>
      <c r="BM838" s="1697"/>
      <c r="BN838" s="1697"/>
      <c r="BO838" s="1697"/>
      <c r="BP838" s="1697"/>
      <c r="BQ838" s="1697"/>
      <c r="BR838" s="1697"/>
      <c r="BS838" s="1697"/>
      <c r="BT838" s="1697"/>
      <c r="BU838" s="1697"/>
      <c r="BV838" s="1697"/>
      <c r="BW838" s="1697"/>
      <c r="BX838" s="1697"/>
      <c r="BY838" s="1697"/>
      <c r="BZ838" s="1697"/>
      <c r="CA838" s="1697"/>
      <c r="CB838" s="1697"/>
      <c r="CC838" s="1697"/>
      <c r="CD838" s="1697"/>
      <c r="CE838" s="1697"/>
      <c r="CF838" s="1697"/>
      <c r="CG838" s="1697"/>
      <c r="CH838" s="1697"/>
      <c r="CI838" s="1697"/>
      <c r="CJ838" s="1697"/>
      <c r="CK838" s="1697"/>
      <c r="CL838" s="1697"/>
      <c r="CM838" s="1697"/>
      <c r="CN838" s="1697"/>
      <c r="CO838" s="1697"/>
      <c r="CP838" s="1697"/>
      <c r="CQ838" s="1697"/>
      <c r="CR838" s="1697"/>
      <c r="CS838" s="1697"/>
      <c r="CT838" s="1697"/>
      <c r="CU838" s="1697"/>
      <c r="CV838" s="1697"/>
      <c r="CW838" s="1697"/>
      <c r="CX838" s="1697"/>
      <c r="CY838" s="1697"/>
      <c r="CZ838" s="1697"/>
      <c r="DA838" s="1697"/>
      <c r="DB838" s="1697"/>
      <c r="DC838" s="1697"/>
      <c r="DD838" s="1697"/>
      <c r="DE838" s="1697"/>
      <c r="DF838" s="1697"/>
      <c r="DG838" s="1697"/>
      <c r="DH838" s="1697"/>
      <c r="DI838" s="1697"/>
      <c r="DJ838" s="1697"/>
      <c r="DK838" s="1697"/>
      <c r="DL838" s="1697"/>
      <c r="DM838" s="1697"/>
      <c r="DN838" s="1697"/>
      <c r="DO838" s="1697"/>
      <c r="DP838" s="1697"/>
      <c r="DQ838" s="1697"/>
      <c r="DR838" s="1697"/>
      <c r="DS838" s="1697"/>
      <c r="DT838" s="1697"/>
      <c r="DU838" s="1697"/>
      <c r="DV838" s="1697"/>
      <c r="DW838" s="1697"/>
      <c r="DX838" s="1697"/>
      <c r="DY838" s="1697"/>
      <c r="DZ838" s="1697"/>
      <c r="EA838" s="1697"/>
      <c r="EB838" s="1697"/>
      <c r="EC838" s="1697"/>
      <c r="ED838" s="1697"/>
      <c r="EE838" s="1697"/>
      <c r="EF838" s="1697"/>
      <c r="EG838" s="1697"/>
      <c r="EH838" s="1697"/>
      <c r="EI838" s="1697"/>
      <c r="EJ838" s="1697"/>
      <c r="EK838" s="1697"/>
      <c r="EL838" s="1697"/>
      <c r="EM838" s="1697"/>
      <c r="EN838" s="1697"/>
      <c r="EO838" s="1697"/>
      <c r="EP838" s="1697"/>
      <c r="EQ838" s="1697"/>
      <c r="ER838" s="1697"/>
      <c r="ES838" s="1697"/>
      <c r="ET838" s="1697"/>
      <c r="EU838" s="1697"/>
      <c r="EV838" s="1697"/>
      <c r="EW838" s="1697"/>
      <c r="EX838" s="1697"/>
      <c r="EY838" s="1697"/>
      <c r="EZ838" s="1697"/>
      <c r="FA838" s="1697"/>
      <c r="FB838" s="1697"/>
      <c r="FC838" s="1697"/>
      <c r="FD838" s="1697"/>
      <c r="FE838" s="1697"/>
      <c r="FF838" s="1697"/>
      <c r="FG838" s="1697"/>
      <c r="FH838" s="1697"/>
      <c r="FI838" s="1697"/>
    </row>
    <row r="839" spans="1:165">
      <c r="A839" s="1697"/>
      <c r="B839" s="1697"/>
      <c r="C839" s="1697"/>
      <c r="D839" s="1697"/>
      <c r="E839" s="1697"/>
      <c r="F839" s="1697"/>
      <c r="G839" s="1697"/>
      <c r="H839" s="1697"/>
      <c r="I839" s="1697"/>
      <c r="J839" s="1697"/>
      <c r="K839" s="1697"/>
      <c r="L839" s="1697"/>
      <c r="M839" s="1697"/>
      <c r="N839" s="1697"/>
      <c r="O839" s="1697"/>
      <c r="P839" s="1697"/>
      <c r="Q839" s="1697"/>
      <c r="R839" s="1697"/>
      <c r="S839" s="1697"/>
      <c r="T839" s="1697"/>
      <c r="U839" s="1697"/>
      <c r="V839" s="1697"/>
      <c r="W839" s="1697"/>
      <c r="X839" s="1697"/>
      <c r="Y839" s="1697"/>
      <c r="Z839" s="1697"/>
      <c r="AA839" s="1697"/>
      <c r="AB839" s="1697"/>
      <c r="AC839" s="1697"/>
      <c r="AD839" s="1697"/>
      <c r="AE839" s="1697"/>
      <c r="AF839" s="1697"/>
      <c r="AG839" s="1697"/>
      <c r="AH839" s="1697"/>
      <c r="AI839" s="1697"/>
      <c r="AJ839" s="1697"/>
      <c r="AK839" s="1697"/>
      <c r="AL839" s="1697"/>
      <c r="AM839" s="1697"/>
      <c r="AN839" s="1697"/>
      <c r="AO839" s="1697"/>
      <c r="AP839" s="1697"/>
      <c r="AQ839" s="1697"/>
      <c r="AR839" s="1697"/>
      <c r="AS839" s="1697"/>
      <c r="AT839" s="1697"/>
      <c r="AU839" s="1697"/>
      <c r="AV839" s="1697"/>
      <c r="AW839" s="1697"/>
      <c r="AX839" s="1697"/>
      <c r="AY839" s="1697"/>
      <c r="AZ839" s="1697"/>
      <c r="BA839" s="1697"/>
      <c r="BB839" s="1697"/>
      <c r="BC839" s="1697"/>
      <c r="BD839" s="1697"/>
      <c r="BE839" s="1697"/>
      <c r="BF839" s="1697"/>
      <c r="BG839" s="1697"/>
      <c r="BH839" s="1697"/>
      <c r="BI839" s="1697"/>
      <c r="BJ839" s="1697"/>
      <c r="BK839" s="1697"/>
      <c r="BL839" s="1697"/>
      <c r="BM839" s="1697"/>
      <c r="BN839" s="1697"/>
      <c r="BO839" s="1697"/>
      <c r="BP839" s="1697"/>
      <c r="BQ839" s="1697"/>
      <c r="BR839" s="1697"/>
      <c r="BS839" s="1697"/>
      <c r="BT839" s="1697"/>
      <c r="BU839" s="1697"/>
      <c r="BV839" s="1697"/>
      <c r="BW839" s="1697"/>
      <c r="BX839" s="1697"/>
      <c r="BY839" s="1697"/>
      <c r="BZ839" s="1697"/>
      <c r="CA839" s="1697"/>
      <c r="CB839" s="1697"/>
      <c r="CC839" s="1697"/>
      <c r="CD839" s="1697"/>
      <c r="CE839" s="1697"/>
      <c r="CF839" s="1697"/>
      <c r="CG839" s="1697"/>
      <c r="CH839" s="1697"/>
      <c r="CI839" s="1697"/>
      <c r="CJ839" s="1697"/>
      <c r="CK839" s="1697"/>
      <c r="CL839" s="1697"/>
      <c r="CM839" s="1697"/>
      <c r="CN839" s="1697"/>
      <c r="CO839" s="1697"/>
      <c r="CP839" s="1697"/>
      <c r="CQ839" s="1697"/>
      <c r="CR839" s="1697"/>
      <c r="CS839" s="1697"/>
      <c r="CT839" s="1697"/>
      <c r="CU839" s="1697"/>
      <c r="CV839" s="1697"/>
      <c r="CW839" s="1697"/>
      <c r="CX839" s="1697"/>
      <c r="CY839" s="1697"/>
      <c r="CZ839" s="1697"/>
      <c r="DA839" s="1697"/>
      <c r="DB839" s="1697"/>
      <c r="DC839" s="1697"/>
      <c r="DD839" s="1697"/>
      <c r="DE839" s="1697"/>
      <c r="DF839" s="1697"/>
      <c r="DG839" s="1697"/>
      <c r="DH839" s="1697"/>
      <c r="DI839" s="1697"/>
      <c r="DJ839" s="1697"/>
      <c r="DK839" s="1697"/>
      <c r="DL839" s="1697"/>
      <c r="DM839" s="1697"/>
      <c r="DN839" s="1697"/>
      <c r="DO839" s="1697"/>
      <c r="DP839" s="1697"/>
      <c r="DQ839" s="1697"/>
      <c r="DR839" s="1697"/>
      <c r="DS839" s="1697"/>
      <c r="DT839" s="1697"/>
      <c r="DU839" s="1697"/>
      <c r="DV839" s="1697"/>
      <c r="DW839" s="1697"/>
      <c r="DX839" s="1697"/>
      <c r="DY839" s="1697"/>
      <c r="DZ839" s="1697"/>
      <c r="EA839" s="1697"/>
      <c r="EB839" s="1697"/>
      <c r="EC839" s="1697"/>
      <c r="ED839" s="1697"/>
      <c r="EE839" s="1697"/>
      <c r="EF839" s="1697"/>
      <c r="EG839" s="1697"/>
      <c r="EH839" s="1697"/>
      <c r="EI839" s="1697"/>
      <c r="EJ839" s="1697"/>
      <c r="EK839" s="1697"/>
      <c r="EL839" s="1697"/>
      <c r="EM839" s="1697"/>
      <c r="EN839" s="1697"/>
      <c r="EO839" s="1697"/>
      <c r="EP839" s="1697"/>
      <c r="EQ839" s="1697"/>
      <c r="ER839" s="1697"/>
      <c r="ES839" s="1697"/>
      <c r="ET839" s="1697"/>
      <c r="EU839" s="1697"/>
      <c r="EV839" s="1697"/>
      <c r="EW839" s="1697"/>
      <c r="EX839" s="1697"/>
      <c r="EY839" s="1697"/>
      <c r="EZ839" s="1697"/>
      <c r="FA839" s="1697"/>
      <c r="FB839" s="1697"/>
      <c r="FC839" s="1697"/>
      <c r="FD839" s="1697"/>
      <c r="FE839" s="1697"/>
      <c r="FF839" s="1697"/>
      <c r="FG839" s="1697"/>
      <c r="FH839" s="1697"/>
      <c r="FI839" s="1697"/>
    </row>
    <row r="840" spans="1:165">
      <c r="A840" s="1697"/>
      <c r="B840" s="1697"/>
      <c r="C840" s="1697"/>
      <c r="D840" s="1697"/>
      <c r="E840" s="1697"/>
      <c r="F840" s="1697"/>
      <c r="G840" s="1697"/>
      <c r="H840" s="1697"/>
      <c r="I840" s="1697"/>
      <c r="J840" s="1697"/>
      <c r="K840" s="1697"/>
      <c r="L840" s="1697"/>
      <c r="M840" s="1697"/>
      <c r="N840" s="1697"/>
      <c r="O840" s="1697"/>
      <c r="P840" s="1697"/>
      <c r="Q840" s="1697"/>
      <c r="R840" s="1697"/>
      <c r="S840" s="1697"/>
      <c r="T840" s="1697"/>
      <c r="U840" s="1697"/>
      <c r="V840" s="1697"/>
      <c r="W840" s="1697"/>
      <c r="X840" s="1697"/>
      <c r="Y840" s="1697"/>
      <c r="Z840" s="1697"/>
      <c r="AA840" s="1697"/>
      <c r="AB840" s="1697"/>
      <c r="AC840" s="1697"/>
      <c r="AD840" s="1697"/>
      <c r="AE840" s="1697"/>
      <c r="AF840" s="1697"/>
      <c r="AG840" s="1697"/>
      <c r="AH840" s="1697"/>
      <c r="AI840" s="1697"/>
      <c r="AJ840" s="1697"/>
      <c r="AK840" s="1697"/>
      <c r="AL840" s="1697"/>
      <c r="AM840" s="1697"/>
      <c r="AN840" s="1697"/>
      <c r="AO840" s="1697"/>
      <c r="AP840" s="1697"/>
      <c r="AQ840" s="1697"/>
      <c r="AR840" s="1697"/>
      <c r="AS840" s="1697"/>
      <c r="AT840" s="1697"/>
      <c r="AU840" s="1697"/>
      <c r="AV840" s="1697"/>
      <c r="AW840" s="1697"/>
      <c r="AX840" s="1697"/>
      <c r="AY840" s="1697"/>
      <c r="AZ840" s="1697"/>
      <c r="BA840" s="1697"/>
      <c r="BB840" s="1697"/>
      <c r="BC840" s="1697"/>
      <c r="BD840" s="1697"/>
      <c r="BE840" s="1697"/>
      <c r="BF840" s="1697"/>
      <c r="BG840" s="1697"/>
      <c r="BH840" s="1697"/>
      <c r="BI840" s="1697"/>
      <c r="BJ840" s="1697"/>
      <c r="BK840" s="1697"/>
      <c r="BL840" s="1697"/>
      <c r="BM840" s="1697"/>
      <c r="BN840" s="1697"/>
      <c r="BO840" s="1697"/>
      <c r="BP840" s="1697"/>
      <c r="BQ840" s="1697"/>
      <c r="BR840" s="1697"/>
      <c r="BS840" s="1697"/>
      <c r="BT840" s="1697"/>
      <c r="BU840" s="1697"/>
      <c r="BV840" s="1697"/>
      <c r="BW840" s="1697"/>
      <c r="BX840" s="1697"/>
      <c r="BY840" s="1697"/>
      <c r="BZ840" s="1697"/>
      <c r="CA840" s="1697"/>
      <c r="CB840" s="1697"/>
      <c r="CC840" s="1697"/>
      <c r="CD840" s="1697"/>
      <c r="CE840" s="1697"/>
      <c r="CF840" s="1697"/>
      <c r="CG840" s="1697"/>
      <c r="CH840" s="1697"/>
      <c r="CI840" s="1697"/>
      <c r="CJ840" s="1697"/>
      <c r="CK840" s="1697"/>
      <c r="CL840" s="1697"/>
      <c r="CM840" s="1697"/>
      <c r="CN840" s="1697"/>
      <c r="CO840" s="1697"/>
      <c r="CP840" s="1697"/>
      <c r="CQ840" s="1697"/>
      <c r="CR840" s="1697"/>
      <c r="CS840" s="1697"/>
      <c r="CT840" s="1697"/>
      <c r="CU840" s="1697"/>
      <c r="CV840" s="1697"/>
      <c r="CW840" s="1697"/>
      <c r="CX840" s="1697"/>
      <c r="CY840" s="1697"/>
      <c r="CZ840" s="1697"/>
      <c r="DA840" s="1697"/>
      <c r="DB840" s="1697"/>
      <c r="DC840" s="1697"/>
      <c r="DD840" s="1697"/>
      <c r="DE840" s="1697"/>
      <c r="DF840" s="1697"/>
      <c r="DG840" s="1697"/>
      <c r="DH840" s="1697"/>
      <c r="DI840" s="1697"/>
      <c r="DJ840" s="1697"/>
      <c r="DK840" s="1697"/>
      <c r="DL840" s="1697"/>
      <c r="DM840" s="1697"/>
      <c r="DN840" s="1697"/>
      <c r="DO840" s="1697"/>
      <c r="DP840" s="1697"/>
      <c r="DQ840" s="1697"/>
      <c r="DR840" s="1697"/>
      <c r="DS840" s="1697"/>
      <c r="DT840" s="1697"/>
      <c r="DU840" s="1697"/>
      <c r="DV840" s="1697"/>
      <c r="DW840" s="1697"/>
      <c r="DX840" s="1697"/>
      <c r="DY840" s="1697"/>
      <c r="DZ840" s="1697"/>
      <c r="EA840" s="1697"/>
      <c r="EB840" s="1697"/>
      <c r="EC840" s="1697"/>
      <c r="ED840" s="1697"/>
      <c r="EE840" s="1697"/>
      <c r="EF840" s="1697"/>
      <c r="EG840" s="1697"/>
      <c r="EH840" s="1697"/>
      <c r="EI840" s="1697"/>
      <c r="EJ840" s="1697"/>
      <c r="EK840" s="1697"/>
      <c r="EL840" s="1697"/>
      <c r="EM840" s="1697"/>
      <c r="EN840" s="1697"/>
      <c r="EO840" s="1697"/>
      <c r="EP840" s="1697"/>
      <c r="EQ840" s="1697"/>
      <c r="ER840" s="1697"/>
      <c r="ES840" s="1697"/>
      <c r="ET840" s="1697"/>
      <c r="EU840" s="1697"/>
      <c r="EV840" s="1697"/>
      <c r="EW840" s="1697"/>
      <c r="EX840" s="1697"/>
      <c r="EY840" s="1697"/>
      <c r="EZ840" s="1697"/>
      <c r="FA840" s="1697"/>
      <c r="FB840" s="1697"/>
      <c r="FC840" s="1697"/>
      <c r="FD840" s="1697"/>
      <c r="FE840" s="1697"/>
      <c r="FF840" s="1697"/>
      <c r="FG840" s="1697"/>
      <c r="FH840" s="1697"/>
      <c r="FI840" s="1697"/>
    </row>
    <row r="841" spans="1:165">
      <c r="A841" s="1697"/>
      <c r="B841" s="1697"/>
      <c r="C841" s="1697"/>
      <c r="D841" s="1697"/>
      <c r="E841" s="1697"/>
      <c r="F841" s="1697"/>
      <c r="G841" s="1697"/>
      <c r="H841" s="1697"/>
      <c r="I841" s="1697"/>
      <c r="J841" s="1697"/>
      <c r="K841" s="1697"/>
      <c r="L841" s="1697"/>
      <c r="M841" s="1697"/>
      <c r="N841" s="1697"/>
      <c r="O841" s="1697"/>
      <c r="P841" s="1697"/>
      <c r="Q841" s="1697"/>
      <c r="R841" s="1697"/>
      <c r="S841" s="1697"/>
      <c r="T841" s="1697"/>
      <c r="U841" s="1697"/>
      <c r="V841" s="1697"/>
      <c r="W841" s="1697"/>
      <c r="X841" s="1697"/>
      <c r="Y841" s="1697"/>
      <c r="Z841" s="1697"/>
      <c r="AA841" s="1697"/>
      <c r="AB841" s="1697"/>
      <c r="AC841" s="1697"/>
      <c r="AD841" s="1697"/>
      <c r="AE841" s="1697"/>
      <c r="AF841" s="1697"/>
      <c r="AG841" s="1697"/>
      <c r="AH841" s="1697"/>
      <c r="AI841" s="1697"/>
      <c r="AJ841" s="1697"/>
      <c r="AK841" s="1697"/>
      <c r="AL841" s="1697"/>
      <c r="AM841" s="1697"/>
      <c r="AN841" s="1697"/>
      <c r="AO841" s="1697"/>
      <c r="AP841" s="1697"/>
      <c r="AQ841" s="1697"/>
      <c r="AR841" s="1697"/>
      <c r="AS841" s="1697"/>
      <c r="AT841" s="1697"/>
      <c r="AU841" s="1697"/>
      <c r="AV841" s="1697"/>
      <c r="AW841" s="1697"/>
      <c r="AX841" s="1697"/>
      <c r="AY841" s="1697"/>
      <c r="AZ841" s="1697"/>
      <c r="BA841" s="1697"/>
      <c r="BB841" s="1697"/>
      <c r="BC841" s="1697"/>
      <c r="BD841" s="1697"/>
      <c r="BE841" s="1697"/>
      <c r="BF841" s="1697"/>
      <c r="BG841" s="1697"/>
      <c r="BH841" s="1697"/>
      <c r="BI841" s="1697"/>
      <c r="BJ841" s="1697"/>
      <c r="BK841" s="1697"/>
      <c r="BL841" s="1697"/>
      <c r="BM841" s="1697"/>
      <c r="BN841" s="1697"/>
      <c r="BO841" s="1697"/>
      <c r="BP841" s="1697"/>
      <c r="BQ841" s="1697"/>
      <c r="BR841" s="1697"/>
      <c r="BS841" s="1697"/>
      <c r="BT841" s="1697"/>
      <c r="BU841" s="1697"/>
      <c r="BV841" s="1697"/>
      <c r="BW841" s="1697"/>
      <c r="BX841" s="1697"/>
      <c r="BY841" s="1697"/>
      <c r="BZ841" s="1697"/>
      <c r="CA841" s="1697"/>
      <c r="CB841" s="1697"/>
      <c r="CC841" s="1697"/>
      <c r="CD841" s="1697"/>
      <c r="CE841" s="1697"/>
      <c r="CF841" s="1697"/>
      <c r="CG841" s="1697"/>
      <c r="CH841" s="1697"/>
      <c r="CI841" s="1697"/>
      <c r="CJ841" s="1697"/>
      <c r="CK841" s="1697"/>
      <c r="CL841" s="1697"/>
      <c r="CM841" s="1697"/>
      <c r="CN841" s="1697"/>
      <c r="CO841" s="1697"/>
      <c r="CP841" s="1697"/>
      <c r="CQ841" s="1697"/>
      <c r="CR841" s="1697"/>
      <c r="CS841" s="1697"/>
      <c r="CT841" s="1697"/>
      <c r="CU841" s="1697"/>
      <c r="CV841" s="1697"/>
      <c r="CW841" s="1697"/>
      <c r="CX841" s="1697"/>
      <c r="CY841" s="1697"/>
      <c r="CZ841" s="1697"/>
      <c r="DA841" s="1697"/>
      <c r="DB841" s="1697"/>
      <c r="DC841" s="1697"/>
      <c r="DD841" s="1697"/>
      <c r="DE841" s="1697"/>
      <c r="DF841" s="1697"/>
      <c r="DG841" s="1697"/>
      <c r="DH841" s="1697"/>
      <c r="DI841" s="1697"/>
      <c r="DJ841" s="1697"/>
      <c r="DK841" s="1697"/>
      <c r="DL841" s="1697"/>
      <c r="DM841" s="1697"/>
      <c r="DN841" s="1697"/>
      <c r="DO841" s="1697"/>
      <c r="DP841" s="1697"/>
      <c r="DQ841" s="1697"/>
      <c r="DR841" s="1697"/>
      <c r="DS841" s="1697"/>
      <c r="DT841" s="1697"/>
      <c r="DU841" s="1697"/>
      <c r="DV841" s="1697"/>
      <c r="DW841" s="1697"/>
      <c r="DX841" s="1697"/>
      <c r="DY841" s="1697"/>
      <c r="DZ841" s="1697"/>
      <c r="EA841" s="1697"/>
      <c r="EB841" s="1697"/>
      <c r="EC841" s="1697"/>
      <c r="ED841" s="1697"/>
      <c r="EE841" s="1697"/>
      <c r="EF841" s="1697"/>
      <c r="EG841" s="1697"/>
      <c r="EH841" s="1697"/>
      <c r="EI841" s="1697"/>
      <c r="EJ841" s="1697"/>
      <c r="EK841" s="1697"/>
      <c r="EL841" s="1697"/>
      <c r="EM841" s="1697"/>
      <c r="EN841" s="1697"/>
      <c r="EO841" s="1697"/>
      <c r="EP841" s="1697"/>
      <c r="EQ841" s="1697"/>
      <c r="ER841" s="1697"/>
      <c r="ES841" s="1697"/>
      <c r="ET841" s="1697"/>
      <c r="EU841" s="1697"/>
      <c r="EV841" s="1697"/>
      <c r="EW841" s="1697"/>
      <c r="EX841" s="1697"/>
      <c r="EY841" s="1697"/>
      <c r="EZ841" s="1697"/>
      <c r="FA841" s="1697"/>
      <c r="FB841" s="1697"/>
      <c r="FC841" s="1697"/>
      <c r="FD841" s="1697"/>
      <c r="FE841" s="1697"/>
      <c r="FF841" s="1697"/>
      <c r="FG841" s="1697"/>
      <c r="FH841" s="1697"/>
      <c r="FI841" s="1697"/>
    </row>
    <row r="842" spans="1:165">
      <c r="A842" s="1697"/>
      <c r="B842" s="1697"/>
      <c r="C842" s="1697"/>
      <c r="D842" s="1697"/>
      <c r="E842" s="1697"/>
      <c r="F842" s="1697"/>
      <c r="G842" s="1697"/>
      <c r="H842" s="1697"/>
      <c r="I842" s="1697"/>
      <c r="J842" s="1697"/>
      <c r="K842" s="1697"/>
      <c r="L842" s="1697"/>
      <c r="M842" s="1697"/>
      <c r="N842" s="1697"/>
      <c r="O842" s="1697"/>
      <c r="P842" s="1697"/>
      <c r="Q842" s="1697"/>
      <c r="R842" s="1697"/>
      <c r="S842" s="1697"/>
      <c r="T842" s="1697"/>
      <c r="U842" s="1697"/>
      <c r="V842" s="1697"/>
      <c r="W842" s="1697"/>
      <c r="X842" s="1697"/>
      <c r="Y842" s="1697"/>
      <c r="Z842" s="1697"/>
      <c r="AA842" s="1697"/>
      <c r="AB842" s="1697"/>
      <c r="AC842" s="1697"/>
      <c r="AD842" s="1697"/>
      <c r="AE842" s="1697"/>
      <c r="AF842" s="1697"/>
      <c r="AG842" s="1697"/>
      <c r="AH842" s="1697"/>
      <c r="AI842" s="1697"/>
      <c r="AJ842" s="1697"/>
      <c r="AK842" s="1697"/>
      <c r="AL842" s="1697"/>
      <c r="AM842" s="1697"/>
      <c r="AN842" s="1697"/>
      <c r="AO842" s="1697"/>
      <c r="AP842" s="1697"/>
      <c r="AQ842" s="1697"/>
      <c r="AR842" s="1697"/>
      <c r="AS842" s="1697"/>
      <c r="AT842" s="1697"/>
      <c r="AU842" s="1697"/>
      <c r="AV842" s="1697"/>
      <c r="AW842" s="1697"/>
      <c r="AX842" s="1697"/>
      <c r="AY842" s="1697"/>
      <c r="AZ842" s="1697"/>
      <c r="BA842" s="1697"/>
      <c r="BB842" s="1697"/>
      <c r="BC842" s="1697"/>
      <c r="BD842" s="1697"/>
      <c r="BE842" s="1697"/>
      <c r="BF842" s="1697"/>
      <c r="BG842" s="1697"/>
      <c r="BH842" s="1697"/>
      <c r="BI842" s="1697"/>
      <c r="BJ842" s="1697"/>
      <c r="BK842" s="1697"/>
      <c r="BL842" s="1697"/>
      <c r="BM842" s="1697"/>
      <c r="BN842" s="1697"/>
      <c r="BO842" s="1697"/>
      <c r="BP842" s="1697"/>
      <c r="BQ842" s="1697"/>
      <c r="BR842" s="1697"/>
      <c r="BS842" s="1697"/>
      <c r="BT842" s="1697"/>
      <c r="BU842" s="1697"/>
      <c r="BV842" s="1697"/>
      <c r="BW842" s="1697"/>
      <c r="BX842" s="1697"/>
      <c r="BY842" s="1697"/>
      <c r="BZ842" s="1697"/>
      <c r="CA842" s="1697"/>
      <c r="CB842" s="1697"/>
      <c r="CC842" s="1697"/>
      <c r="CD842" s="1697"/>
      <c r="CE842" s="1697"/>
      <c r="CF842" s="1697"/>
      <c r="CG842" s="1697"/>
      <c r="CH842" s="1697"/>
      <c r="CI842" s="1697"/>
      <c r="CJ842" s="1697"/>
      <c r="CK842" s="1697"/>
      <c r="CL842" s="1697"/>
      <c r="CM842" s="1697"/>
      <c r="CN842" s="1697"/>
      <c r="CO842" s="1697"/>
      <c r="CP842" s="1697"/>
      <c r="CQ842" s="1697"/>
      <c r="CR842" s="1697"/>
      <c r="CS842" s="1697"/>
      <c r="CT842" s="1697"/>
      <c r="CU842" s="1697"/>
      <c r="CV842" s="1697"/>
      <c r="CW842" s="1697"/>
      <c r="CX842" s="1697"/>
      <c r="CY842" s="1697"/>
      <c r="CZ842" s="1697"/>
      <c r="DA842" s="1697"/>
      <c r="DB842" s="1697"/>
      <c r="DC842" s="1697"/>
      <c r="DD842" s="1697"/>
      <c r="DE842" s="1697"/>
      <c r="DF842" s="1697"/>
      <c r="DG842" s="1697"/>
      <c r="DH842" s="1697"/>
      <c r="DI842" s="1697"/>
      <c r="DJ842" s="1697"/>
      <c r="DK842" s="1697"/>
      <c r="DL842" s="1697"/>
      <c r="DM842" s="1697"/>
      <c r="DN842" s="1697"/>
      <c r="DO842" s="1697"/>
      <c r="DP842" s="1697"/>
      <c r="DQ842" s="1697"/>
      <c r="DR842" s="1697"/>
      <c r="DS842" s="1697"/>
      <c r="DT842" s="1697"/>
      <c r="DU842" s="1697"/>
      <c r="DV842" s="1697"/>
      <c r="DW842" s="1697"/>
      <c r="DX842" s="1697"/>
      <c r="DY842" s="1697"/>
      <c r="DZ842" s="1697"/>
      <c r="EA842" s="1697"/>
      <c r="EB842" s="1697"/>
      <c r="EC842" s="1697"/>
      <c r="ED842" s="1697"/>
      <c r="EE842" s="1697"/>
      <c r="EF842" s="1697"/>
      <c r="EG842" s="1697"/>
      <c r="EH842" s="1697"/>
      <c r="EI842" s="1697"/>
      <c r="EJ842" s="1697"/>
      <c r="EK842" s="1697"/>
      <c r="EL842" s="1697"/>
      <c r="EM842" s="1697"/>
      <c r="EN842" s="1697"/>
      <c r="EO842" s="1697"/>
      <c r="EP842" s="1697"/>
      <c r="EQ842" s="1697"/>
      <c r="ER842" s="1697"/>
      <c r="ES842" s="1697"/>
      <c r="ET842" s="1697"/>
      <c r="EU842" s="1697"/>
      <c r="EV842" s="1697"/>
      <c r="EW842" s="1697"/>
      <c r="EX842" s="1697"/>
      <c r="EY842" s="1697"/>
      <c r="EZ842" s="1697"/>
      <c r="FA842" s="1697"/>
      <c r="FB842" s="1697"/>
      <c r="FC842" s="1697"/>
      <c r="FD842" s="1697"/>
      <c r="FE842" s="1697"/>
      <c r="FF842" s="1697"/>
      <c r="FG842" s="1697"/>
      <c r="FH842" s="1697"/>
      <c r="FI842" s="1697"/>
    </row>
    <row r="843" spans="1:165">
      <c r="A843" s="1697"/>
      <c r="B843" s="1697"/>
      <c r="C843" s="1697"/>
      <c r="D843" s="1697"/>
      <c r="E843" s="1697"/>
      <c r="F843" s="1697"/>
      <c r="G843" s="1697"/>
      <c r="H843" s="1697"/>
      <c r="I843" s="1697"/>
      <c r="J843" s="1697"/>
      <c r="K843" s="1697"/>
      <c r="L843" s="1697"/>
      <c r="M843" s="1697"/>
      <c r="N843" s="1697"/>
      <c r="O843" s="1697"/>
      <c r="P843" s="1697"/>
      <c r="Q843" s="1697"/>
      <c r="R843" s="1697"/>
      <c r="S843" s="1697"/>
      <c r="T843" s="1697"/>
      <c r="U843" s="1697"/>
      <c r="V843" s="1697"/>
      <c r="W843" s="1697"/>
      <c r="X843" s="1697"/>
      <c r="Y843" s="1697"/>
      <c r="Z843" s="1697"/>
      <c r="AA843" s="1697"/>
      <c r="AB843" s="1697"/>
      <c r="AC843" s="1697"/>
      <c r="AD843" s="1697"/>
      <c r="AE843" s="1697"/>
      <c r="AF843" s="1697"/>
      <c r="AG843" s="1697"/>
      <c r="AH843" s="1697"/>
      <c r="AI843" s="1697"/>
      <c r="AJ843" s="1697"/>
      <c r="AK843" s="1697"/>
      <c r="AL843" s="1697"/>
      <c r="AM843" s="1697"/>
      <c r="AN843" s="1697"/>
      <c r="AO843" s="1697"/>
      <c r="AP843" s="1697"/>
      <c r="AQ843" s="1697"/>
      <c r="AR843" s="1697"/>
      <c r="AS843" s="1697"/>
      <c r="AT843" s="1697"/>
      <c r="AU843" s="1697"/>
      <c r="AV843" s="1697"/>
      <c r="AW843" s="1697"/>
      <c r="AX843" s="1697"/>
      <c r="AY843" s="1697"/>
      <c r="AZ843" s="1697"/>
      <c r="BA843" s="1697"/>
      <c r="BB843" s="1697"/>
      <c r="BC843" s="1697"/>
      <c r="BD843" s="1697"/>
      <c r="BE843" s="1697"/>
      <c r="BF843" s="1697"/>
      <c r="BG843" s="1697"/>
      <c r="BH843" s="1697"/>
      <c r="BI843" s="1697"/>
      <c r="BJ843" s="1697"/>
      <c r="BK843" s="1697"/>
      <c r="BL843" s="1697"/>
      <c r="BM843" s="1697"/>
      <c r="BN843" s="1697"/>
      <c r="BO843" s="1697"/>
      <c r="BP843" s="1697"/>
      <c r="BQ843" s="1697"/>
      <c r="BR843" s="1697"/>
      <c r="BS843" s="1697"/>
      <c r="BT843" s="1697"/>
      <c r="BU843" s="1697"/>
      <c r="BV843" s="1697"/>
      <c r="BW843" s="1697"/>
      <c r="BX843" s="1697"/>
      <c r="BY843" s="1697"/>
      <c r="BZ843" s="1697"/>
      <c r="CA843" s="1697"/>
      <c r="CB843" s="1697"/>
      <c r="CC843" s="1697"/>
      <c r="CD843" s="1697"/>
      <c r="CE843" s="1697"/>
      <c r="CF843" s="1697"/>
      <c r="CG843" s="1697"/>
      <c r="CH843" s="1697"/>
      <c r="CI843" s="1697"/>
      <c r="CJ843" s="1697"/>
      <c r="CK843" s="1697"/>
      <c r="CL843" s="1697"/>
      <c r="CM843" s="1697"/>
      <c r="CN843" s="1697"/>
      <c r="CO843" s="1697"/>
      <c r="CP843" s="1697"/>
      <c r="CQ843" s="1697"/>
      <c r="CR843" s="1697"/>
      <c r="CS843" s="1697"/>
      <c r="CT843" s="1697"/>
      <c r="CU843" s="1697"/>
      <c r="CV843" s="1697"/>
      <c r="CW843" s="1697"/>
      <c r="CX843" s="1697"/>
      <c r="CY843" s="1697"/>
      <c r="CZ843" s="1697"/>
      <c r="DA843" s="1697"/>
      <c r="DB843" s="1697"/>
      <c r="DC843" s="1697"/>
      <c r="DD843" s="1697"/>
      <c r="DE843" s="1697"/>
      <c r="DF843" s="1697"/>
      <c r="DG843" s="1697"/>
      <c r="DH843" s="1697"/>
      <c r="DI843" s="1697"/>
      <c r="DJ843" s="1697"/>
      <c r="DK843" s="1697"/>
      <c r="DL843" s="1697"/>
      <c r="DM843" s="1697"/>
      <c r="DN843" s="1697"/>
      <c r="DO843" s="1697"/>
      <c r="DP843" s="1697"/>
      <c r="DQ843" s="1697"/>
      <c r="DR843" s="1697"/>
      <c r="DS843" s="1697"/>
      <c r="DT843" s="1697"/>
      <c r="DU843" s="1697"/>
      <c r="DV843" s="1697"/>
      <c r="DW843" s="1697"/>
      <c r="DX843" s="1697"/>
      <c r="DY843" s="1697"/>
      <c r="DZ843" s="1697"/>
      <c r="EA843" s="1697"/>
      <c r="EB843" s="1697"/>
      <c r="EC843" s="1697"/>
      <c r="ED843" s="1697"/>
      <c r="EE843" s="1697"/>
      <c r="EF843" s="1697"/>
      <c r="EG843" s="1697"/>
      <c r="EH843" s="1697"/>
      <c r="EI843" s="1697"/>
      <c r="EJ843" s="1697"/>
      <c r="EK843" s="1697"/>
      <c r="EL843" s="1697"/>
      <c r="EM843" s="1697"/>
      <c r="EN843" s="1697"/>
      <c r="EO843" s="1697"/>
      <c r="EP843" s="1697"/>
      <c r="EQ843" s="1697"/>
      <c r="ER843" s="1697"/>
      <c r="ES843" s="1697"/>
      <c r="ET843" s="1697"/>
      <c r="EU843" s="1697"/>
      <c r="EV843" s="1697"/>
      <c r="EW843" s="1697"/>
      <c r="EX843" s="1697"/>
      <c r="EY843" s="1697"/>
      <c r="EZ843" s="1697"/>
      <c r="FA843" s="1697"/>
      <c r="FB843" s="1697"/>
      <c r="FC843" s="1697"/>
      <c r="FD843" s="1697"/>
      <c r="FE843" s="1697"/>
      <c r="FF843" s="1697"/>
      <c r="FG843" s="1697"/>
      <c r="FH843" s="1697"/>
      <c r="FI843" s="1697"/>
    </row>
    <row r="844" spans="1:165">
      <c r="A844" s="1697"/>
      <c r="B844" s="1697"/>
      <c r="C844" s="1697"/>
      <c r="D844" s="1697"/>
      <c r="E844" s="1697"/>
      <c r="F844" s="1697"/>
      <c r="G844" s="1697"/>
      <c r="H844" s="1697"/>
      <c r="I844" s="1697"/>
      <c r="J844" s="1697"/>
      <c r="K844" s="1697"/>
      <c r="L844" s="1697"/>
      <c r="M844" s="1697"/>
      <c r="N844" s="1697"/>
      <c r="O844" s="1697"/>
      <c r="P844" s="1697"/>
      <c r="Q844" s="1697"/>
      <c r="R844" s="1697"/>
      <c r="S844" s="1697"/>
      <c r="T844" s="1697"/>
      <c r="U844" s="1697"/>
      <c r="V844" s="1697"/>
      <c r="W844" s="1697"/>
      <c r="X844" s="1697"/>
      <c r="Y844" s="1697"/>
      <c r="Z844" s="1697"/>
      <c r="AA844" s="1697"/>
      <c r="AB844" s="1697"/>
      <c r="AC844" s="1697"/>
      <c r="AD844" s="1697"/>
      <c r="AE844" s="1697"/>
      <c r="AF844" s="1697"/>
      <c r="AG844" s="1697"/>
      <c r="AH844" s="1697"/>
      <c r="AI844" s="1697"/>
      <c r="AJ844" s="1697"/>
      <c r="AK844" s="1697"/>
      <c r="AL844" s="1697"/>
      <c r="AM844" s="1697"/>
      <c r="AN844" s="1697"/>
      <c r="AO844" s="1697"/>
      <c r="AP844" s="1697"/>
      <c r="AQ844" s="1697"/>
      <c r="AR844" s="1697"/>
      <c r="AS844" s="1697"/>
      <c r="AT844" s="1697"/>
      <c r="AU844" s="1697"/>
      <c r="AV844" s="1697"/>
      <c r="AW844" s="1697"/>
      <c r="AX844" s="1697"/>
      <c r="AY844" s="1697"/>
      <c r="AZ844" s="1697"/>
      <c r="BA844" s="1697"/>
      <c r="BB844" s="1697"/>
      <c r="BC844" s="1697"/>
      <c r="BD844" s="1697"/>
      <c r="BE844" s="1697"/>
      <c r="BF844" s="1697"/>
      <c r="BG844" s="1697"/>
      <c r="BH844" s="1697"/>
      <c r="BI844" s="1697"/>
      <c r="BJ844" s="1697"/>
      <c r="BK844" s="1697"/>
      <c r="BL844" s="1697"/>
      <c r="BM844" s="1697"/>
      <c r="BN844" s="1697"/>
      <c r="BO844" s="1697"/>
      <c r="BP844" s="1697"/>
      <c r="BQ844" s="1697"/>
      <c r="BR844" s="1697"/>
      <c r="BS844" s="1697"/>
      <c r="BT844" s="1697"/>
      <c r="BU844" s="1697"/>
      <c r="BV844" s="1697"/>
      <c r="BW844" s="1697"/>
      <c r="BX844" s="1697"/>
      <c r="BY844" s="1697"/>
      <c r="BZ844" s="1697"/>
      <c r="CA844" s="1697"/>
      <c r="CB844" s="1697"/>
      <c r="CC844" s="1697"/>
      <c r="CD844" s="1697"/>
      <c r="CE844" s="1697"/>
      <c r="CF844" s="1697"/>
      <c r="CG844" s="1697"/>
      <c r="CH844" s="1697"/>
      <c r="CI844" s="1697"/>
      <c r="CJ844" s="1697"/>
      <c r="CK844" s="1697"/>
      <c r="CL844" s="1697"/>
      <c r="CM844" s="1697"/>
      <c r="CN844" s="1697"/>
      <c r="CO844" s="1697"/>
      <c r="CP844" s="1697"/>
      <c r="CQ844" s="1697"/>
      <c r="CR844" s="1697"/>
      <c r="CS844" s="1697"/>
      <c r="CT844" s="1697"/>
      <c r="CU844" s="1697"/>
      <c r="CV844" s="1697"/>
      <c r="CW844" s="1697"/>
      <c r="CX844" s="1697"/>
      <c r="CY844" s="1697"/>
      <c r="CZ844" s="1697"/>
      <c r="DA844" s="1697"/>
      <c r="DB844" s="1697"/>
      <c r="DC844" s="1697"/>
      <c r="DD844" s="1697"/>
      <c r="DE844" s="1697"/>
      <c r="DF844" s="1697"/>
      <c r="DG844" s="1697"/>
      <c r="DH844" s="1697"/>
      <c r="DI844" s="1697"/>
      <c r="DJ844" s="1697"/>
      <c r="DK844" s="1697"/>
      <c r="DL844" s="1697"/>
      <c r="DM844" s="1697"/>
      <c r="DN844" s="1697"/>
      <c r="DO844" s="1697"/>
      <c r="DP844" s="1697"/>
      <c r="DQ844" s="1697"/>
      <c r="DR844" s="1697"/>
      <c r="DS844" s="1697"/>
      <c r="DT844" s="1697"/>
      <c r="DU844" s="1697"/>
      <c r="DV844" s="1697"/>
      <c r="DW844" s="1697"/>
      <c r="DX844" s="1697"/>
      <c r="DY844" s="1697"/>
      <c r="DZ844" s="1697"/>
      <c r="EA844" s="1697"/>
      <c r="EB844" s="1697"/>
      <c r="EC844" s="1697"/>
      <c r="ED844" s="1697"/>
      <c r="EE844" s="1697"/>
      <c r="EF844" s="1697"/>
      <c r="EG844" s="1697"/>
      <c r="EH844" s="1697"/>
      <c r="EI844" s="1697"/>
      <c r="EJ844" s="1697"/>
      <c r="EK844" s="1697"/>
      <c r="EL844" s="1697"/>
      <c r="EM844" s="1697"/>
      <c r="EN844" s="1697"/>
      <c r="EO844" s="1697"/>
      <c r="EP844" s="1697"/>
      <c r="EQ844" s="1697"/>
      <c r="ER844" s="1697"/>
      <c r="ES844" s="1697"/>
      <c r="ET844" s="1697"/>
      <c r="EU844" s="1697"/>
      <c r="EV844" s="1697"/>
      <c r="EW844" s="1697"/>
      <c r="EX844" s="1697"/>
      <c r="EY844" s="1697"/>
      <c r="EZ844" s="1697"/>
      <c r="FA844" s="1697"/>
      <c r="FB844" s="1697"/>
      <c r="FC844" s="1697"/>
      <c r="FD844" s="1697"/>
      <c r="FE844" s="1697"/>
      <c r="FF844" s="1697"/>
      <c r="FG844" s="1697"/>
      <c r="FH844" s="1697"/>
      <c r="FI844" s="1697"/>
    </row>
    <row r="845" spans="1:165">
      <c r="A845" s="1697"/>
      <c r="B845" s="1697"/>
      <c r="C845" s="1697"/>
      <c r="D845" s="1697"/>
      <c r="E845" s="1697"/>
      <c r="F845" s="1697"/>
      <c r="G845" s="1697"/>
      <c r="H845" s="1697"/>
      <c r="I845" s="1697"/>
      <c r="J845" s="1697"/>
      <c r="K845" s="1697"/>
      <c r="L845" s="1697"/>
      <c r="M845" s="1697"/>
      <c r="N845" s="1697"/>
      <c r="O845" s="1697"/>
      <c r="P845" s="1697"/>
      <c r="Q845" s="1697"/>
      <c r="R845" s="1697"/>
      <c r="S845" s="1697"/>
      <c r="T845" s="1697"/>
      <c r="U845" s="1697"/>
      <c r="V845" s="1697"/>
      <c r="W845" s="1697"/>
      <c r="X845" s="1697"/>
      <c r="Y845" s="1697"/>
      <c r="Z845" s="1697"/>
      <c r="AA845" s="1697"/>
      <c r="AB845" s="1697"/>
      <c r="AC845" s="1697"/>
      <c r="AD845" s="1697"/>
      <c r="AE845" s="1697"/>
      <c r="AF845" s="1697"/>
      <c r="AG845" s="1697"/>
      <c r="AH845" s="1697"/>
      <c r="AI845" s="1697"/>
      <c r="AJ845" s="1697"/>
      <c r="AK845" s="1697"/>
      <c r="AL845" s="1697"/>
      <c r="AM845" s="1697"/>
      <c r="AN845" s="1697"/>
      <c r="AO845" s="1697"/>
      <c r="AP845" s="1697"/>
      <c r="AQ845" s="1697"/>
      <c r="AR845" s="1697"/>
      <c r="AS845" s="1697"/>
      <c r="AT845" s="1697"/>
      <c r="AU845" s="1697"/>
      <c r="AV845" s="1697"/>
      <c r="AW845" s="1697"/>
      <c r="AX845" s="1697"/>
      <c r="AY845" s="1697"/>
      <c r="AZ845" s="1697"/>
      <c r="BA845" s="1697"/>
      <c r="BB845" s="1697"/>
      <c r="BC845" s="1697"/>
      <c r="BD845" s="1697"/>
      <c r="BE845" s="1697"/>
      <c r="BF845" s="1697"/>
      <c r="BG845" s="1697"/>
      <c r="BH845" s="1697"/>
      <c r="BI845" s="1697"/>
      <c r="BJ845" s="1697"/>
      <c r="BK845" s="1697"/>
      <c r="BL845" s="1697"/>
      <c r="BM845" s="1697"/>
      <c r="BN845" s="1697"/>
      <c r="BO845" s="1697"/>
      <c r="BP845" s="1697"/>
      <c r="BQ845" s="1697"/>
      <c r="BR845" s="1697"/>
      <c r="BS845" s="1697"/>
      <c r="BT845" s="1697"/>
      <c r="BU845" s="1697"/>
      <c r="BV845" s="1697"/>
      <c r="BW845" s="1697"/>
      <c r="BX845" s="1697"/>
      <c r="BY845" s="1697"/>
      <c r="BZ845" s="1697"/>
      <c r="CA845" s="1697"/>
      <c r="CB845" s="1697"/>
      <c r="CC845" s="1697"/>
      <c r="CD845" s="1697"/>
      <c r="CE845" s="1697"/>
      <c r="CF845" s="1697"/>
      <c r="CG845" s="1697"/>
      <c r="CH845" s="1697"/>
      <c r="CI845" s="1697"/>
      <c r="CJ845" s="1697"/>
      <c r="CK845" s="1697"/>
      <c r="CL845" s="1697"/>
      <c r="CM845" s="1697"/>
      <c r="CN845" s="1697"/>
      <c r="CO845" s="1697"/>
      <c r="CP845" s="1697"/>
      <c r="CQ845" s="1697"/>
      <c r="CR845" s="1697"/>
      <c r="CS845" s="1697"/>
      <c r="CT845" s="1697"/>
      <c r="CU845" s="1697"/>
      <c r="CV845" s="1697"/>
      <c r="CW845" s="1697"/>
      <c r="CX845" s="1697"/>
      <c r="CY845" s="1697"/>
      <c r="CZ845" s="1697"/>
      <c r="DA845" s="1697"/>
      <c r="DB845" s="1697"/>
      <c r="DC845" s="1697"/>
      <c r="DD845" s="1697"/>
      <c r="DE845" s="1697"/>
      <c r="DF845" s="1697"/>
      <c r="DG845" s="1697"/>
      <c r="DH845" s="1697"/>
      <c r="DI845" s="1697"/>
      <c r="DJ845" s="1697"/>
      <c r="DK845" s="1697"/>
      <c r="DL845" s="1697"/>
      <c r="DM845" s="1697"/>
      <c r="DN845" s="1697"/>
      <c r="DO845" s="1697"/>
      <c r="DP845" s="1697"/>
      <c r="DQ845" s="1697"/>
      <c r="DR845" s="1697"/>
      <c r="DS845" s="1697"/>
      <c r="DT845" s="1697"/>
      <c r="DU845" s="1697"/>
      <c r="DV845" s="1697"/>
      <c r="DW845" s="1697"/>
      <c r="DX845" s="1697"/>
      <c r="DY845" s="1697"/>
      <c r="DZ845" s="1697"/>
      <c r="EA845" s="1697"/>
      <c r="EB845" s="1697"/>
      <c r="EC845" s="1697"/>
      <c r="ED845" s="1697"/>
      <c r="EE845" s="1697"/>
      <c r="EF845" s="1697"/>
      <c r="EG845" s="1697"/>
      <c r="EH845" s="1697"/>
      <c r="EI845" s="1697"/>
      <c r="EJ845" s="1697"/>
      <c r="EK845" s="1697"/>
      <c r="EL845" s="1697"/>
      <c r="EM845" s="1697"/>
      <c r="EN845" s="1697"/>
      <c r="EO845" s="1697"/>
      <c r="EP845" s="1697"/>
      <c r="EQ845" s="1697"/>
      <c r="ER845" s="1697"/>
      <c r="ES845" s="1697"/>
      <c r="ET845" s="1697"/>
      <c r="EU845" s="1697"/>
      <c r="EV845" s="1697"/>
      <c r="EW845" s="1697"/>
      <c r="EX845" s="1697"/>
      <c r="EY845" s="1697"/>
      <c r="EZ845" s="1697"/>
      <c r="FA845" s="1697"/>
      <c r="FB845" s="1697"/>
      <c r="FC845" s="1697"/>
      <c r="FD845" s="1697"/>
      <c r="FE845" s="1697"/>
      <c r="FF845" s="1697"/>
      <c r="FG845" s="1697"/>
      <c r="FH845" s="1697"/>
      <c r="FI845" s="1697"/>
    </row>
    <row r="846" spans="1:165">
      <c r="A846" s="1697"/>
      <c r="B846" s="1697"/>
      <c r="C846" s="1697"/>
      <c r="D846" s="1697"/>
      <c r="E846" s="1697"/>
      <c r="F846" s="1697"/>
      <c r="G846" s="1697"/>
      <c r="H846" s="1697"/>
      <c r="I846" s="1697"/>
      <c r="J846" s="1697"/>
      <c r="K846" s="1697"/>
      <c r="L846" s="1697"/>
      <c r="M846" s="1697"/>
      <c r="N846" s="1697"/>
      <c r="O846" s="1697"/>
      <c r="P846" s="1697"/>
      <c r="Q846" s="1697"/>
      <c r="R846" s="1697"/>
      <c r="S846" s="1697"/>
      <c r="T846" s="1697"/>
      <c r="U846" s="1697"/>
      <c r="V846" s="1697"/>
      <c r="W846" s="1697"/>
      <c r="X846" s="1697"/>
      <c r="Y846" s="1697"/>
      <c r="Z846" s="1697"/>
      <c r="AA846" s="1697"/>
      <c r="AB846" s="1697"/>
      <c r="AC846" s="1697"/>
      <c r="AD846" s="1697"/>
      <c r="AE846" s="1697"/>
      <c r="AF846" s="1697"/>
      <c r="AG846" s="1697"/>
      <c r="AH846" s="1697"/>
      <c r="AI846" s="1697"/>
      <c r="AJ846" s="1697"/>
      <c r="AK846" s="1697"/>
      <c r="AL846" s="1697"/>
      <c r="AM846" s="1697"/>
      <c r="AN846" s="1697"/>
      <c r="AO846" s="1697"/>
      <c r="AP846" s="1697"/>
      <c r="AQ846" s="1697"/>
      <c r="AR846" s="1697"/>
      <c r="AS846" s="1697"/>
      <c r="AT846" s="1697"/>
      <c r="AU846" s="1697"/>
      <c r="AV846" s="1697"/>
      <c r="AW846" s="1697"/>
      <c r="AX846" s="1697"/>
      <c r="AY846" s="1697"/>
      <c r="AZ846" s="1697"/>
      <c r="BA846" s="1697"/>
      <c r="BB846" s="1697"/>
      <c r="BC846" s="1697"/>
      <c r="BD846" s="1697"/>
      <c r="BE846" s="1697"/>
      <c r="BF846" s="1697"/>
      <c r="BG846" s="1697"/>
      <c r="BH846" s="1697"/>
      <c r="BI846" s="1697"/>
      <c r="BJ846" s="1697"/>
      <c r="BK846" s="1697"/>
      <c r="BL846" s="1697"/>
      <c r="BM846" s="1697"/>
      <c r="BN846" s="1697"/>
      <c r="BO846" s="1697"/>
      <c r="BP846" s="1697"/>
      <c r="BQ846" s="1697"/>
      <c r="BR846" s="1697"/>
      <c r="BS846" s="1697"/>
      <c r="BT846" s="1697"/>
      <c r="BU846" s="1697"/>
      <c r="BV846" s="1697"/>
      <c r="BW846" s="1697"/>
      <c r="BX846" s="1697"/>
      <c r="BY846" s="1697"/>
      <c r="BZ846" s="1697"/>
      <c r="CA846" s="1697"/>
      <c r="CB846" s="1697"/>
      <c r="CC846" s="1697"/>
      <c r="CD846" s="1697"/>
      <c r="CE846" s="1697"/>
      <c r="CF846" s="1697"/>
      <c r="CG846" s="1697"/>
      <c r="CH846" s="1697"/>
      <c r="CI846" s="1697"/>
      <c r="CJ846" s="1697"/>
      <c r="CK846" s="1697"/>
      <c r="CL846" s="1697"/>
      <c r="CM846" s="1697"/>
      <c r="CN846" s="1697"/>
      <c r="CO846" s="1697"/>
      <c r="CP846" s="1697"/>
      <c r="CQ846" s="1697"/>
      <c r="CR846" s="1697"/>
      <c r="CS846" s="1697"/>
      <c r="CT846" s="1697"/>
      <c r="CU846" s="1697"/>
      <c r="CV846" s="1697"/>
      <c r="CW846" s="1697"/>
      <c r="CX846" s="1697"/>
      <c r="CY846" s="1697"/>
      <c r="CZ846" s="1697"/>
      <c r="DA846" s="1697"/>
      <c r="DB846" s="1697"/>
      <c r="DC846" s="1697"/>
      <c r="DD846" s="1697"/>
      <c r="DE846" s="1697"/>
      <c r="DF846" s="1697"/>
      <c r="DG846" s="1697"/>
      <c r="DH846" s="1697"/>
      <c r="DI846" s="1697"/>
      <c r="DJ846" s="1697"/>
      <c r="DK846" s="1697"/>
      <c r="DL846" s="1697"/>
      <c r="DM846" s="1697"/>
      <c r="DN846" s="1697"/>
      <c r="DO846" s="1697"/>
      <c r="DP846" s="1697"/>
      <c r="DQ846" s="1697"/>
      <c r="DR846" s="1697"/>
      <c r="DS846" s="1697"/>
      <c r="DT846" s="1697"/>
      <c r="DU846" s="1697"/>
      <c r="DV846" s="1697"/>
      <c r="DW846" s="1697"/>
      <c r="DX846" s="1697"/>
      <c r="DY846" s="1697"/>
      <c r="DZ846" s="1697"/>
      <c r="EA846" s="1697"/>
      <c r="EB846" s="1697"/>
      <c r="EC846" s="1697"/>
      <c r="ED846" s="1697"/>
      <c r="EE846" s="1697"/>
      <c r="EF846" s="1697"/>
      <c r="EG846" s="1697"/>
      <c r="EH846" s="1697"/>
      <c r="EI846" s="1697"/>
      <c r="EJ846" s="1697"/>
      <c r="EK846" s="1697"/>
      <c r="EL846" s="1697"/>
      <c r="EM846" s="1697"/>
      <c r="EN846" s="1697"/>
      <c r="EO846" s="1697"/>
      <c r="EP846" s="1697"/>
      <c r="EQ846" s="1697"/>
      <c r="ER846" s="1697"/>
      <c r="ES846" s="1697"/>
      <c r="ET846" s="1697"/>
      <c r="EU846" s="1697"/>
      <c r="EV846" s="1697"/>
      <c r="EW846" s="1697"/>
      <c r="EX846" s="1697"/>
      <c r="EY846" s="1697"/>
      <c r="EZ846" s="1697"/>
      <c r="FA846" s="1697"/>
      <c r="FB846" s="1697"/>
      <c r="FC846" s="1697"/>
      <c r="FD846" s="1697"/>
      <c r="FE846" s="1697"/>
      <c r="FF846" s="1697"/>
      <c r="FG846" s="1697"/>
      <c r="FH846" s="1697"/>
      <c r="FI846" s="1697"/>
    </row>
    <row r="847" spans="1:165">
      <c r="A847" s="1697"/>
      <c r="B847" s="1697"/>
      <c r="C847" s="1697"/>
      <c r="D847" s="1697"/>
      <c r="E847" s="1697"/>
      <c r="F847" s="1697"/>
      <c r="G847" s="1697"/>
      <c r="H847" s="1697"/>
      <c r="I847" s="1697"/>
      <c r="J847" s="1697"/>
      <c r="K847" s="1697"/>
      <c r="L847" s="1697"/>
      <c r="M847" s="1697"/>
      <c r="N847" s="1697"/>
      <c r="O847" s="1697"/>
      <c r="P847" s="1697"/>
      <c r="Q847" s="1697"/>
      <c r="R847" s="1697"/>
      <c r="S847" s="1697"/>
      <c r="T847" s="1697"/>
      <c r="U847" s="1697"/>
      <c r="V847" s="1697"/>
      <c r="W847" s="1697"/>
      <c r="X847" s="1697"/>
      <c r="Y847" s="1697"/>
      <c r="Z847" s="1697"/>
      <c r="AA847" s="1697"/>
      <c r="AB847" s="1697"/>
      <c r="AC847" s="1697"/>
      <c r="AD847" s="1697"/>
      <c r="AE847" s="1697"/>
      <c r="AF847" s="1697"/>
      <c r="AG847" s="1697"/>
      <c r="AH847" s="1697"/>
      <c r="AI847" s="1697"/>
      <c r="AJ847" s="1697"/>
      <c r="AK847" s="1697"/>
      <c r="AL847" s="1697"/>
      <c r="AM847" s="1697"/>
      <c r="AN847" s="1697"/>
      <c r="AO847" s="1697"/>
      <c r="AP847" s="1697"/>
      <c r="AQ847" s="1697"/>
      <c r="AR847" s="1697"/>
      <c r="AS847" s="1697"/>
      <c r="AT847" s="1697"/>
      <c r="AU847" s="1697"/>
      <c r="AV847" s="1697"/>
      <c r="AW847" s="1697"/>
      <c r="AX847" s="1697"/>
      <c r="AY847" s="1697"/>
      <c r="AZ847" s="1697"/>
      <c r="BA847" s="1697"/>
      <c r="BB847" s="1697"/>
      <c r="BC847" s="1697"/>
      <c r="BD847" s="1697"/>
      <c r="BE847" s="1697"/>
      <c r="BF847" s="1697"/>
      <c r="BG847" s="1697"/>
      <c r="BH847" s="1697"/>
      <c r="BI847" s="1697"/>
      <c r="BJ847" s="1697"/>
      <c r="BK847" s="1697"/>
      <c r="BL847" s="1697"/>
      <c r="BM847" s="1697"/>
      <c r="BN847" s="1697"/>
      <c r="BO847" s="1697"/>
      <c r="BP847" s="1697"/>
      <c r="BQ847" s="1697"/>
      <c r="BR847" s="1697"/>
      <c r="BS847" s="1697"/>
      <c r="BT847" s="1697"/>
      <c r="BU847" s="1697"/>
      <c r="BV847" s="1697"/>
      <c r="BW847" s="1697"/>
      <c r="BX847" s="1697"/>
      <c r="BY847" s="1697"/>
      <c r="BZ847" s="1697"/>
      <c r="CA847" s="1697"/>
      <c r="CB847" s="1697"/>
      <c r="CC847" s="1697"/>
      <c r="CD847" s="1697"/>
      <c r="CE847" s="1697"/>
      <c r="CF847" s="1697"/>
      <c r="CG847" s="1697"/>
      <c r="CH847" s="1697"/>
      <c r="CI847" s="1697"/>
      <c r="CJ847" s="1697"/>
      <c r="CK847" s="1697"/>
      <c r="CL847" s="1697"/>
      <c r="CM847" s="1697"/>
      <c r="CN847" s="1697"/>
      <c r="CO847" s="1697"/>
      <c r="CP847" s="1697"/>
      <c r="CQ847" s="1697"/>
      <c r="CR847" s="1697"/>
      <c r="CS847" s="1697"/>
      <c r="CT847" s="1697"/>
      <c r="CU847" s="1697"/>
      <c r="CV847" s="1697"/>
      <c r="CW847" s="1697"/>
      <c r="CX847" s="1697"/>
      <c r="CY847" s="1697"/>
      <c r="CZ847" s="1697"/>
      <c r="DA847" s="1697"/>
      <c r="DB847" s="1697"/>
      <c r="DC847" s="1697"/>
      <c r="DD847" s="1697"/>
      <c r="DE847" s="1697"/>
      <c r="DF847" s="1697"/>
      <c r="DG847" s="1697"/>
      <c r="DH847" s="1697"/>
      <c r="DI847" s="1697"/>
      <c r="DJ847" s="1697"/>
      <c r="DK847" s="1697"/>
      <c r="DL847" s="1697"/>
      <c r="DM847" s="1697"/>
      <c r="DN847" s="1697"/>
      <c r="DO847" s="1697"/>
      <c r="DP847" s="1697"/>
      <c r="DQ847" s="1697"/>
      <c r="DR847" s="1697"/>
      <c r="DS847" s="1697"/>
      <c r="DT847" s="1697"/>
      <c r="DU847" s="1697"/>
      <c r="DV847" s="1697"/>
      <c r="DW847" s="1697"/>
      <c r="DX847" s="1697"/>
      <c r="DY847" s="1697"/>
      <c r="DZ847" s="1697"/>
      <c r="EA847" s="1697"/>
      <c r="EB847" s="1697"/>
      <c r="EC847" s="1697"/>
      <c r="ED847" s="1697"/>
      <c r="EE847" s="1697"/>
      <c r="EF847" s="1697"/>
      <c r="EG847" s="1697"/>
      <c r="EH847" s="1697"/>
      <c r="EI847" s="1697"/>
      <c r="EJ847" s="1697"/>
      <c r="EK847" s="1697"/>
      <c r="EL847" s="1697"/>
      <c r="EM847" s="1697"/>
      <c r="EN847" s="1697"/>
      <c r="EO847" s="1697"/>
      <c r="EP847" s="1697"/>
      <c r="EQ847" s="1697"/>
      <c r="ER847" s="1697"/>
      <c r="ES847" s="1697"/>
      <c r="ET847" s="1697"/>
      <c r="EU847" s="1697"/>
      <c r="EV847" s="1697"/>
      <c r="EW847" s="1697"/>
      <c r="EX847" s="1697"/>
      <c r="EY847" s="1697"/>
      <c r="EZ847" s="1697"/>
      <c r="FA847" s="1697"/>
      <c r="FB847" s="1697"/>
      <c r="FC847" s="1697"/>
      <c r="FD847" s="1697"/>
      <c r="FE847" s="1697"/>
      <c r="FF847" s="1697"/>
      <c r="FG847" s="1697"/>
      <c r="FH847" s="1697"/>
      <c r="FI847" s="1697"/>
    </row>
    <row r="848" spans="1:165">
      <c r="A848" s="1697"/>
      <c r="B848" s="1697"/>
      <c r="C848" s="1697"/>
      <c r="D848" s="1697"/>
      <c r="E848" s="1697"/>
      <c r="F848" s="1697"/>
      <c r="G848" s="1697"/>
      <c r="H848" s="1697"/>
      <c r="I848" s="1697"/>
      <c r="J848" s="1697"/>
      <c r="K848" s="1697"/>
      <c r="L848" s="1697"/>
      <c r="M848" s="1697"/>
      <c r="N848" s="1697"/>
      <c r="O848" s="1697"/>
      <c r="P848" s="1697"/>
      <c r="Q848" s="1697"/>
      <c r="R848" s="1697"/>
      <c r="S848" s="1697"/>
      <c r="T848" s="1697"/>
      <c r="U848" s="1697"/>
      <c r="V848" s="1697"/>
      <c r="W848" s="1697"/>
      <c r="X848" s="1697"/>
      <c r="Y848" s="1697"/>
      <c r="Z848" s="1697"/>
      <c r="AA848" s="1697"/>
      <c r="AB848" s="1697"/>
      <c r="AC848" s="1697"/>
      <c r="AD848" s="1697"/>
      <c r="AE848" s="1697"/>
      <c r="AF848" s="1697"/>
      <c r="AG848" s="1697"/>
      <c r="AH848" s="1697"/>
      <c r="AI848" s="1697"/>
      <c r="AJ848" s="1697"/>
      <c r="AK848" s="1697"/>
      <c r="AL848" s="1697"/>
      <c r="AM848" s="1697"/>
      <c r="AN848" s="1697"/>
      <c r="AO848" s="1697"/>
      <c r="AP848" s="1697"/>
      <c r="AQ848" s="1697"/>
      <c r="AR848" s="1697"/>
      <c r="AS848" s="1697"/>
      <c r="AT848" s="1697"/>
      <c r="AU848" s="1697"/>
      <c r="AV848" s="1697"/>
      <c r="AW848" s="1697"/>
      <c r="AX848" s="1697"/>
      <c r="AY848" s="1697"/>
      <c r="AZ848" s="1697"/>
      <c r="BA848" s="1697"/>
      <c r="BB848" s="1697"/>
      <c r="BC848" s="1697"/>
      <c r="BD848" s="1697"/>
      <c r="BE848" s="1697"/>
      <c r="BF848" s="1697"/>
      <c r="BG848" s="1697"/>
      <c r="BH848" s="1697"/>
      <c r="BI848" s="1697"/>
      <c r="BJ848" s="1697"/>
      <c r="BK848" s="1697"/>
      <c r="BL848" s="1697"/>
      <c r="BM848" s="1697"/>
      <c r="BN848" s="1697"/>
      <c r="BO848" s="1697"/>
      <c r="BP848" s="1697"/>
      <c r="BQ848" s="1697"/>
      <c r="BR848" s="1697"/>
      <c r="BS848" s="1697"/>
      <c r="BT848" s="1697"/>
      <c r="BU848" s="1697"/>
      <c r="BV848" s="1697"/>
      <c r="BW848" s="1697"/>
      <c r="BX848" s="1697"/>
      <c r="BY848" s="1697"/>
      <c r="BZ848" s="1697"/>
      <c r="CA848" s="1697"/>
      <c r="CB848" s="1697"/>
      <c r="CC848" s="1697"/>
      <c r="CD848" s="1697"/>
      <c r="CE848" s="1697"/>
      <c r="CF848" s="1697"/>
      <c r="CG848" s="1697"/>
      <c r="CH848" s="1697"/>
      <c r="CI848" s="1697"/>
      <c r="CJ848" s="1697"/>
      <c r="CK848" s="1697"/>
      <c r="CL848" s="1697"/>
      <c r="CM848" s="1697"/>
      <c r="CN848" s="1697"/>
      <c r="CO848" s="1697"/>
      <c r="CP848" s="1697"/>
      <c r="CQ848" s="1697"/>
      <c r="CR848" s="1697"/>
      <c r="CS848" s="1697"/>
      <c r="CT848" s="1697"/>
      <c r="CU848" s="1697"/>
      <c r="CV848" s="1697"/>
      <c r="CW848" s="1697"/>
      <c r="CX848" s="1697"/>
      <c r="CY848" s="1697"/>
      <c r="CZ848" s="1697"/>
      <c r="DA848" s="1697"/>
      <c r="DB848" s="1697"/>
      <c r="DC848" s="1697"/>
      <c r="DD848" s="1697"/>
      <c r="DE848" s="1697"/>
      <c r="DF848" s="1697"/>
      <c r="DG848" s="1697"/>
      <c r="DH848" s="1697"/>
      <c r="DI848" s="1697"/>
      <c r="DJ848" s="1697"/>
      <c r="DK848" s="1697"/>
      <c r="DL848" s="1697"/>
      <c r="DM848" s="1697"/>
      <c r="DN848" s="1697"/>
      <c r="DO848" s="1697"/>
      <c r="DP848" s="1697"/>
      <c r="DQ848" s="1697"/>
      <c r="DR848" s="1697"/>
      <c r="DS848" s="1697"/>
      <c r="DT848" s="1697"/>
      <c r="DU848" s="1697"/>
      <c r="DV848" s="1697"/>
      <c r="DW848" s="1697"/>
      <c r="DX848" s="1697"/>
      <c r="DY848" s="1697"/>
      <c r="DZ848" s="1697"/>
      <c r="EA848" s="1697"/>
      <c r="EB848" s="1697"/>
      <c r="EC848" s="1697"/>
      <c r="ED848" s="1697"/>
      <c r="EE848" s="1697"/>
      <c r="EF848" s="1697"/>
      <c r="EG848" s="1697"/>
      <c r="EH848" s="1697"/>
      <c r="EI848" s="1697"/>
      <c r="EJ848" s="1697"/>
      <c r="EK848" s="1697"/>
      <c r="EL848" s="1697"/>
      <c r="EM848" s="1697"/>
      <c r="EN848" s="1697"/>
      <c r="EO848" s="1697"/>
      <c r="EP848" s="1697"/>
      <c r="EQ848" s="1697"/>
      <c r="ER848" s="1697"/>
      <c r="ES848" s="1697"/>
      <c r="ET848" s="1697"/>
      <c r="EU848" s="1697"/>
      <c r="EV848" s="1697"/>
      <c r="EW848" s="1697"/>
      <c r="EX848" s="1697"/>
      <c r="EY848" s="1697"/>
      <c r="EZ848" s="1697"/>
      <c r="FA848" s="1697"/>
      <c r="FB848" s="1697"/>
      <c r="FC848" s="1697"/>
      <c r="FD848" s="1697"/>
      <c r="FE848" s="1697"/>
      <c r="FF848" s="1697"/>
      <c r="FG848" s="1697"/>
      <c r="FH848" s="1697"/>
      <c r="FI848" s="1697"/>
    </row>
    <row r="849" spans="1:165">
      <c r="A849" s="1697"/>
      <c r="B849" s="1697"/>
      <c r="C849" s="1697"/>
      <c r="D849" s="1697"/>
      <c r="E849" s="1697"/>
      <c r="F849" s="1697"/>
      <c r="G849" s="1697"/>
      <c r="H849" s="1697"/>
      <c r="I849" s="1697"/>
      <c r="J849" s="1697"/>
      <c r="K849" s="1697"/>
      <c r="L849" s="1697"/>
      <c r="M849" s="1697"/>
      <c r="N849" s="1697"/>
      <c r="O849" s="1697"/>
      <c r="P849" s="1697"/>
      <c r="Q849" s="1697"/>
      <c r="R849" s="1697"/>
      <c r="S849" s="1697"/>
      <c r="T849" s="1697"/>
      <c r="U849" s="1697"/>
      <c r="V849" s="1697"/>
      <c r="W849" s="1697"/>
      <c r="X849" s="1697"/>
      <c r="Y849" s="1697"/>
      <c r="Z849" s="1697"/>
      <c r="AA849" s="1697"/>
      <c r="AB849" s="1697"/>
      <c r="AC849" s="1697"/>
      <c r="AD849" s="1697"/>
      <c r="AE849" s="1697"/>
      <c r="AF849" s="1697"/>
      <c r="AG849" s="1697"/>
      <c r="AH849" s="1697"/>
      <c r="AI849" s="1697"/>
      <c r="AJ849" s="1697"/>
      <c r="AK849" s="1697"/>
      <c r="AL849" s="1697"/>
      <c r="AM849" s="1697"/>
      <c r="AN849" s="1697"/>
      <c r="AO849" s="1697"/>
      <c r="AP849" s="1697"/>
      <c r="AQ849" s="1697"/>
      <c r="AR849" s="1697"/>
      <c r="AS849" s="1697"/>
      <c r="AT849" s="1697"/>
      <c r="AU849" s="1697"/>
      <c r="AV849" s="1697"/>
      <c r="AW849" s="1697"/>
      <c r="AX849" s="1697"/>
      <c r="AY849" s="1697"/>
      <c r="AZ849" s="1697"/>
      <c r="BA849" s="1697"/>
      <c r="BB849" s="1697"/>
      <c r="BC849" s="1697"/>
      <c r="BD849" s="1697"/>
      <c r="BE849" s="1697"/>
      <c r="BF849" s="1697"/>
      <c r="BG849" s="1697"/>
      <c r="BH849" s="1697"/>
      <c r="BI849" s="1697"/>
      <c r="BJ849" s="1697"/>
      <c r="BK849" s="1697"/>
      <c r="BL849" s="1697"/>
      <c r="BM849" s="1697"/>
      <c r="BN849" s="1697"/>
      <c r="BO849" s="1697"/>
      <c r="BP849" s="1697"/>
      <c r="BQ849" s="1697"/>
      <c r="BR849" s="1697"/>
      <c r="BS849" s="1697"/>
      <c r="BT849" s="1697"/>
      <c r="BU849" s="1697"/>
      <c r="BV849" s="1697"/>
      <c r="BW849" s="1697"/>
      <c r="BX849" s="1697"/>
      <c r="BY849" s="1697"/>
      <c r="BZ849" s="1697"/>
      <c r="CA849" s="1697"/>
      <c r="CB849" s="1697"/>
      <c r="CC849" s="1697"/>
      <c r="CD849" s="1697"/>
      <c r="CE849" s="1697"/>
      <c r="CF849" s="1697"/>
      <c r="CG849" s="1697"/>
      <c r="CH849" s="1697"/>
      <c r="CI849" s="1697"/>
      <c r="CJ849" s="1697"/>
      <c r="CK849" s="1697"/>
      <c r="CL849" s="1697"/>
      <c r="CM849" s="1697"/>
      <c r="CN849" s="1697"/>
      <c r="CO849" s="1697"/>
      <c r="CP849" s="1697"/>
      <c r="CQ849" s="1697"/>
      <c r="CR849" s="1697"/>
      <c r="CS849" s="1697"/>
      <c r="CT849" s="1697"/>
      <c r="CU849" s="1697"/>
      <c r="CV849" s="1697"/>
      <c r="CW849" s="1697"/>
      <c r="CX849" s="1697"/>
      <c r="CY849" s="1697"/>
      <c r="CZ849" s="1697"/>
      <c r="DA849" s="1697"/>
      <c r="DB849" s="1697"/>
      <c r="DC849" s="1697"/>
      <c r="DD849" s="1697"/>
      <c r="DE849" s="1697"/>
      <c r="DF849" s="1697"/>
      <c r="DG849" s="1697"/>
      <c r="DH849" s="1697"/>
      <c r="DI849" s="1697"/>
      <c r="DJ849" s="1697"/>
      <c r="DK849" s="1697"/>
      <c r="DL849" s="1697"/>
      <c r="DM849" s="1697"/>
      <c r="DN849" s="1697"/>
      <c r="DO849" s="1697"/>
      <c r="DP849" s="1697"/>
      <c r="DQ849" s="1697"/>
      <c r="DR849" s="1697"/>
      <c r="DS849" s="1697"/>
      <c r="DT849" s="1697"/>
      <c r="DU849" s="1697"/>
      <c r="DV849" s="1697"/>
      <c r="DW849" s="1697"/>
      <c r="DX849" s="1697"/>
      <c r="DY849" s="1697"/>
      <c r="DZ849" s="1697"/>
      <c r="EA849" s="1697"/>
      <c r="EB849" s="1697"/>
      <c r="EC849" s="1697"/>
      <c r="ED849" s="1697"/>
      <c r="EE849" s="1697"/>
      <c r="EF849" s="1697"/>
      <c r="EG849" s="1697"/>
      <c r="EH849" s="1697"/>
      <c r="EI849" s="1697"/>
      <c r="EJ849" s="1697"/>
      <c r="EK849" s="1697"/>
      <c r="EL849" s="1697"/>
      <c r="EM849" s="1697"/>
      <c r="EN849" s="1697"/>
      <c r="EO849" s="1697"/>
      <c r="EP849" s="1697"/>
      <c r="EQ849" s="1697"/>
      <c r="ER849" s="1697"/>
      <c r="ES849" s="1697"/>
      <c r="ET849" s="1697"/>
      <c r="EU849" s="1697"/>
      <c r="EV849" s="1697"/>
      <c r="EW849" s="1697"/>
      <c r="EX849" s="1697"/>
      <c r="EY849" s="1697"/>
      <c r="EZ849" s="1697"/>
      <c r="FA849" s="1697"/>
      <c r="FB849" s="1697"/>
      <c r="FC849" s="1697"/>
      <c r="FD849" s="1697"/>
      <c r="FE849" s="1697"/>
      <c r="FF849" s="1697"/>
      <c r="FG849" s="1697"/>
      <c r="FH849" s="1697"/>
      <c r="FI849" s="1697"/>
    </row>
    <row r="850" spans="1:165">
      <c r="A850" s="1697"/>
      <c r="B850" s="1697"/>
      <c r="C850" s="1697"/>
      <c r="D850" s="1697"/>
      <c r="E850" s="1697"/>
      <c r="F850" s="1697"/>
      <c r="G850" s="1697"/>
      <c r="H850" s="1697"/>
      <c r="I850" s="1697"/>
      <c r="J850" s="1697"/>
      <c r="K850" s="1697"/>
      <c r="L850" s="1697"/>
      <c r="M850" s="1697"/>
      <c r="N850" s="1697"/>
      <c r="O850" s="1697"/>
      <c r="P850" s="1697"/>
      <c r="Q850" s="1697"/>
      <c r="R850" s="1697"/>
      <c r="S850" s="1697"/>
      <c r="T850" s="1697"/>
      <c r="U850" s="1697"/>
      <c r="V850" s="1697"/>
      <c r="W850" s="1697"/>
      <c r="X850" s="1697"/>
      <c r="Y850" s="1697"/>
      <c r="Z850" s="1697"/>
      <c r="AA850" s="1697"/>
      <c r="AB850" s="1697"/>
      <c r="AC850" s="1697"/>
      <c r="AD850" s="1697"/>
      <c r="AE850" s="1697"/>
      <c r="AF850" s="1697"/>
      <c r="AG850" s="1697"/>
      <c r="AH850" s="1697"/>
      <c r="AI850" s="1697"/>
      <c r="AJ850" s="1697"/>
      <c r="AK850" s="1697"/>
      <c r="AL850" s="1697"/>
      <c r="AM850" s="1697"/>
      <c r="AN850" s="1697"/>
      <c r="AO850" s="1697"/>
      <c r="AP850" s="1697"/>
      <c r="AQ850" s="1697"/>
      <c r="AR850" s="1697"/>
      <c r="AS850" s="1697"/>
      <c r="AT850" s="1697"/>
      <c r="AU850" s="1697"/>
      <c r="AV850" s="1697"/>
      <c r="AW850" s="1697"/>
      <c r="AX850" s="1697"/>
      <c r="AY850" s="1697"/>
      <c r="AZ850" s="1697"/>
      <c r="BA850" s="1697"/>
      <c r="BB850" s="1697"/>
      <c r="BC850" s="1697"/>
      <c r="BD850" s="1697"/>
      <c r="BE850" s="1697"/>
      <c r="BF850" s="1697"/>
      <c r="BG850" s="1697"/>
      <c r="BH850" s="1697"/>
      <c r="BI850" s="1697"/>
      <c r="BJ850" s="1697"/>
      <c r="BK850" s="1697"/>
      <c r="BL850" s="1697"/>
      <c r="BM850" s="1697"/>
      <c r="BN850" s="1697"/>
      <c r="BO850" s="1697"/>
      <c r="BP850" s="1697"/>
      <c r="BQ850" s="1697"/>
      <c r="BR850" s="1697"/>
      <c r="BS850" s="1697"/>
      <c r="BT850" s="1697"/>
      <c r="BU850" s="1697"/>
      <c r="BV850" s="1697"/>
      <c r="BW850" s="1697"/>
      <c r="BX850" s="1697"/>
      <c r="BY850" s="1697"/>
      <c r="BZ850" s="1697"/>
      <c r="CA850" s="1697"/>
      <c r="CB850" s="1697"/>
      <c r="CC850" s="1697"/>
      <c r="CD850" s="1697"/>
      <c r="CE850" s="1697"/>
      <c r="CF850" s="1697"/>
      <c r="CG850" s="1697"/>
      <c r="CH850" s="1697"/>
      <c r="CI850" s="1697"/>
      <c r="CJ850" s="1697"/>
      <c r="CK850" s="1697"/>
      <c r="CL850" s="1697"/>
      <c r="CM850" s="1697"/>
      <c r="CN850" s="1697"/>
      <c r="CO850" s="1697"/>
      <c r="CP850" s="1697"/>
      <c r="CQ850" s="1697"/>
      <c r="CR850" s="1697"/>
      <c r="CS850" s="1697"/>
      <c r="CT850" s="1697"/>
      <c r="CU850" s="1697"/>
      <c r="CV850" s="1697"/>
      <c r="CW850" s="1697"/>
      <c r="CX850" s="1697"/>
      <c r="CY850" s="1697"/>
      <c r="CZ850" s="1697"/>
      <c r="DA850" s="1697"/>
      <c r="DB850" s="1697"/>
      <c r="DC850" s="1697"/>
      <c r="DD850" s="1697"/>
      <c r="DE850" s="1697"/>
      <c r="DF850" s="1697"/>
      <c r="DG850" s="1697"/>
      <c r="DH850" s="1697"/>
      <c r="DI850" s="1697"/>
      <c r="DJ850" s="1697"/>
      <c r="DK850" s="1697"/>
      <c r="DL850" s="1697"/>
      <c r="DM850" s="1697"/>
      <c r="DN850" s="1697"/>
      <c r="DO850" s="1697"/>
      <c r="DP850" s="1697"/>
      <c r="DQ850" s="1697"/>
      <c r="DR850" s="1697"/>
      <c r="DS850" s="1697"/>
      <c r="DT850" s="1697"/>
      <c r="DU850" s="1697"/>
      <c r="DV850" s="1697"/>
      <c r="DW850" s="1697"/>
      <c r="DX850" s="1697"/>
      <c r="DY850" s="1697"/>
      <c r="DZ850" s="1697"/>
      <c r="EA850" s="1697"/>
      <c r="EB850" s="1697"/>
      <c r="EC850" s="1697"/>
      <c r="ED850" s="1697"/>
      <c r="EE850" s="1697"/>
      <c r="EF850" s="1697"/>
      <c r="EG850" s="1697"/>
      <c r="EH850" s="1697"/>
      <c r="EI850" s="1697"/>
      <c r="EJ850" s="1697"/>
      <c r="EK850" s="1697"/>
      <c r="EL850" s="1697"/>
      <c r="EM850" s="1697"/>
      <c r="EN850" s="1697"/>
      <c r="EO850" s="1697"/>
      <c r="EP850" s="1697"/>
      <c r="EQ850" s="1697"/>
      <c r="ER850" s="1697"/>
      <c r="ES850" s="1697"/>
      <c r="ET850" s="1697"/>
      <c r="EU850" s="1697"/>
      <c r="EV850" s="1697"/>
      <c r="EW850" s="1697"/>
      <c r="EX850" s="1697"/>
      <c r="EY850" s="1697"/>
      <c r="EZ850" s="1697"/>
      <c r="FA850" s="1697"/>
      <c r="FB850" s="1697"/>
      <c r="FC850" s="1697"/>
      <c r="FD850" s="1697"/>
      <c r="FE850" s="1697"/>
      <c r="FF850" s="1697"/>
      <c r="FG850" s="1697"/>
      <c r="FH850" s="1697"/>
      <c r="FI850" s="1697"/>
    </row>
    <row r="851" spans="1:165">
      <c r="A851" s="1697"/>
      <c r="B851" s="1697"/>
      <c r="C851" s="1697"/>
      <c r="D851" s="1697"/>
      <c r="E851" s="1697"/>
      <c r="F851" s="1697"/>
      <c r="G851" s="1697"/>
      <c r="H851" s="1697"/>
      <c r="I851" s="1697"/>
      <c r="J851" s="1697"/>
      <c r="K851" s="1697"/>
      <c r="L851" s="1697"/>
      <c r="M851" s="1697"/>
      <c r="N851" s="1697"/>
      <c r="O851" s="1697"/>
      <c r="P851" s="1697"/>
      <c r="Q851" s="1697"/>
      <c r="R851" s="1697"/>
      <c r="S851" s="1697"/>
      <c r="T851" s="1697"/>
      <c r="U851" s="1697"/>
      <c r="V851" s="1697"/>
      <c r="W851" s="1697"/>
      <c r="X851" s="1697"/>
      <c r="Y851" s="1697"/>
      <c r="Z851" s="1697"/>
      <c r="AA851" s="1697"/>
      <c r="AB851" s="1697"/>
      <c r="AC851" s="1697"/>
      <c r="AD851" s="1697"/>
      <c r="AE851" s="1697"/>
      <c r="AF851" s="1697"/>
      <c r="AG851" s="1697"/>
      <c r="AH851" s="1697"/>
      <c r="AI851" s="1697"/>
      <c r="AJ851" s="1697"/>
      <c r="AK851" s="1697"/>
      <c r="AL851" s="1697"/>
      <c r="AM851" s="1697"/>
      <c r="AN851" s="1697"/>
      <c r="AO851" s="1697"/>
      <c r="AP851" s="1697"/>
      <c r="AQ851" s="1697"/>
      <c r="AR851" s="1697"/>
      <c r="AS851" s="1697"/>
      <c r="AT851" s="1697"/>
      <c r="AU851" s="1697"/>
      <c r="AV851" s="1697"/>
      <c r="AW851" s="1697"/>
      <c r="AX851" s="1697"/>
      <c r="AY851" s="1697"/>
      <c r="AZ851" s="1697"/>
      <c r="BA851" s="1697"/>
      <c r="BB851" s="1697"/>
      <c r="BC851" s="1697"/>
      <c r="BD851" s="1697"/>
      <c r="BE851" s="1697"/>
      <c r="BF851" s="1697"/>
      <c r="BG851" s="1697"/>
      <c r="BH851" s="1697"/>
      <c r="BI851" s="1697"/>
      <c r="BJ851" s="1697"/>
      <c r="BK851" s="1697"/>
      <c r="BL851" s="1697"/>
      <c r="BM851" s="1697"/>
      <c r="BN851" s="1697"/>
      <c r="BO851" s="1697"/>
      <c r="BP851" s="1697"/>
      <c r="BQ851" s="1697"/>
      <c r="BR851" s="1697"/>
      <c r="BS851" s="1697"/>
      <c r="BT851" s="1697"/>
      <c r="BU851" s="1697"/>
      <c r="BV851" s="1697"/>
      <c r="BW851" s="1697"/>
      <c r="BX851" s="1697"/>
      <c r="BY851" s="1697"/>
      <c r="BZ851" s="1697"/>
      <c r="CA851" s="1697"/>
      <c r="CB851" s="1697"/>
      <c r="CC851" s="1697"/>
      <c r="CD851" s="1697"/>
      <c r="CE851" s="1697"/>
      <c r="CF851" s="1697"/>
      <c r="CG851" s="1697"/>
      <c r="CH851" s="1697"/>
      <c r="CI851" s="1697"/>
      <c r="CJ851" s="1697"/>
      <c r="CK851" s="1697"/>
      <c r="CL851" s="1697"/>
      <c r="CM851" s="1697"/>
      <c r="CN851" s="1697"/>
      <c r="CO851" s="1697"/>
      <c r="CP851" s="1697"/>
      <c r="CQ851" s="1697"/>
      <c r="CR851" s="1697"/>
      <c r="CS851" s="1697"/>
      <c r="CT851" s="1697"/>
      <c r="CU851" s="1697"/>
      <c r="CV851" s="1697"/>
      <c r="CW851" s="1697"/>
      <c r="CX851" s="1697"/>
      <c r="CY851" s="1697"/>
      <c r="CZ851" s="1697"/>
      <c r="DA851" s="1697"/>
      <c r="DB851" s="1697"/>
      <c r="DC851" s="1697"/>
      <c r="DD851" s="1697"/>
      <c r="DE851" s="1697"/>
      <c r="DF851" s="1697"/>
      <c r="DG851" s="1697"/>
      <c r="DH851" s="1697"/>
      <c r="DI851" s="1697"/>
      <c r="DJ851" s="1697"/>
      <c r="DK851" s="1697"/>
      <c r="DL851" s="1697"/>
      <c r="DM851" s="1697"/>
      <c r="DN851" s="1697"/>
      <c r="DO851" s="1697"/>
      <c r="DP851" s="1697"/>
      <c r="DQ851" s="1697"/>
      <c r="DR851" s="1697"/>
      <c r="DS851" s="1697"/>
      <c r="DT851" s="1697"/>
      <c r="DU851" s="1697"/>
      <c r="DV851" s="1697"/>
      <c r="DW851" s="1697"/>
      <c r="DX851" s="1697"/>
      <c r="DY851" s="1697"/>
      <c r="DZ851" s="1697"/>
      <c r="EA851" s="1697"/>
      <c r="EB851" s="1697"/>
      <c r="EC851" s="1697"/>
      <c r="ED851" s="1697"/>
      <c r="EE851" s="1697"/>
      <c r="EF851" s="1697"/>
      <c r="EG851" s="1697"/>
      <c r="EH851" s="1697"/>
      <c r="EI851" s="1697"/>
      <c r="EJ851" s="1697"/>
      <c r="EK851" s="1697"/>
      <c r="EL851" s="1697"/>
      <c r="EM851" s="1697"/>
      <c r="EN851" s="1697"/>
      <c r="EO851" s="1697"/>
      <c r="EP851" s="1697"/>
      <c r="EQ851" s="1697"/>
      <c r="ER851" s="1697"/>
      <c r="ES851" s="1697"/>
      <c r="ET851" s="1697"/>
      <c r="EU851" s="1697"/>
      <c r="EV851" s="1697"/>
      <c r="EW851" s="1697"/>
      <c r="EX851" s="1697"/>
      <c r="EY851" s="1697"/>
      <c r="EZ851" s="1697"/>
      <c r="FA851" s="1697"/>
      <c r="FB851" s="1697"/>
      <c r="FC851" s="1697"/>
      <c r="FD851" s="1697"/>
      <c r="FE851" s="1697"/>
      <c r="FF851" s="1697"/>
      <c r="FG851" s="1697"/>
      <c r="FH851" s="1697"/>
      <c r="FI851" s="1697"/>
    </row>
    <row r="852" spans="1:165">
      <c r="A852" s="1697"/>
      <c r="B852" s="1697"/>
      <c r="C852" s="1697"/>
      <c r="D852" s="1697"/>
      <c r="E852" s="1697"/>
      <c r="F852" s="1697"/>
      <c r="G852" s="1697"/>
      <c r="H852" s="1697"/>
      <c r="I852" s="1697"/>
      <c r="J852" s="1697"/>
      <c r="K852" s="1697"/>
      <c r="L852" s="1697"/>
      <c r="M852" s="1697"/>
      <c r="N852" s="1697"/>
      <c r="O852" s="1697"/>
      <c r="P852" s="1697"/>
      <c r="Q852" s="1697"/>
      <c r="R852" s="1697"/>
      <c r="S852" s="1697"/>
      <c r="T852" s="1697"/>
      <c r="U852" s="1697"/>
      <c r="V852" s="1697"/>
      <c r="W852" s="1697"/>
      <c r="X852" s="1697"/>
      <c r="Y852" s="1697"/>
      <c r="Z852" s="1697"/>
      <c r="AA852" s="1697"/>
      <c r="AB852" s="1697"/>
      <c r="AC852" s="1697"/>
      <c r="AD852" s="1697"/>
      <c r="AE852" s="1697"/>
      <c r="AF852" s="1697"/>
      <c r="AG852" s="1697"/>
      <c r="AH852" s="1697"/>
      <c r="AI852" s="1697"/>
      <c r="AJ852" s="1697"/>
      <c r="AK852" s="1697"/>
      <c r="AL852" s="1697"/>
      <c r="AM852" s="1697"/>
      <c r="AN852" s="1697"/>
      <c r="AO852" s="1697"/>
      <c r="AP852" s="1697"/>
      <c r="AQ852" s="1697"/>
      <c r="AR852" s="1697"/>
      <c r="AS852" s="1697"/>
      <c r="AT852" s="1697"/>
      <c r="AU852" s="1697"/>
      <c r="AV852" s="1697"/>
      <c r="AW852" s="1697"/>
      <c r="AX852" s="1697"/>
      <c r="AY852" s="1697"/>
      <c r="AZ852" s="1697"/>
      <c r="BA852" s="1697"/>
      <c r="BB852" s="1697"/>
      <c r="BC852" s="1697"/>
      <c r="BD852" s="1697"/>
      <c r="BE852" s="1697"/>
      <c r="BF852" s="1697"/>
      <c r="BG852" s="1697"/>
      <c r="BH852" s="1697"/>
      <c r="BI852" s="1697"/>
      <c r="BJ852" s="1697"/>
      <c r="BK852" s="1697"/>
      <c r="BL852" s="1697"/>
      <c r="BM852" s="1697"/>
      <c r="BN852" s="1697"/>
      <c r="BO852" s="1697"/>
      <c r="BP852" s="1697"/>
      <c r="BQ852" s="1697"/>
      <c r="BR852" s="1697"/>
      <c r="BS852" s="1697"/>
      <c r="BT852" s="1697"/>
      <c r="BU852" s="1697"/>
      <c r="BV852" s="1697"/>
      <c r="BW852" s="1697"/>
      <c r="BX852" s="1697"/>
      <c r="BY852" s="1697"/>
      <c r="BZ852" s="1697"/>
      <c r="CA852" s="1697"/>
      <c r="CB852" s="1697"/>
      <c r="CC852" s="1697"/>
      <c r="CD852" s="1697"/>
      <c r="CE852" s="1697"/>
      <c r="CF852" s="1697"/>
      <c r="CG852" s="1697"/>
      <c r="CH852" s="1697"/>
      <c r="CI852" s="1697"/>
      <c r="CJ852" s="1697"/>
      <c r="CK852" s="1697"/>
      <c r="CL852" s="1697"/>
      <c r="CM852" s="1697"/>
      <c r="CN852" s="1697"/>
      <c r="CO852" s="1697"/>
      <c r="CP852" s="1697"/>
      <c r="CQ852" s="1697"/>
      <c r="CR852" s="1697"/>
      <c r="CS852" s="1697"/>
      <c r="CT852" s="1697"/>
      <c r="CU852" s="1697"/>
      <c r="CV852" s="1697"/>
      <c r="CW852" s="1697"/>
      <c r="CX852" s="1697"/>
      <c r="CY852" s="1697"/>
      <c r="CZ852" s="1697"/>
      <c r="DA852" s="1697"/>
      <c r="DB852" s="1697"/>
      <c r="DC852" s="1697"/>
      <c r="DD852" s="1697"/>
      <c r="DE852" s="1697"/>
      <c r="DF852" s="1697"/>
      <c r="DG852" s="1697"/>
      <c r="DH852" s="1697"/>
      <c r="DI852" s="1697"/>
      <c r="DJ852" s="1697"/>
      <c r="DK852" s="1697"/>
      <c r="DL852" s="1697"/>
      <c r="DM852" s="1697"/>
      <c r="DN852" s="1697"/>
      <c r="DO852" s="1697"/>
      <c r="DP852" s="1697"/>
      <c r="DQ852" s="1697"/>
      <c r="DR852" s="1697"/>
      <c r="DS852" s="1697"/>
      <c r="DT852" s="1697"/>
      <c r="DU852" s="1697"/>
      <c r="DV852" s="1697"/>
      <c r="DW852" s="1697"/>
      <c r="DX852" s="1697"/>
      <c r="DY852" s="1697"/>
      <c r="DZ852" s="1697"/>
      <c r="EA852" s="1697"/>
      <c r="EB852" s="1697"/>
      <c r="EC852" s="1697"/>
      <c r="ED852" s="1697"/>
      <c r="EE852" s="1697"/>
      <c r="EF852" s="1697"/>
      <c r="EG852" s="1697"/>
      <c r="EH852" s="1697"/>
      <c r="EI852" s="1697"/>
      <c r="EJ852" s="1697"/>
      <c r="EK852" s="1697"/>
      <c r="EL852" s="1697"/>
      <c r="EM852" s="1697"/>
      <c r="EN852" s="1697"/>
      <c r="EO852" s="1697"/>
      <c r="EP852" s="1697"/>
      <c r="EQ852" s="1697"/>
      <c r="ER852" s="1697"/>
      <c r="ES852" s="1697"/>
      <c r="ET852" s="1697"/>
      <c r="EU852" s="1697"/>
      <c r="EV852" s="1697"/>
      <c r="EW852" s="1697"/>
      <c r="EX852" s="1697"/>
      <c r="EY852" s="1697"/>
      <c r="EZ852" s="1697"/>
      <c r="FA852" s="1697"/>
      <c r="FB852" s="1697"/>
      <c r="FC852" s="1697"/>
      <c r="FD852" s="1697"/>
      <c r="FE852" s="1697"/>
      <c r="FF852" s="1697"/>
      <c r="FG852" s="1697"/>
      <c r="FH852" s="1697"/>
      <c r="FI852" s="1697"/>
    </row>
    <row r="853" spans="1:165">
      <c r="A853" s="1697"/>
      <c r="B853" s="1697"/>
      <c r="C853" s="1697"/>
      <c r="D853" s="1697"/>
      <c r="E853" s="1697"/>
      <c r="F853" s="1697"/>
      <c r="G853" s="1697"/>
      <c r="H853" s="1697"/>
      <c r="I853" s="1697"/>
      <c r="J853" s="1697"/>
      <c r="K853" s="1697"/>
      <c r="L853" s="1697"/>
      <c r="M853" s="1697"/>
      <c r="N853" s="1697"/>
      <c r="O853" s="1697"/>
      <c r="P853" s="1697"/>
      <c r="Q853" s="1697"/>
      <c r="R853" s="1697"/>
      <c r="S853" s="1697"/>
      <c r="T853" s="1697"/>
      <c r="U853" s="1697"/>
      <c r="V853" s="1697"/>
      <c r="W853" s="1697"/>
      <c r="X853" s="1697"/>
      <c r="Y853" s="1697"/>
      <c r="Z853" s="1697"/>
      <c r="AA853" s="1697"/>
      <c r="AB853" s="1697"/>
      <c r="AC853" s="1697"/>
      <c r="AD853" s="1697"/>
      <c r="AE853" s="1697"/>
      <c r="AF853" s="1697"/>
      <c r="AG853" s="1697"/>
      <c r="AH853" s="1697"/>
      <c r="AI853" s="1697"/>
      <c r="AJ853" s="1697"/>
      <c r="AK853" s="1697"/>
      <c r="AL853" s="1697"/>
      <c r="AM853" s="1697"/>
      <c r="AN853" s="1697"/>
      <c r="AO853" s="1697"/>
      <c r="AP853" s="1697"/>
      <c r="AQ853" s="1697"/>
      <c r="AR853" s="1697"/>
      <c r="AS853" s="1697"/>
      <c r="AT853" s="1697"/>
      <c r="AU853" s="1697"/>
      <c r="AV853" s="1697"/>
      <c r="AW853" s="1697"/>
      <c r="AX853" s="1697"/>
      <c r="AY853" s="1697"/>
      <c r="AZ853" s="1697"/>
      <c r="BA853" s="1697"/>
      <c r="BB853" s="1697"/>
      <c r="BC853" s="1697"/>
      <c r="BD853" s="1697"/>
      <c r="BE853" s="1697"/>
      <c r="BF853" s="1697"/>
      <c r="BG853" s="1697"/>
      <c r="BH853" s="1697"/>
      <c r="BI853" s="1697"/>
      <c r="BJ853" s="1697"/>
      <c r="BK853" s="1697"/>
      <c r="BL853" s="1697"/>
      <c r="BM853" s="1697"/>
      <c r="BN853" s="1697"/>
      <c r="BO853" s="1697"/>
      <c r="BP853" s="1697"/>
      <c r="BQ853" s="1697"/>
      <c r="BR853" s="1697"/>
      <c r="BS853" s="1697"/>
      <c r="BT853" s="1697"/>
      <c r="BU853" s="1697"/>
      <c r="BV853" s="1697"/>
      <c r="BW853" s="1697"/>
      <c r="BX853" s="1697"/>
      <c r="BY853" s="1697"/>
      <c r="BZ853" s="1697"/>
      <c r="CA853" s="1697"/>
      <c r="CB853" s="1697"/>
      <c r="CC853" s="1697"/>
      <c r="CD853" s="1697"/>
      <c r="CE853" s="1697"/>
      <c r="CF853" s="1697"/>
      <c r="CG853" s="1697"/>
      <c r="CH853" s="1697"/>
      <c r="CI853" s="1697"/>
      <c r="CJ853" s="1697"/>
      <c r="CK853" s="1697"/>
      <c r="CL853" s="1697"/>
      <c r="CM853" s="1697"/>
      <c r="CN853" s="1697"/>
      <c r="CO853" s="1697"/>
      <c r="CP853" s="1697"/>
      <c r="CQ853" s="1697"/>
      <c r="CR853" s="1697"/>
      <c r="CS853" s="1697"/>
      <c r="CT853" s="1697"/>
      <c r="CU853" s="1697"/>
      <c r="CV853" s="1697"/>
      <c r="CW853" s="1697"/>
      <c r="CX853" s="1697"/>
      <c r="CY853" s="1697"/>
      <c r="CZ853" s="1697"/>
      <c r="DA853" s="1697"/>
      <c r="DB853" s="1697"/>
      <c r="DC853" s="1697"/>
      <c r="DD853" s="1697"/>
      <c r="DE853" s="1697"/>
      <c r="DF853" s="1697"/>
      <c r="DG853" s="1697"/>
      <c r="DH853" s="1697"/>
      <c r="DI853" s="1697"/>
      <c r="DJ853" s="1697"/>
      <c r="DK853" s="1697"/>
      <c r="DL853" s="1697"/>
      <c r="DM853" s="1697"/>
      <c r="DN853" s="1697"/>
      <c r="DO853" s="1697"/>
      <c r="DP853" s="1697"/>
      <c r="DQ853" s="1697"/>
      <c r="DR853" s="1697"/>
      <c r="DS853" s="1697"/>
      <c r="DT853" s="1697"/>
      <c r="DU853" s="1697"/>
      <c r="DV853" s="1697"/>
      <c r="DW853" s="1697"/>
      <c r="DX853" s="1697"/>
      <c r="DY853" s="1697"/>
      <c r="DZ853" s="1697"/>
      <c r="EA853" s="1697"/>
      <c r="EB853" s="1697"/>
      <c r="EC853" s="1697"/>
      <c r="ED853" s="1697"/>
      <c r="EE853" s="1697"/>
      <c r="EF853" s="1697"/>
      <c r="EG853" s="1697"/>
      <c r="EH853" s="1697"/>
      <c r="EI853" s="1697"/>
      <c r="EJ853" s="1697"/>
      <c r="EK853" s="1697"/>
      <c r="EL853" s="1697"/>
      <c r="EM853" s="1697"/>
      <c r="EN853" s="1697"/>
      <c r="EO853" s="1697"/>
      <c r="EP853" s="1697"/>
      <c r="EQ853" s="1697"/>
      <c r="ER853" s="1697"/>
      <c r="ES853" s="1697"/>
      <c r="ET853" s="1697"/>
      <c r="EU853" s="1697"/>
      <c r="EV853" s="1697"/>
      <c r="EW853" s="1697"/>
      <c r="EX853" s="1697"/>
      <c r="EY853" s="1697"/>
      <c r="EZ853" s="1697"/>
      <c r="FA853" s="1697"/>
      <c r="FB853" s="1697"/>
      <c r="FC853" s="1697"/>
      <c r="FD853" s="1697"/>
      <c r="FE853" s="1697"/>
      <c r="FF853" s="1697"/>
      <c r="FG853" s="1697"/>
      <c r="FH853" s="1697"/>
      <c r="FI853" s="1697"/>
    </row>
    <row r="854" spans="1:165">
      <c r="A854" s="1697"/>
      <c r="B854" s="1697"/>
      <c r="C854" s="1697"/>
      <c r="D854" s="1697"/>
      <c r="E854" s="1697"/>
      <c r="F854" s="1697"/>
      <c r="G854" s="1697"/>
      <c r="H854" s="1697"/>
      <c r="I854" s="1697"/>
      <c r="J854" s="1697"/>
      <c r="K854" s="1697"/>
      <c r="L854" s="1697"/>
      <c r="M854" s="1697"/>
      <c r="N854" s="1697"/>
      <c r="O854" s="1697"/>
      <c r="P854" s="1697"/>
      <c r="Q854" s="1697"/>
      <c r="R854" s="1697"/>
      <c r="S854" s="1697"/>
      <c r="T854" s="1697"/>
      <c r="U854" s="1697"/>
      <c r="V854" s="1697"/>
      <c r="W854" s="1697"/>
      <c r="X854" s="1697"/>
      <c r="Y854" s="1697"/>
      <c r="Z854" s="1697"/>
      <c r="AA854" s="1697"/>
      <c r="AB854" s="1697"/>
      <c r="AC854" s="1697"/>
      <c r="AD854" s="1697"/>
      <c r="AE854" s="1697"/>
      <c r="AF854" s="1697"/>
      <c r="AG854" s="1697"/>
      <c r="AH854" s="1697"/>
      <c r="AI854" s="1697"/>
      <c r="AJ854" s="1697"/>
      <c r="AK854" s="1697"/>
      <c r="AL854" s="1697"/>
      <c r="AM854" s="1697"/>
      <c r="AN854" s="1697"/>
      <c r="AO854" s="1697"/>
      <c r="AP854" s="1697"/>
      <c r="AQ854" s="1697"/>
      <c r="AR854" s="1697"/>
      <c r="AS854" s="1697"/>
      <c r="AT854" s="1697"/>
      <c r="AU854" s="1697"/>
      <c r="AV854" s="1697"/>
      <c r="AW854" s="1697"/>
      <c r="AX854" s="1697"/>
      <c r="AY854" s="1697"/>
      <c r="AZ854" s="1697"/>
      <c r="BA854" s="1697"/>
      <c r="BB854" s="1697"/>
      <c r="BC854" s="1697"/>
      <c r="BD854" s="1697"/>
      <c r="BE854" s="1697"/>
      <c r="BF854" s="1697"/>
      <c r="BG854" s="1697"/>
      <c r="BH854" s="1697"/>
      <c r="BI854" s="1697"/>
      <c r="BJ854" s="1697"/>
      <c r="BK854" s="1697"/>
      <c r="BL854" s="1697"/>
      <c r="BM854" s="1697"/>
      <c r="BN854" s="1697"/>
      <c r="BO854" s="1697"/>
      <c r="BP854" s="1697"/>
      <c r="BQ854" s="1697"/>
      <c r="BR854" s="1697"/>
      <c r="BS854" s="1697"/>
      <c r="BT854" s="1697"/>
      <c r="BU854" s="1697"/>
      <c r="BV854" s="1697"/>
      <c r="BW854" s="1697"/>
      <c r="BX854" s="1697"/>
      <c r="BY854" s="1697"/>
      <c r="BZ854" s="1697"/>
      <c r="CA854" s="1697"/>
      <c r="CB854" s="1697"/>
      <c r="CC854" s="1697"/>
      <c r="CD854" s="1697"/>
      <c r="CE854" s="1697"/>
      <c r="CF854" s="1697"/>
      <c r="CG854" s="1697"/>
      <c r="CH854" s="1697"/>
      <c r="CI854" s="1697"/>
      <c r="CJ854" s="1697"/>
      <c r="CK854" s="1697"/>
      <c r="CL854" s="1697"/>
      <c r="CM854" s="1697"/>
      <c r="CN854" s="1697"/>
      <c r="CO854" s="1697"/>
      <c r="CP854" s="1697"/>
      <c r="CQ854" s="1697"/>
      <c r="CR854" s="1697"/>
      <c r="CS854" s="1697"/>
      <c r="CT854" s="1697"/>
      <c r="CU854" s="1697"/>
      <c r="CV854" s="1697"/>
      <c r="CW854" s="1697"/>
      <c r="CX854" s="1697"/>
      <c r="CY854" s="1697"/>
      <c r="CZ854" s="1697"/>
      <c r="DA854" s="1697"/>
      <c r="DB854" s="1697"/>
      <c r="DC854" s="1697"/>
      <c r="DD854" s="1697"/>
      <c r="DE854" s="1697"/>
      <c r="DF854" s="1697"/>
      <c r="DG854" s="1697"/>
      <c r="DH854" s="1697"/>
      <c r="DI854" s="1697"/>
      <c r="DJ854" s="1697"/>
      <c r="DK854" s="1697"/>
      <c r="DL854" s="1697"/>
      <c r="DM854" s="1697"/>
      <c r="DN854" s="1697"/>
      <c r="DO854" s="1697"/>
      <c r="DP854" s="1697"/>
      <c r="DQ854" s="1697"/>
      <c r="DR854" s="1697"/>
      <c r="DS854" s="1697"/>
      <c r="DT854" s="1697"/>
      <c r="DU854" s="1697"/>
      <c r="DV854" s="1697"/>
      <c r="DW854" s="1697"/>
      <c r="DX854" s="1697"/>
      <c r="DY854" s="1697"/>
      <c r="DZ854" s="1697"/>
      <c r="EA854" s="1697"/>
      <c r="EB854" s="1697"/>
      <c r="EC854" s="1697"/>
      <c r="ED854" s="1697"/>
      <c r="EE854" s="1697"/>
      <c r="EF854" s="1697"/>
      <c r="EG854" s="1697"/>
      <c r="EH854" s="1697"/>
      <c r="EI854" s="1697"/>
      <c r="EJ854" s="1697"/>
      <c r="EK854" s="1697"/>
      <c r="EL854" s="1697"/>
      <c r="EM854" s="1697"/>
      <c r="EN854" s="1697"/>
      <c r="EO854" s="1697"/>
      <c r="EP854" s="1697"/>
      <c r="EQ854" s="1697"/>
      <c r="ER854" s="1697"/>
      <c r="ES854" s="1697"/>
      <c r="ET854" s="1697"/>
      <c r="EU854" s="1697"/>
      <c r="EV854" s="1697"/>
      <c r="EW854" s="1697"/>
      <c r="EX854" s="1697"/>
      <c r="EY854" s="1697"/>
      <c r="EZ854" s="1697"/>
      <c r="FA854" s="1697"/>
      <c r="FB854" s="1697"/>
      <c r="FC854" s="1697"/>
      <c r="FD854" s="1697"/>
      <c r="FE854" s="1697"/>
      <c r="FF854" s="1697"/>
      <c r="FG854" s="1697"/>
      <c r="FH854" s="1697"/>
      <c r="FI854" s="1697"/>
    </row>
    <row r="855" spans="1:165">
      <c r="A855" s="1697"/>
      <c r="B855" s="1697"/>
      <c r="C855" s="1697"/>
      <c r="D855" s="1697"/>
      <c r="E855" s="1697"/>
      <c r="F855" s="1697"/>
      <c r="G855" s="1697"/>
      <c r="H855" s="1697"/>
      <c r="I855" s="1697"/>
      <c r="J855" s="1697"/>
      <c r="K855" s="1697"/>
      <c r="L855" s="1697"/>
      <c r="M855" s="1697"/>
      <c r="N855" s="1697"/>
      <c r="O855" s="1697"/>
      <c r="P855" s="1697"/>
      <c r="Q855" s="1697"/>
      <c r="R855" s="1697"/>
      <c r="S855" s="1697"/>
      <c r="T855" s="1697"/>
      <c r="U855" s="1697"/>
      <c r="V855" s="1697"/>
      <c r="W855" s="1697"/>
      <c r="X855" s="1697"/>
      <c r="Y855" s="1697"/>
      <c r="Z855" s="1697"/>
      <c r="AA855" s="1697"/>
      <c r="AB855" s="1697"/>
      <c r="AC855" s="1697"/>
      <c r="AD855" s="1697"/>
      <c r="AE855" s="1697"/>
      <c r="AF855" s="1697"/>
      <c r="AG855" s="1697"/>
      <c r="AH855" s="1697"/>
      <c r="AI855" s="1697"/>
      <c r="AJ855" s="1697"/>
      <c r="AK855" s="1697"/>
      <c r="AL855" s="1697"/>
      <c r="AM855" s="1697"/>
      <c r="AN855" s="1697"/>
      <c r="AO855" s="1697"/>
      <c r="AP855" s="1697"/>
      <c r="AQ855" s="1697"/>
      <c r="AR855" s="1697"/>
      <c r="AS855" s="1697"/>
      <c r="AT855" s="1697"/>
      <c r="AU855" s="1697"/>
      <c r="AV855" s="1697"/>
      <c r="AW855" s="1697"/>
      <c r="AX855" s="1697"/>
      <c r="AY855" s="1697"/>
      <c r="AZ855" s="1697"/>
      <c r="BA855" s="1697"/>
      <c r="BB855" s="1697"/>
      <c r="BC855" s="1697"/>
      <c r="BD855" s="1697"/>
      <c r="BE855" s="1697"/>
      <c r="BF855" s="1697"/>
      <c r="BG855" s="1697"/>
      <c r="BH855" s="1697"/>
      <c r="BI855" s="1697"/>
      <c r="BJ855" s="1697"/>
      <c r="BK855" s="1697"/>
      <c r="BL855" s="1697"/>
      <c r="BM855" s="1697"/>
      <c r="BN855" s="1697"/>
      <c r="BO855" s="1697"/>
      <c r="BP855" s="1697"/>
      <c r="BQ855" s="1697"/>
      <c r="BR855" s="1697"/>
      <c r="BS855" s="1697"/>
      <c r="BT855" s="1697"/>
      <c r="BU855" s="1697"/>
      <c r="BV855" s="1697"/>
      <c r="BW855" s="1697"/>
      <c r="BX855" s="1697"/>
      <c r="BY855" s="1697"/>
      <c r="BZ855" s="1697"/>
      <c r="CA855" s="1697"/>
      <c r="CB855" s="1697"/>
      <c r="CC855" s="1697"/>
      <c r="CD855" s="1697"/>
      <c r="CE855" s="1697"/>
      <c r="CF855" s="1697"/>
      <c r="CG855" s="1697"/>
      <c r="CH855" s="1697"/>
      <c r="CI855" s="1697"/>
      <c r="CJ855" s="1697"/>
      <c r="CK855" s="1697"/>
      <c r="CL855" s="1697"/>
      <c r="CM855" s="1697"/>
      <c r="CN855" s="1697"/>
      <c r="CO855" s="1697"/>
      <c r="CP855" s="1697"/>
      <c r="CQ855" s="1697"/>
      <c r="CR855" s="1697"/>
      <c r="CS855" s="1697"/>
      <c r="CT855" s="1697"/>
      <c r="CU855" s="1697"/>
      <c r="CV855" s="1697"/>
      <c r="CW855" s="1697"/>
      <c r="CX855" s="1697"/>
      <c r="CY855" s="1697"/>
      <c r="CZ855" s="1697"/>
      <c r="DA855" s="1697"/>
      <c r="DB855" s="1697"/>
      <c r="DC855" s="1697"/>
      <c r="DD855" s="1697"/>
      <c r="DE855" s="1697"/>
      <c r="DF855" s="1697"/>
      <c r="DG855" s="1697"/>
      <c r="DH855" s="1697"/>
      <c r="DI855" s="1697"/>
      <c r="DJ855" s="1697"/>
      <c r="DK855" s="1697"/>
      <c r="DL855" s="1697"/>
      <c r="DM855" s="1697"/>
      <c r="DN855" s="1697"/>
      <c r="DO855" s="1697"/>
      <c r="DP855" s="1697"/>
      <c r="DQ855" s="1697"/>
      <c r="DR855" s="1697"/>
      <c r="DS855" s="1697"/>
      <c r="DT855" s="1697"/>
      <c r="DU855" s="1697"/>
      <c r="DV855" s="1697"/>
      <c r="DW855" s="1697"/>
      <c r="DX855" s="1697"/>
      <c r="DY855" s="1697"/>
      <c r="DZ855" s="1697"/>
      <c r="EA855" s="1697"/>
      <c r="EB855" s="1697"/>
      <c r="EC855" s="1697"/>
      <c r="ED855" s="1697"/>
      <c r="EE855" s="1697"/>
      <c r="EF855" s="1697"/>
      <c r="EG855" s="1697"/>
      <c r="EH855" s="1697"/>
      <c r="EI855" s="1697"/>
      <c r="EJ855" s="1697"/>
      <c r="EK855" s="1697"/>
      <c r="EL855" s="1697"/>
      <c r="EM855" s="1697"/>
      <c r="EN855" s="1697"/>
      <c r="EO855" s="1697"/>
      <c r="EP855" s="1697"/>
      <c r="EQ855" s="1697"/>
      <c r="ER855" s="1697"/>
      <c r="ES855" s="1697"/>
      <c r="ET855" s="1697"/>
      <c r="EU855" s="1697"/>
      <c r="EV855" s="1697"/>
      <c r="EW855" s="1697"/>
      <c r="EX855" s="1697"/>
      <c r="EY855" s="1697"/>
      <c r="EZ855" s="1697"/>
      <c r="FA855" s="1697"/>
      <c r="FB855" s="1697"/>
      <c r="FC855" s="1697"/>
      <c r="FD855" s="1697"/>
      <c r="FE855" s="1697"/>
      <c r="FF855" s="1697"/>
      <c r="FG855" s="1697"/>
      <c r="FH855" s="1697"/>
      <c r="FI855" s="1697"/>
    </row>
    <row r="856" spans="1:165">
      <c r="A856" s="1697"/>
      <c r="B856" s="1697"/>
      <c r="C856" s="1697"/>
      <c r="D856" s="1697"/>
      <c r="E856" s="1697"/>
      <c r="F856" s="1697"/>
      <c r="G856" s="1697"/>
      <c r="H856" s="1697"/>
      <c r="I856" s="1697"/>
      <c r="J856" s="1697"/>
      <c r="K856" s="1697"/>
      <c r="L856" s="1697"/>
      <c r="M856" s="1697"/>
      <c r="N856" s="1697"/>
      <c r="O856" s="1697"/>
      <c r="P856" s="1697"/>
      <c r="Q856" s="1697"/>
      <c r="R856" s="1697"/>
      <c r="S856" s="1697"/>
      <c r="T856" s="1697"/>
      <c r="U856" s="1697"/>
      <c r="V856" s="1697"/>
      <c r="W856" s="1697"/>
      <c r="X856" s="1697"/>
      <c r="Y856" s="1697"/>
      <c r="Z856" s="1697"/>
      <c r="AA856" s="1697"/>
      <c r="AB856" s="1697"/>
      <c r="AC856" s="1697"/>
      <c r="AD856" s="1697"/>
      <c r="AE856" s="1697"/>
      <c r="AF856" s="1697"/>
      <c r="AG856" s="1697"/>
      <c r="AH856" s="1697"/>
      <c r="AI856" s="1697"/>
      <c r="AJ856" s="1697"/>
      <c r="AK856" s="1697"/>
      <c r="AL856" s="1697"/>
      <c r="AM856" s="1697"/>
      <c r="AN856" s="1697"/>
      <c r="AO856" s="1697"/>
      <c r="AP856" s="1697"/>
      <c r="AQ856" s="1697"/>
      <c r="AR856" s="1697"/>
      <c r="AS856" s="1697"/>
      <c r="AT856" s="1697"/>
      <c r="AU856" s="1697"/>
      <c r="AV856" s="1697"/>
      <c r="AW856" s="1697"/>
      <c r="AX856" s="1697"/>
      <c r="AY856" s="1697"/>
      <c r="AZ856" s="1697"/>
      <c r="BA856" s="1697"/>
      <c r="BB856" s="1697"/>
      <c r="BC856" s="1697"/>
      <c r="BD856" s="1697"/>
      <c r="BE856" s="1697"/>
      <c r="BF856" s="1697"/>
      <c r="BG856" s="1697"/>
      <c r="BH856" s="1697"/>
      <c r="BI856" s="1697"/>
      <c r="BJ856" s="1697"/>
      <c r="BK856" s="1697"/>
      <c r="BL856" s="1697"/>
      <c r="BM856" s="1697"/>
      <c r="BN856" s="1697"/>
      <c r="BO856" s="1697"/>
      <c r="BP856" s="1697"/>
      <c r="BQ856" s="1697"/>
      <c r="BR856" s="1697"/>
      <c r="BS856" s="1697"/>
      <c r="BT856" s="1697"/>
      <c r="BU856" s="1697"/>
      <c r="BV856" s="1697"/>
      <c r="BW856" s="1697"/>
      <c r="BX856" s="1697"/>
      <c r="BY856" s="1697"/>
      <c r="BZ856" s="1697"/>
      <c r="CA856" s="1697"/>
      <c r="CB856" s="1697"/>
      <c r="CC856" s="1697"/>
      <c r="CD856" s="1697"/>
      <c r="CE856" s="1697"/>
      <c r="CF856" s="1697"/>
      <c r="CG856" s="1697"/>
      <c r="CH856" s="1697"/>
      <c r="CI856" s="1697"/>
      <c r="CJ856" s="1697"/>
      <c r="CK856" s="1697"/>
      <c r="CL856" s="1697"/>
      <c r="CM856" s="1697"/>
      <c r="CN856" s="1697"/>
      <c r="CO856" s="1697"/>
      <c r="CP856" s="1697"/>
      <c r="CQ856" s="1697"/>
      <c r="CR856" s="1697"/>
      <c r="CS856" s="1697"/>
      <c r="CT856" s="1697"/>
      <c r="CU856" s="1697"/>
      <c r="CV856" s="1697"/>
      <c r="CW856" s="1697"/>
      <c r="CX856" s="1697"/>
      <c r="CY856" s="1697"/>
      <c r="CZ856" s="1697"/>
      <c r="DA856" s="1697"/>
      <c r="DB856" s="1697"/>
      <c r="DC856" s="1697"/>
      <c r="DD856" s="1697"/>
      <c r="DE856" s="1697"/>
      <c r="DF856" s="1697"/>
      <c r="DG856" s="1697"/>
      <c r="DH856" s="1697"/>
      <c r="DI856" s="1697"/>
      <c r="DJ856" s="1697"/>
      <c r="DK856" s="1697"/>
      <c r="DL856" s="1697"/>
      <c r="DM856" s="1697"/>
      <c r="DN856" s="1697"/>
      <c r="DO856" s="1697"/>
      <c r="DP856" s="1697"/>
      <c r="DQ856" s="1697"/>
      <c r="DR856" s="1697"/>
      <c r="DS856" s="1697"/>
      <c r="DT856" s="1697"/>
      <c r="DU856" s="1697"/>
      <c r="DV856" s="1697"/>
      <c r="DW856" s="1697"/>
      <c r="DX856" s="1697"/>
      <c r="DY856" s="1697"/>
      <c r="DZ856" s="1697"/>
      <c r="EA856" s="1697"/>
      <c r="EB856" s="1697"/>
      <c r="EC856" s="1697"/>
      <c r="ED856" s="1697"/>
      <c r="EE856" s="1697"/>
      <c r="EF856" s="1697"/>
      <c r="EG856" s="1697"/>
      <c r="EH856" s="1697"/>
      <c r="EI856" s="1697"/>
      <c r="EJ856" s="1697"/>
      <c r="EK856" s="1697"/>
      <c r="EL856" s="1697"/>
      <c r="EM856" s="1697"/>
      <c r="EN856" s="1697"/>
      <c r="EO856" s="1697"/>
      <c r="EP856" s="1697"/>
      <c r="EQ856" s="1697"/>
      <c r="ER856" s="1697"/>
      <c r="ES856" s="1697"/>
      <c r="ET856" s="1697"/>
      <c r="EU856" s="1697"/>
      <c r="EV856" s="1697"/>
      <c r="EW856" s="1697"/>
      <c r="EX856" s="1697"/>
      <c r="EY856" s="1697"/>
      <c r="EZ856" s="1697"/>
      <c r="FA856" s="1697"/>
      <c r="FB856" s="1697"/>
      <c r="FC856" s="1697"/>
      <c r="FD856" s="1697"/>
      <c r="FE856" s="1697"/>
      <c r="FF856" s="1697"/>
      <c r="FG856" s="1697"/>
      <c r="FH856" s="1697"/>
      <c r="FI856" s="1697"/>
    </row>
    <row r="857" spans="1:165">
      <c r="A857" s="1697"/>
      <c r="B857" s="1697"/>
      <c r="C857" s="1697"/>
      <c r="D857" s="1697"/>
      <c r="E857" s="1697"/>
      <c r="F857" s="1697"/>
      <c r="G857" s="1697"/>
      <c r="H857" s="1697"/>
      <c r="I857" s="1697"/>
      <c r="J857" s="1697"/>
      <c r="K857" s="1697"/>
      <c r="L857" s="1697"/>
      <c r="M857" s="1697"/>
      <c r="N857" s="1697"/>
      <c r="O857" s="1697"/>
      <c r="P857" s="1697"/>
      <c r="Q857" s="1697"/>
      <c r="R857" s="1697"/>
      <c r="S857" s="1697"/>
      <c r="T857" s="1697"/>
      <c r="U857" s="1697"/>
      <c r="V857" s="1697"/>
      <c r="W857" s="1697"/>
      <c r="X857" s="1697"/>
      <c r="Y857" s="1697"/>
      <c r="Z857" s="1697"/>
      <c r="AA857" s="1697"/>
      <c r="AB857" s="1697"/>
      <c r="AC857" s="1697"/>
      <c r="AD857" s="1697"/>
      <c r="AE857" s="1697"/>
      <c r="AF857" s="1697"/>
      <c r="AG857" s="1697"/>
      <c r="AH857" s="1697"/>
      <c r="AI857" s="1697"/>
      <c r="AJ857" s="1697"/>
      <c r="AK857" s="1697"/>
      <c r="AL857" s="1697"/>
      <c r="AM857" s="1697"/>
      <c r="AN857" s="1697"/>
      <c r="AO857" s="1697"/>
      <c r="AP857" s="1697"/>
      <c r="AQ857" s="1697"/>
      <c r="AR857" s="1697"/>
      <c r="AS857" s="1697"/>
      <c r="AT857" s="1697"/>
      <c r="AU857" s="1697"/>
      <c r="AV857" s="1697"/>
      <c r="AW857" s="1697"/>
      <c r="AX857" s="1697"/>
      <c r="AY857" s="1697"/>
      <c r="AZ857" s="1697"/>
      <c r="BA857" s="1697"/>
      <c r="BB857" s="1697"/>
      <c r="BC857" s="1697"/>
      <c r="BD857" s="1697"/>
      <c r="BE857" s="1697"/>
      <c r="BF857" s="1697"/>
      <c r="BG857" s="1697"/>
      <c r="BH857" s="1697"/>
      <c r="BI857" s="1697"/>
      <c r="BJ857" s="1697"/>
      <c r="BK857" s="1697"/>
      <c r="BL857" s="1697"/>
      <c r="BM857" s="1697"/>
      <c r="BN857" s="1697"/>
      <c r="BO857" s="1697"/>
      <c r="BP857" s="1697"/>
      <c r="BQ857" s="1697"/>
      <c r="BR857" s="1697"/>
      <c r="BS857" s="1697"/>
      <c r="BT857" s="1697"/>
      <c r="BU857" s="1697"/>
      <c r="BV857" s="1697"/>
      <c r="BW857" s="1697"/>
      <c r="BX857" s="1697"/>
      <c r="BY857" s="1697"/>
      <c r="BZ857" s="1697"/>
      <c r="CA857" s="1697"/>
      <c r="CB857" s="1697"/>
      <c r="CC857" s="1697"/>
      <c r="CD857" s="1697"/>
      <c r="CE857" s="1697"/>
      <c r="CF857" s="1697"/>
      <c r="CG857" s="1697"/>
      <c r="CH857" s="1697"/>
      <c r="CI857" s="1697"/>
      <c r="CJ857" s="1697"/>
      <c r="CK857" s="1697"/>
      <c r="CL857" s="1697"/>
      <c r="CM857" s="1697"/>
      <c r="CN857" s="1697"/>
      <c r="CO857" s="1697"/>
      <c r="CP857" s="1697"/>
      <c r="CQ857" s="1697"/>
      <c r="CR857" s="1697"/>
      <c r="CS857" s="1697"/>
      <c r="CT857" s="1697"/>
      <c r="CU857" s="1697"/>
      <c r="CV857" s="1697"/>
      <c r="CW857" s="1697"/>
      <c r="CX857" s="1697"/>
      <c r="CY857" s="1697"/>
      <c r="CZ857" s="1697"/>
      <c r="DA857" s="1697"/>
      <c r="DB857" s="1697"/>
      <c r="DC857" s="1697"/>
      <c r="DD857" s="1697"/>
      <c r="DE857" s="1697"/>
      <c r="DF857" s="1697"/>
      <c r="DG857" s="1697"/>
      <c r="DH857" s="1697"/>
      <c r="DI857" s="1697"/>
      <c r="DJ857" s="1697"/>
      <c r="DK857" s="1697"/>
      <c r="DL857" s="1697"/>
      <c r="DM857" s="1697"/>
      <c r="DN857" s="1697"/>
      <c r="DO857" s="1697"/>
      <c r="DP857" s="1697"/>
      <c r="DQ857" s="1697"/>
      <c r="DR857" s="1697"/>
      <c r="DS857" s="1697"/>
      <c r="DT857" s="1697"/>
      <c r="DU857" s="1697"/>
      <c r="DV857" s="1697"/>
      <c r="DW857" s="1697"/>
      <c r="DX857" s="1697"/>
      <c r="DY857" s="1697"/>
      <c r="DZ857" s="1697"/>
      <c r="EA857" s="1697"/>
      <c r="EB857" s="1697"/>
      <c r="EC857" s="1697"/>
      <c r="ED857" s="1697"/>
      <c r="EE857" s="1697"/>
      <c r="EF857" s="1697"/>
      <c r="EG857" s="1697"/>
      <c r="EH857" s="1697"/>
      <c r="EI857" s="1697"/>
      <c r="EJ857" s="1697"/>
      <c r="EK857" s="1697"/>
      <c r="EL857" s="1697"/>
      <c r="EM857" s="1697"/>
      <c r="EN857" s="1697"/>
      <c r="EO857" s="1697"/>
      <c r="EP857" s="1697"/>
      <c r="EQ857" s="1697"/>
      <c r="ER857" s="1697"/>
      <c r="ES857" s="1697"/>
      <c r="ET857" s="1697"/>
      <c r="EU857" s="1697"/>
      <c r="EV857" s="1697"/>
      <c r="EW857" s="1697"/>
      <c r="EX857" s="1697"/>
      <c r="EY857" s="1697"/>
      <c r="EZ857" s="1697"/>
      <c r="FA857" s="1697"/>
      <c r="FB857" s="1697"/>
      <c r="FC857" s="1697"/>
      <c r="FD857" s="1697"/>
      <c r="FE857" s="1697"/>
      <c r="FF857" s="1697"/>
      <c r="FG857" s="1697"/>
      <c r="FH857" s="1697"/>
      <c r="FI857" s="1697"/>
    </row>
    <row r="858" spans="1:165">
      <c r="A858" s="1697"/>
      <c r="B858" s="1697"/>
      <c r="C858" s="1697"/>
      <c r="D858" s="1697"/>
      <c r="E858" s="1697"/>
      <c r="F858" s="1697"/>
      <c r="G858" s="1697"/>
      <c r="H858" s="1697"/>
      <c r="I858" s="1697"/>
      <c r="J858" s="1697"/>
      <c r="K858" s="1697"/>
      <c r="L858" s="1697"/>
      <c r="M858" s="1697"/>
      <c r="N858" s="1697"/>
      <c r="O858" s="1697"/>
      <c r="P858" s="1697"/>
      <c r="Q858" s="1697"/>
      <c r="R858" s="1697"/>
      <c r="S858" s="1697"/>
      <c r="T858" s="1697"/>
      <c r="U858" s="1697"/>
      <c r="V858" s="1697"/>
      <c r="W858" s="1697"/>
      <c r="X858" s="1697"/>
      <c r="Y858" s="1697"/>
      <c r="Z858" s="1697"/>
      <c r="AA858" s="1697"/>
      <c r="AB858" s="1697"/>
      <c r="AC858" s="1697"/>
      <c r="AD858" s="1697"/>
      <c r="AE858" s="1697"/>
      <c r="AF858" s="1697"/>
      <c r="AG858" s="1697"/>
      <c r="AH858" s="1697"/>
      <c r="AI858" s="1697"/>
      <c r="AJ858" s="1697"/>
      <c r="AK858" s="1697"/>
      <c r="AL858" s="1697"/>
      <c r="AM858" s="1697"/>
      <c r="AN858" s="1697"/>
      <c r="AO858" s="1697"/>
      <c r="AP858" s="1697"/>
      <c r="AQ858" s="1697"/>
      <c r="AR858" s="1697"/>
      <c r="AS858" s="1697"/>
      <c r="AT858" s="1697"/>
      <c r="AU858" s="1697"/>
      <c r="AV858" s="1697"/>
      <c r="AW858" s="1697"/>
      <c r="AX858" s="1697"/>
      <c r="AY858" s="1697"/>
      <c r="AZ858" s="1697"/>
      <c r="BA858" s="1697"/>
      <c r="BB858" s="1697"/>
      <c r="BC858" s="1697"/>
      <c r="BD858" s="1697"/>
      <c r="BE858" s="1697"/>
      <c r="BF858" s="1697"/>
      <c r="BG858" s="1697"/>
      <c r="BH858" s="1697"/>
      <c r="BI858" s="1697"/>
      <c r="BJ858" s="1697"/>
      <c r="BK858" s="1697"/>
      <c r="BL858" s="1697"/>
      <c r="BM858" s="1697"/>
      <c r="BN858" s="1697"/>
      <c r="BO858" s="1697"/>
      <c r="BP858" s="1697"/>
      <c r="BQ858" s="1697"/>
      <c r="BR858" s="1697"/>
      <c r="BS858" s="1697"/>
      <c r="BT858" s="1697"/>
      <c r="BU858" s="1697"/>
      <c r="BV858" s="1697"/>
      <c r="BW858" s="1697"/>
      <c r="BX858" s="1697"/>
      <c r="BY858" s="1697"/>
      <c r="BZ858" s="1697"/>
      <c r="CA858" s="1697"/>
      <c r="CB858" s="1697"/>
      <c r="CC858" s="1697"/>
      <c r="CD858" s="1697"/>
      <c r="CE858" s="1697"/>
      <c r="CF858" s="1697"/>
      <c r="CG858" s="1697"/>
      <c r="CH858" s="1697"/>
      <c r="CI858" s="1697"/>
      <c r="CJ858" s="1697"/>
      <c r="CK858" s="1697"/>
      <c r="CL858" s="1697"/>
      <c r="CM858" s="1697"/>
      <c r="CN858" s="1697"/>
      <c r="CO858" s="1697"/>
      <c r="CP858" s="1697"/>
      <c r="CQ858" s="1697"/>
      <c r="CR858" s="1697"/>
      <c r="CS858" s="1697"/>
      <c r="CT858" s="1697"/>
      <c r="CU858" s="1697"/>
      <c r="CV858" s="1697"/>
      <c r="CW858" s="1697"/>
      <c r="CX858" s="1697"/>
      <c r="CY858" s="1697"/>
      <c r="CZ858" s="1697"/>
      <c r="DA858" s="1697"/>
      <c r="DB858" s="1697"/>
      <c r="DC858" s="1697"/>
      <c r="DD858" s="1697"/>
      <c r="DE858" s="1697"/>
      <c r="DF858" s="1697"/>
      <c r="DG858" s="1697"/>
      <c r="DH858" s="1697"/>
      <c r="DI858" s="1697"/>
      <c r="DJ858" s="1697"/>
      <c r="DK858" s="1697"/>
      <c r="DL858" s="1697"/>
      <c r="DM858" s="1697"/>
      <c r="DN858" s="1697"/>
      <c r="DO858" s="1697"/>
      <c r="DP858" s="1697"/>
      <c r="DQ858" s="1697"/>
      <c r="DR858" s="1697"/>
      <c r="DS858" s="1697"/>
      <c r="DT858" s="1697"/>
      <c r="DU858" s="1697"/>
      <c r="DV858" s="1697"/>
      <c r="DW858" s="1697"/>
      <c r="DX858" s="1697"/>
      <c r="DY858" s="1697"/>
      <c r="DZ858" s="1697"/>
      <c r="EA858" s="1697"/>
      <c r="EB858" s="1697"/>
      <c r="EC858" s="1697"/>
      <c r="ED858" s="1697"/>
      <c r="EE858" s="1697"/>
      <c r="EF858" s="1697"/>
      <c r="EG858" s="1697"/>
      <c r="EH858" s="1697"/>
      <c r="EI858" s="1697"/>
      <c r="EJ858" s="1697"/>
      <c r="EK858" s="1697"/>
      <c r="EL858" s="1697"/>
      <c r="EM858" s="1697"/>
      <c r="EN858" s="1697"/>
      <c r="EO858" s="1697"/>
      <c r="EP858" s="1697"/>
      <c r="EQ858" s="1697"/>
      <c r="ER858" s="1697"/>
      <c r="ES858" s="1697"/>
      <c r="ET858" s="1697"/>
      <c r="EU858" s="1697"/>
      <c r="EV858" s="1697"/>
      <c r="EW858" s="1697"/>
      <c r="EX858" s="1697"/>
      <c r="EY858" s="1697"/>
      <c r="EZ858" s="1697"/>
      <c r="FA858" s="1697"/>
      <c r="FB858" s="1697"/>
      <c r="FC858" s="1697"/>
      <c r="FD858" s="1697"/>
      <c r="FE858" s="1697"/>
      <c r="FF858" s="1697"/>
      <c r="FG858" s="1697"/>
      <c r="FH858" s="1697"/>
      <c r="FI858" s="1697"/>
    </row>
    <row r="859" spans="1:165">
      <c r="A859" s="1697"/>
      <c r="B859" s="1697"/>
      <c r="C859" s="1697"/>
      <c r="D859" s="1697"/>
      <c r="E859" s="1697"/>
      <c r="F859" s="1697"/>
      <c r="G859" s="1697"/>
      <c r="H859" s="1697"/>
      <c r="I859" s="1697"/>
      <c r="J859" s="1697"/>
      <c r="K859" s="1697"/>
      <c r="L859" s="1697"/>
      <c r="M859" s="1697"/>
      <c r="N859" s="1697"/>
      <c r="O859" s="1697"/>
      <c r="P859" s="1697"/>
      <c r="Q859" s="1697"/>
      <c r="R859" s="1697"/>
      <c r="S859" s="1697"/>
      <c r="T859" s="1697"/>
      <c r="U859" s="1697"/>
      <c r="V859" s="1697"/>
      <c r="W859" s="1697"/>
      <c r="X859" s="1697"/>
      <c r="Y859" s="1697"/>
      <c r="Z859" s="1697"/>
      <c r="AA859" s="1697"/>
      <c r="AB859" s="1697"/>
      <c r="AC859" s="1697"/>
      <c r="AD859" s="1697"/>
      <c r="AE859" s="1697"/>
      <c r="AF859" s="1697"/>
      <c r="AG859" s="1697"/>
      <c r="AH859" s="1697"/>
      <c r="AI859" s="1697"/>
      <c r="AJ859" s="1697"/>
      <c r="AK859" s="1697"/>
      <c r="AL859" s="1697"/>
      <c r="AM859" s="1697"/>
      <c r="AN859" s="1697"/>
      <c r="AO859" s="1697"/>
      <c r="AP859" s="1697"/>
      <c r="AQ859" s="1697"/>
      <c r="AR859" s="1697"/>
      <c r="AS859" s="1697"/>
      <c r="AT859" s="1697"/>
      <c r="AU859" s="1697"/>
      <c r="AV859" s="1697"/>
      <c r="AW859" s="1697"/>
      <c r="AX859" s="1697"/>
      <c r="AY859" s="1697"/>
      <c r="AZ859" s="1697"/>
      <c r="BA859" s="1697"/>
      <c r="BB859" s="1697"/>
      <c r="BC859" s="1697"/>
      <c r="BD859" s="1697"/>
      <c r="BE859" s="1697"/>
      <c r="BF859" s="1697"/>
      <c r="BG859" s="1697"/>
      <c r="BH859" s="1697"/>
      <c r="BI859" s="1697"/>
      <c r="BJ859" s="1697"/>
      <c r="BK859" s="1697"/>
      <c r="BL859" s="1697"/>
      <c r="BM859" s="1697"/>
      <c r="BN859" s="1697"/>
      <c r="BO859" s="1697"/>
      <c r="BP859" s="1697"/>
      <c r="BQ859" s="1697"/>
      <c r="BR859" s="1697"/>
      <c r="BS859" s="1697"/>
      <c r="BT859" s="1697"/>
      <c r="BU859" s="1697"/>
      <c r="BV859" s="1697"/>
      <c r="BW859" s="1697"/>
      <c r="BX859" s="1697"/>
      <c r="BY859" s="1697"/>
      <c r="BZ859" s="1697"/>
      <c r="CA859" s="1697"/>
      <c r="CB859" s="1697"/>
      <c r="CC859" s="1697"/>
      <c r="CD859" s="1697"/>
      <c r="CE859" s="1697"/>
      <c r="CF859" s="1697"/>
      <c r="CG859" s="1697"/>
      <c r="CH859" s="1697"/>
      <c r="CI859" s="1697"/>
      <c r="CJ859" s="1697"/>
      <c r="CK859" s="1697"/>
      <c r="CL859" s="1697"/>
      <c r="CM859" s="1697"/>
      <c r="CN859" s="1697"/>
      <c r="CO859" s="1697"/>
      <c r="CP859" s="1697"/>
      <c r="CQ859" s="1697"/>
      <c r="CR859" s="1697"/>
      <c r="CS859" s="1697"/>
      <c r="CT859" s="1697"/>
      <c r="CU859" s="1697"/>
      <c r="CV859" s="1697"/>
      <c r="CW859" s="1697"/>
      <c r="CX859" s="1697"/>
      <c r="CY859" s="1697"/>
      <c r="CZ859" s="1697"/>
      <c r="DA859" s="1697"/>
      <c r="DB859" s="1697"/>
      <c r="DC859" s="1697"/>
      <c r="DD859" s="1697"/>
      <c r="DE859" s="1697"/>
      <c r="DF859" s="1697"/>
      <c r="DG859" s="1697"/>
      <c r="DH859" s="1697"/>
      <c r="DI859" s="1697"/>
      <c r="DJ859" s="1697"/>
      <c r="DK859" s="1697"/>
      <c r="DL859" s="1697"/>
      <c r="DM859" s="1697"/>
      <c r="DN859" s="1697"/>
      <c r="DO859" s="1697"/>
      <c r="DP859" s="1697"/>
      <c r="DQ859" s="1697"/>
      <c r="DR859" s="1697"/>
      <c r="DS859" s="1697"/>
      <c r="DT859" s="1697"/>
      <c r="DU859" s="1697"/>
      <c r="DV859" s="1697"/>
      <c r="DW859" s="1697"/>
      <c r="DX859" s="1697"/>
      <c r="DY859" s="1697"/>
      <c r="DZ859" s="1697"/>
      <c r="EA859" s="1697"/>
      <c r="EB859" s="1697"/>
      <c r="EC859" s="1697"/>
      <c r="ED859" s="1697"/>
      <c r="EE859" s="1697"/>
      <c r="EF859" s="1697"/>
      <c r="EG859" s="1697"/>
      <c r="EH859" s="1697"/>
      <c r="EI859" s="1697"/>
      <c r="EJ859" s="1697"/>
      <c r="EK859" s="1697"/>
      <c r="EL859" s="1697"/>
      <c r="EM859" s="1697"/>
      <c r="EN859" s="1697"/>
      <c r="EO859" s="1697"/>
      <c r="EP859" s="1697"/>
      <c r="EQ859" s="1697"/>
      <c r="ER859" s="1697"/>
      <c r="ES859" s="1697"/>
      <c r="ET859" s="1697"/>
      <c r="EU859" s="1697"/>
      <c r="EV859" s="1697"/>
      <c r="EW859" s="1697"/>
      <c r="EX859" s="1697"/>
      <c r="EY859" s="1697"/>
      <c r="EZ859" s="1697"/>
      <c r="FA859" s="1697"/>
      <c r="FB859" s="1697"/>
      <c r="FC859" s="1697"/>
      <c r="FD859" s="1697"/>
      <c r="FE859" s="1697"/>
      <c r="FF859" s="1697"/>
      <c r="FG859" s="1697"/>
      <c r="FH859" s="1697"/>
      <c r="FI859" s="1697"/>
    </row>
    <row r="860" spans="1:165">
      <c r="A860" s="1697"/>
      <c r="B860" s="1697"/>
      <c r="C860" s="1697"/>
      <c r="D860" s="1697"/>
      <c r="E860" s="1697"/>
      <c r="F860" s="1697"/>
      <c r="G860" s="1697"/>
      <c r="H860" s="1697"/>
      <c r="I860" s="1697"/>
      <c r="J860" s="1697"/>
      <c r="K860" s="1697"/>
      <c r="L860" s="1697"/>
      <c r="M860" s="1697"/>
      <c r="N860" s="1697"/>
      <c r="O860" s="1697"/>
      <c r="P860" s="1697"/>
      <c r="Q860" s="1697"/>
      <c r="R860" s="1697"/>
      <c r="S860" s="1697"/>
      <c r="T860" s="1697"/>
      <c r="U860" s="1697"/>
      <c r="V860" s="1697"/>
      <c r="W860" s="1697"/>
      <c r="X860" s="1697"/>
      <c r="Y860" s="1697"/>
      <c r="Z860" s="1697"/>
      <c r="AA860" s="1697"/>
      <c r="AB860" s="1697"/>
      <c r="AC860" s="1697"/>
      <c r="AD860" s="1697"/>
      <c r="AE860" s="1697"/>
      <c r="AF860" s="1697"/>
      <c r="AG860" s="1697"/>
      <c r="AH860" s="1697"/>
      <c r="AI860" s="1697"/>
      <c r="AJ860" s="1697"/>
      <c r="AK860" s="1697"/>
      <c r="AL860" s="1697"/>
      <c r="AM860" s="1697"/>
      <c r="AN860" s="1697"/>
      <c r="AO860" s="1697"/>
      <c r="AP860" s="1697"/>
      <c r="AQ860" s="1697"/>
      <c r="AR860" s="1697"/>
      <c r="AS860" s="1697"/>
      <c r="AT860" s="1697"/>
      <c r="AU860" s="1697"/>
      <c r="AV860" s="1697"/>
      <c r="AW860" s="1697"/>
      <c r="AX860" s="1697"/>
      <c r="AY860" s="1697"/>
      <c r="AZ860" s="1697"/>
      <c r="BA860" s="1697"/>
      <c r="BB860" s="1697"/>
      <c r="BC860" s="1697"/>
      <c r="BD860" s="1697"/>
      <c r="BE860" s="1697"/>
      <c r="BF860" s="1697"/>
      <c r="BG860" s="1697"/>
      <c r="BH860" s="1697"/>
      <c r="BI860" s="1697"/>
      <c r="BJ860" s="1697"/>
      <c r="BK860" s="1697"/>
      <c r="BL860" s="1697"/>
      <c r="BM860" s="1697"/>
      <c r="BN860" s="1697"/>
      <c r="BO860" s="1697"/>
      <c r="BP860" s="1697"/>
      <c r="BQ860" s="1697"/>
      <c r="BR860" s="1697"/>
      <c r="BS860" s="1697"/>
      <c r="BT860" s="1697"/>
      <c r="BU860" s="1697"/>
      <c r="BV860" s="1697"/>
      <c r="BW860" s="1697"/>
      <c r="BX860" s="1697"/>
      <c r="BY860" s="1697"/>
      <c r="BZ860" s="1697"/>
      <c r="CA860" s="1697"/>
      <c r="CB860" s="1697"/>
      <c r="CC860" s="1697"/>
      <c r="CD860" s="1697"/>
      <c r="CE860" s="1697"/>
      <c r="CF860" s="1697"/>
      <c r="CG860" s="1697"/>
      <c r="CH860" s="1697"/>
      <c r="CI860" s="1697"/>
      <c r="CJ860" s="1697"/>
      <c r="CK860" s="1697"/>
      <c r="CL860" s="1697"/>
      <c r="CM860" s="1697"/>
      <c r="CN860" s="1697"/>
      <c r="CO860" s="1697"/>
      <c r="CP860" s="1697"/>
      <c r="CQ860" s="1697"/>
      <c r="CR860" s="1697"/>
      <c r="CS860" s="1697"/>
      <c r="CT860" s="1697"/>
      <c r="CU860" s="1697"/>
      <c r="CV860" s="1697"/>
      <c r="CW860" s="1697"/>
      <c r="CX860" s="1697"/>
      <c r="CY860" s="1697"/>
      <c r="CZ860" s="1697"/>
      <c r="DA860" s="1697"/>
      <c r="DB860" s="1697"/>
      <c r="DC860" s="1697"/>
      <c r="DD860" s="1697"/>
      <c r="DE860" s="1697"/>
      <c r="DF860" s="1697"/>
      <c r="DG860" s="1697"/>
      <c r="DH860" s="1697"/>
      <c r="DI860" s="1697"/>
      <c r="DJ860" s="1697"/>
      <c r="DK860" s="1697"/>
      <c r="DL860" s="1697"/>
      <c r="DM860" s="1697"/>
      <c r="DN860" s="1697"/>
      <c r="DO860" s="1697"/>
      <c r="DP860" s="1697"/>
      <c r="DQ860" s="1697"/>
      <c r="DR860" s="1697"/>
      <c r="DS860" s="1697"/>
      <c r="DT860" s="1697"/>
      <c r="DU860" s="1697"/>
      <c r="DV860" s="1697"/>
      <c r="DW860" s="1697"/>
      <c r="DX860" s="1697"/>
      <c r="DY860" s="1697"/>
      <c r="DZ860" s="1697"/>
      <c r="EA860" s="1697"/>
      <c r="EB860" s="1697"/>
      <c r="EC860" s="1697"/>
      <c r="ED860" s="1697"/>
      <c r="EE860" s="1697"/>
      <c r="EF860" s="1697"/>
      <c r="EG860" s="1697"/>
      <c r="EH860" s="1697"/>
      <c r="EI860" s="1697"/>
      <c r="EJ860" s="1697"/>
      <c r="EK860" s="1697"/>
      <c r="EL860" s="1697"/>
      <c r="EM860" s="1697"/>
      <c r="EN860" s="1697"/>
      <c r="EO860" s="1697"/>
      <c r="EP860" s="1697"/>
      <c r="EQ860" s="1697"/>
      <c r="ER860" s="1697"/>
      <c r="ES860" s="1697"/>
      <c r="ET860" s="1697"/>
      <c r="EU860" s="1697"/>
      <c r="EV860" s="1697"/>
      <c r="EW860" s="1697"/>
      <c r="EX860" s="1697"/>
      <c r="EY860" s="1697"/>
      <c r="EZ860" s="1697"/>
      <c r="FA860" s="1697"/>
      <c r="FB860" s="1697"/>
      <c r="FC860" s="1697"/>
      <c r="FD860" s="1697"/>
      <c r="FE860" s="1697"/>
      <c r="FF860" s="1697"/>
      <c r="FG860" s="1697"/>
      <c r="FH860" s="1697"/>
      <c r="FI860" s="1697"/>
    </row>
    <row r="861" spans="1:165">
      <c r="A861" s="1697"/>
      <c r="B861" s="1697"/>
      <c r="C861" s="1697"/>
      <c r="D861" s="1697"/>
      <c r="E861" s="1697"/>
      <c r="F861" s="1697"/>
      <c r="G861" s="1697"/>
      <c r="H861" s="1697"/>
      <c r="I861" s="1697"/>
      <c r="J861" s="1697"/>
      <c r="K861" s="1697"/>
      <c r="L861" s="1697"/>
      <c r="M861" s="1697"/>
      <c r="N861" s="1697"/>
      <c r="O861" s="1697"/>
      <c r="P861" s="1697"/>
      <c r="Q861" s="1697"/>
      <c r="R861" s="1697"/>
      <c r="S861" s="1697"/>
      <c r="T861" s="1697"/>
      <c r="U861" s="1697"/>
      <c r="V861" s="1697"/>
      <c r="W861" s="1697"/>
      <c r="X861" s="1697"/>
      <c r="Y861" s="1697"/>
      <c r="Z861" s="1697"/>
      <c r="AA861" s="1697"/>
      <c r="AB861" s="1697"/>
      <c r="AC861" s="1697"/>
      <c r="AD861" s="1697"/>
      <c r="AE861" s="1697"/>
      <c r="AF861" s="1697"/>
      <c r="AG861" s="1697"/>
      <c r="AH861" s="1697"/>
      <c r="AI861" s="1697"/>
      <c r="AJ861" s="1697"/>
      <c r="AK861" s="1697"/>
      <c r="AL861" s="1697"/>
      <c r="AM861" s="1697"/>
      <c r="AN861" s="1697"/>
      <c r="AO861" s="1697"/>
      <c r="AP861" s="1697"/>
      <c r="AQ861" s="1697"/>
      <c r="AR861" s="1697"/>
      <c r="AS861" s="1697"/>
      <c r="AT861" s="1697"/>
      <c r="AU861" s="1697"/>
      <c r="AV861" s="1697"/>
      <c r="AW861" s="1697"/>
      <c r="AX861" s="1697"/>
      <c r="AY861" s="1697"/>
      <c r="AZ861" s="1697"/>
      <c r="BA861" s="1697"/>
      <c r="BB861" s="1697"/>
      <c r="BC861" s="1697"/>
      <c r="BD861" s="1697"/>
      <c r="BE861" s="1697"/>
      <c r="BF861" s="1697"/>
      <c r="BG861" s="1697"/>
      <c r="BH861" s="1697"/>
      <c r="BI861" s="1697"/>
      <c r="BJ861" s="1697"/>
      <c r="BK861" s="1697"/>
      <c r="BL861" s="1697"/>
      <c r="BM861" s="1697"/>
      <c r="BN861" s="1697"/>
      <c r="BO861" s="1697"/>
      <c r="BP861" s="1697"/>
      <c r="BQ861" s="1697"/>
      <c r="BR861" s="1697"/>
      <c r="BS861" s="1697"/>
      <c r="BT861" s="1697"/>
      <c r="BU861" s="1697"/>
      <c r="BV861" s="1697"/>
      <c r="BW861" s="1697"/>
      <c r="BX861" s="1697"/>
      <c r="BY861" s="1697"/>
      <c r="BZ861" s="1697"/>
      <c r="CA861" s="1697"/>
      <c r="CB861" s="1697"/>
      <c r="CC861" s="1697"/>
      <c r="CD861" s="1697"/>
      <c r="CE861" s="1697"/>
      <c r="CF861" s="1697"/>
      <c r="CG861" s="1697"/>
      <c r="CH861" s="1697"/>
      <c r="CI861" s="1697"/>
      <c r="CJ861" s="1697"/>
      <c r="CK861" s="1697"/>
      <c r="CL861" s="1697"/>
      <c r="CM861" s="1697"/>
      <c r="CN861" s="1697"/>
      <c r="CO861" s="1697"/>
      <c r="CP861" s="1697"/>
      <c r="CQ861" s="1697"/>
      <c r="CR861" s="1697"/>
      <c r="CS861" s="1697"/>
      <c r="CT861" s="1697"/>
      <c r="CU861" s="1697"/>
      <c r="CV861" s="1697"/>
      <c r="CW861" s="1697"/>
      <c r="CX861" s="1697"/>
      <c r="CY861" s="1697"/>
      <c r="CZ861" s="1697"/>
      <c r="DA861" s="1697"/>
      <c r="DB861" s="1697"/>
      <c r="DC861" s="1697"/>
      <c r="DD861" s="1697"/>
      <c r="DE861" s="1697"/>
      <c r="DF861" s="1697"/>
      <c r="DG861" s="1697"/>
      <c r="DH861" s="1697"/>
      <c r="DI861" s="1697"/>
      <c r="DJ861" s="1697"/>
      <c r="DK861" s="1697"/>
      <c r="DL861" s="1697"/>
      <c r="DM861" s="1697"/>
      <c r="DN861" s="1697"/>
      <c r="DO861" s="1697"/>
      <c r="DP861" s="1697"/>
      <c r="DQ861" s="1697"/>
      <c r="DR861" s="1697"/>
      <c r="DS861" s="1697"/>
      <c r="DT861" s="1697"/>
      <c r="DU861" s="1697"/>
      <c r="DV861" s="1697"/>
      <c r="DW861" s="1697"/>
      <c r="DX861" s="1697"/>
      <c r="DY861" s="1697"/>
      <c r="DZ861" s="1697"/>
      <c r="EA861" s="1697"/>
      <c r="EB861" s="1697"/>
      <c r="EC861" s="1697"/>
      <c r="ED861" s="1697"/>
      <c r="EE861" s="1697"/>
      <c r="EF861" s="1697"/>
      <c r="EG861" s="1697"/>
      <c r="EH861" s="1697"/>
      <c r="EI861" s="1697"/>
      <c r="EJ861" s="1697"/>
      <c r="EK861" s="1697"/>
      <c r="EL861" s="1697"/>
      <c r="EM861" s="1697"/>
      <c r="EN861" s="1697"/>
      <c r="EO861" s="1697"/>
      <c r="EP861" s="1697"/>
      <c r="EQ861" s="1697"/>
      <c r="ER861" s="1697"/>
      <c r="ES861" s="1697"/>
      <c r="ET861" s="1697"/>
      <c r="EU861" s="1697"/>
      <c r="EV861" s="1697"/>
      <c r="EW861" s="1697"/>
      <c r="EX861" s="1697"/>
      <c r="EY861" s="1697"/>
      <c r="EZ861" s="1697"/>
      <c r="FA861" s="1697"/>
      <c r="FB861" s="1697"/>
      <c r="FC861" s="1697"/>
      <c r="FD861" s="1697"/>
      <c r="FE861" s="1697"/>
      <c r="FF861" s="1697"/>
      <c r="FG861" s="1697"/>
      <c r="FH861" s="1697"/>
      <c r="FI861" s="1697"/>
    </row>
    <row r="862" spans="1:165">
      <c r="A862" s="1697"/>
      <c r="B862" s="1697"/>
      <c r="C862" s="1697"/>
      <c r="D862" s="1697"/>
      <c r="E862" s="1697"/>
      <c r="F862" s="1697"/>
      <c r="G862" s="1697"/>
      <c r="H862" s="1697"/>
      <c r="I862" s="1697"/>
      <c r="J862" s="1697"/>
      <c r="K862" s="1697"/>
      <c r="L862" s="1697"/>
      <c r="M862" s="1697"/>
      <c r="N862" s="1697"/>
      <c r="O862" s="1697"/>
      <c r="P862" s="1697"/>
      <c r="Q862" s="1697"/>
      <c r="R862" s="1697"/>
      <c r="S862" s="1697"/>
      <c r="T862" s="1697"/>
      <c r="U862" s="1697"/>
      <c r="V862" s="1697"/>
      <c r="W862" s="1697"/>
      <c r="X862" s="1697"/>
      <c r="Y862" s="1697"/>
      <c r="Z862" s="1697"/>
      <c r="AA862" s="1697"/>
      <c r="AB862" s="1697"/>
      <c r="AC862" s="1697"/>
      <c r="AD862" s="1697"/>
      <c r="AE862" s="1697"/>
      <c r="AF862" s="1697"/>
      <c r="AG862" s="1697"/>
      <c r="AH862" s="1697"/>
      <c r="AI862" s="1697"/>
      <c r="AJ862" s="1697"/>
      <c r="AK862" s="1697"/>
      <c r="AL862" s="1697"/>
      <c r="AM862" s="1697"/>
      <c r="AN862" s="1697"/>
      <c r="AO862" s="1697"/>
      <c r="AP862" s="1697"/>
      <c r="AQ862" s="1697"/>
      <c r="AR862" s="1697"/>
      <c r="AS862" s="1697"/>
      <c r="AT862" s="1697"/>
      <c r="AU862" s="1697"/>
      <c r="AV862" s="1697"/>
      <c r="AW862" s="1697"/>
      <c r="AX862" s="1697"/>
      <c r="AY862" s="1697"/>
      <c r="AZ862" s="1697"/>
      <c r="BA862" s="1697"/>
      <c r="BB862" s="1697"/>
      <c r="BC862" s="1697"/>
      <c r="BD862" s="1697"/>
      <c r="BE862" s="1697"/>
      <c r="BF862" s="1697"/>
      <c r="BG862" s="1697"/>
      <c r="BH862" s="1697"/>
      <c r="BI862" s="1697"/>
      <c r="BJ862" s="1697"/>
      <c r="BK862" s="1697"/>
      <c r="BL862" s="1697"/>
      <c r="BM862" s="1697"/>
      <c r="BN862" s="1697"/>
      <c r="BO862" s="1697"/>
      <c r="BP862" s="1697"/>
      <c r="BQ862" s="1697"/>
      <c r="BR862" s="1697"/>
      <c r="BS862" s="1697"/>
      <c r="BT862" s="1697"/>
      <c r="BU862" s="1697"/>
      <c r="BV862" s="1697"/>
      <c r="BW862" s="1697"/>
      <c r="BX862" s="1697"/>
      <c r="BY862" s="1697"/>
      <c r="BZ862" s="1697"/>
      <c r="CA862" s="1697"/>
      <c r="CB862" s="1697"/>
      <c r="CC862" s="1697"/>
      <c r="CD862" s="1697"/>
      <c r="CE862" s="1697"/>
      <c r="CF862" s="1697"/>
      <c r="CG862" s="1697"/>
      <c r="CH862" s="1697"/>
      <c r="CI862" s="1697"/>
      <c r="CJ862" s="1697"/>
      <c r="CK862" s="1697"/>
      <c r="CL862" s="1697"/>
      <c r="CM862" s="1697"/>
      <c r="CN862" s="1697"/>
      <c r="CO862" s="1697"/>
      <c r="CP862" s="1697"/>
      <c r="CQ862" s="1697"/>
      <c r="CR862" s="1697"/>
      <c r="CS862" s="1697"/>
      <c r="CT862" s="1697"/>
      <c r="CU862" s="1697"/>
      <c r="CV862" s="1697"/>
      <c r="CW862" s="1697"/>
      <c r="CX862" s="1697"/>
      <c r="CY862" s="1697"/>
      <c r="CZ862" s="1697"/>
      <c r="DA862" s="1697"/>
      <c r="DB862" s="1697"/>
      <c r="DC862" s="1697"/>
      <c r="DD862" s="1697"/>
      <c r="DE862" s="1697"/>
      <c r="DF862" s="1697"/>
      <c r="DG862" s="1697"/>
      <c r="DH862" s="1697"/>
      <c r="DI862" s="1697"/>
      <c r="DJ862" s="1697"/>
      <c r="DK862" s="1697"/>
      <c r="DL862" s="1697"/>
      <c r="DM862" s="1697"/>
      <c r="DN862" s="1697"/>
      <c r="DO862" s="1697"/>
      <c r="DP862" s="1697"/>
      <c r="DQ862" s="1697"/>
      <c r="DR862" s="1697"/>
      <c r="DS862" s="1697"/>
      <c r="DT862" s="1697"/>
      <c r="DU862" s="1697"/>
      <c r="DV862" s="1697"/>
      <c r="DW862" s="1697"/>
      <c r="DX862" s="1697"/>
      <c r="DY862" s="1697"/>
      <c r="DZ862" s="1697"/>
      <c r="EA862" s="1697"/>
      <c r="EB862" s="1697"/>
      <c r="EC862" s="1697"/>
      <c r="ED862" s="1697"/>
      <c r="EE862" s="1697"/>
      <c r="EF862" s="1697"/>
      <c r="EG862" s="1697"/>
      <c r="EH862" s="1697"/>
      <c r="EI862" s="1697"/>
      <c r="EJ862" s="1697"/>
      <c r="EK862" s="1697"/>
      <c r="EL862" s="1697"/>
      <c r="EM862" s="1697"/>
      <c r="EN862" s="1697"/>
      <c r="EO862" s="1697"/>
      <c r="EP862" s="1697"/>
      <c r="EQ862" s="1697"/>
      <c r="ER862" s="1697"/>
      <c r="ES862" s="1697"/>
      <c r="ET862" s="1697"/>
      <c r="EU862" s="1697"/>
      <c r="EV862" s="1697"/>
      <c r="EW862" s="1697"/>
      <c r="EX862" s="1697"/>
      <c r="EY862" s="1697"/>
      <c r="EZ862" s="1697"/>
      <c r="FA862" s="1697"/>
      <c r="FB862" s="1697"/>
      <c r="FC862" s="1697"/>
      <c r="FD862" s="1697"/>
      <c r="FE862" s="1697"/>
      <c r="FF862" s="1697"/>
      <c r="FG862" s="1697"/>
      <c r="FH862" s="1697"/>
      <c r="FI862" s="1697"/>
    </row>
    <row r="863" spans="1:165">
      <c r="A863" s="1697"/>
      <c r="B863" s="1697"/>
      <c r="C863" s="1697"/>
      <c r="D863" s="1697"/>
      <c r="E863" s="1697"/>
      <c r="F863" s="1697"/>
      <c r="G863" s="1697"/>
      <c r="H863" s="1697"/>
      <c r="I863" s="1697"/>
      <c r="J863" s="1697"/>
      <c r="K863" s="1697"/>
      <c r="L863" s="1697"/>
      <c r="M863" s="1697"/>
      <c r="N863" s="1697"/>
      <c r="O863" s="1697"/>
      <c r="P863" s="1697"/>
      <c r="Q863" s="1697"/>
      <c r="R863" s="1697"/>
      <c r="S863" s="1697"/>
      <c r="T863" s="1697"/>
      <c r="U863" s="1697"/>
      <c r="V863" s="1697"/>
      <c r="W863" s="1697"/>
      <c r="X863" s="1697"/>
      <c r="Y863" s="1697"/>
      <c r="Z863" s="1697"/>
      <c r="AA863" s="1697"/>
      <c r="AB863" s="1697"/>
      <c r="AC863" s="1697"/>
      <c r="AD863" s="1697"/>
      <c r="AE863" s="1697"/>
      <c r="AF863" s="1697"/>
      <c r="AG863" s="1697"/>
      <c r="AH863" s="1697"/>
      <c r="AI863" s="1697"/>
      <c r="AJ863" s="1697"/>
      <c r="AK863" s="1697"/>
      <c r="AL863" s="1697"/>
      <c r="AM863" s="1697"/>
      <c r="AN863" s="1697"/>
      <c r="AO863" s="1697"/>
      <c r="AP863" s="1697"/>
      <c r="AQ863" s="1697"/>
      <c r="AR863" s="1697"/>
      <c r="AS863" s="1697"/>
      <c r="AT863" s="1697"/>
      <c r="AU863" s="1697"/>
      <c r="AV863" s="1697"/>
      <c r="AW863" s="1697"/>
      <c r="AX863" s="1697"/>
      <c r="AY863" s="1697"/>
      <c r="AZ863" s="1697"/>
      <c r="BA863" s="1697"/>
      <c r="BB863" s="1697"/>
      <c r="BC863" s="1697"/>
      <c r="BD863" s="1697"/>
      <c r="BE863" s="1697"/>
      <c r="BF863" s="1697"/>
      <c r="BG863" s="1697"/>
      <c r="BH863" s="1697"/>
      <c r="BI863" s="1697"/>
      <c r="BJ863" s="1697"/>
      <c r="BK863" s="1697"/>
      <c r="BL863" s="1697"/>
      <c r="BM863" s="1697"/>
      <c r="BN863" s="1697"/>
      <c r="BO863" s="1697"/>
      <c r="BP863" s="1697"/>
      <c r="BQ863" s="1697"/>
      <c r="BR863" s="1697"/>
      <c r="BS863" s="1697"/>
      <c r="BT863" s="1697"/>
      <c r="BU863" s="1697"/>
      <c r="BV863" s="1697"/>
      <c r="BW863" s="1697"/>
      <c r="BX863" s="1697"/>
      <c r="BY863" s="1697"/>
      <c r="BZ863" s="1697"/>
      <c r="CA863" s="1697"/>
      <c r="CB863" s="1697"/>
      <c r="CC863" s="1697"/>
      <c r="CD863" s="1697"/>
      <c r="CE863" s="1697"/>
      <c r="CF863" s="1697"/>
      <c r="CG863" s="1697"/>
      <c r="CH863" s="1697"/>
      <c r="CI863" s="1697"/>
      <c r="CJ863" s="1697"/>
      <c r="CK863" s="1697"/>
      <c r="CL863" s="1697"/>
      <c r="CM863" s="1697"/>
      <c r="CN863" s="1697"/>
      <c r="CO863" s="1697"/>
      <c r="CP863" s="1697"/>
      <c r="CQ863" s="1697"/>
      <c r="CR863" s="1697"/>
      <c r="CS863" s="1697"/>
      <c r="CT863" s="1697"/>
      <c r="CU863" s="1697"/>
      <c r="CV863" s="1697"/>
      <c r="CW863" s="1697"/>
      <c r="CX863" s="1697"/>
      <c r="CY863" s="1697"/>
      <c r="CZ863" s="1697"/>
      <c r="DA863" s="1697"/>
      <c r="DB863" s="1697"/>
      <c r="DC863" s="1697"/>
      <c r="DD863" s="1697"/>
      <c r="DE863" s="1697"/>
      <c r="DF863" s="1697"/>
      <c r="DG863" s="1697"/>
      <c r="DH863" s="1697"/>
      <c r="DI863" s="1697"/>
      <c r="DJ863" s="1697"/>
      <c r="DK863" s="1697"/>
      <c r="DL863" s="1697"/>
      <c r="DM863" s="1697"/>
      <c r="DN863" s="1697"/>
      <c r="DO863" s="1697"/>
      <c r="DP863" s="1697"/>
      <c r="DQ863" s="1697"/>
      <c r="DR863" s="1697"/>
      <c r="DS863" s="1697"/>
      <c r="DT863" s="1697"/>
      <c r="DU863" s="1697"/>
      <c r="DV863" s="1697"/>
      <c r="DW863" s="1697"/>
      <c r="DX863" s="1697"/>
      <c r="DY863" s="1697"/>
      <c r="DZ863" s="1697"/>
      <c r="EA863" s="1697"/>
      <c r="EB863" s="1697"/>
      <c r="EC863" s="1697"/>
      <c r="ED863" s="1697"/>
      <c r="EE863" s="1697"/>
      <c r="EF863" s="1697"/>
      <c r="EG863" s="1697"/>
      <c r="EH863" s="1697"/>
      <c r="EI863" s="1697"/>
      <c r="EJ863" s="1697"/>
      <c r="EK863" s="1697"/>
      <c r="EL863" s="1697"/>
      <c r="EM863" s="1697"/>
      <c r="EN863" s="1697"/>
      <c r="EO863" s="1697"/>
      <c r="EP863" s="1697"/>
      <c r="EQ863" s="1697"/>
      <c r="ER863" s="1697"/>
      <c r="ES863" s="1697"/>
      <c r="ET863" s="1697"/>
      <c r="EU863" s="1697"/>
      <c r="EV863" s="1697"/>
      <c r="EW863" s="1697"/>
      <c r="EX863" s="1697"/>
      <c r="EY863" s="1697"/>
      <c r="EZ863" s="1697"/>
      <c r="FA863" s="1697"/>
      <c r="FB863" s="1697"/>
      <c r="FC863" s="1697"/>
      <c r="FD863" s="1697"/>
      <c r="FE863" s="1697"/>
      <c r="FF863" s="1697"/>
      <c r="FG863" s="1697"/>
      <c r="FH863" s="1697"/>
      <c r="FI863" s="1697"/>
    </row>
    <row r="864" spans="1:165">
      <c r="K864" s="266"/>
      <c r="L864" s="266"/>
      <c r="M864" s="266"/>
      <c r="N864" s="266"/>
      <c r="O864" s="266"/>
      <c r="P864" s="266"/>
      <c r="Q864" s="266"/>
      <c r="BR864" s="266"/>
      <c r="BS864" s="266"/>
      <c r="BT864" s="266"/>
      <c r="BU864" s="266"/>
      <c r="BV864" s="266"/>
      <c r="CJ864" s="266"/>
      <c r="CO864" s="266"/>
      <c r="CP864" s="266"/>
      <c r="CQ864" s="266"/>
      <c r="CR864" s="266"/>
      <c r="CS864" s="266"/>
      <c r="CT864" s="266"/>
      <c r="CU864" s="266"/>
      <c r="CV864" s="266"/>
      <c r="CW864" s="266"/>
      <c r="CX864" s="266"/>
      <c r="CY864" s="266"/>
      <c r="CZ864" s="266"/>
      <c r="DA864" s="266"/>
      <c r="DB864" s="266"/>
      <c r="DC864" s="266"/>
      <c r="DD864" s="266"/>
      <c r="DE864" s="266"/>
      <c r="DF864" s="266"/>
      <c r="DG864" s="266"/>
      <c r="DH864" s="266"/>
      <c r="DI864" s="266"/>
      <c r="DJ864" s="266"/>
      <c r="DK864" s="266"/>
      <c r="DL864" s="266"/>
      <c r="DM864" s="266"/>
      <c r="DN864" s="266"/>
      <c r="DO864" s="266"/>
      <c r="DP864" s="266"/>
      <c r="DQ864" s="266"/>
      <c r="DR864" s="266"/>
      <c r="DS864" s="266"/>
    </row>
    <row r="865" spans="11:123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</row>
    <row r="866" spans="11:123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</row>
    <row r="867" spans="11:123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</row>
    <row r="868" spans="11:123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</row>
    <row r="869" spans="11:123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</row>
    <row r="870" spans="11:123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</row>
    <row r="871" spans="11:123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</row>
    <row r="872" spans="11:123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</row>
    <row r="873" spans="11:123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</row>
    <row r="874" spans="11:123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</row>
    <row r="875" spans="11:123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</row>
    <row r="876" spans="11:123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</row>
    <row r="877" spans="11:123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</row>
    <row r="878" spans="11:123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</row>
    <row r="879" spans="11:123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</row>
    <row r="880" spans="11:123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1:123">
      <c r="K881" s="266"/>
      <c r="L881" s="266"/>
      <c r="M881" s="266"/>
      <c r="N881" s="266"/>
      <c r="O881" s="266"/>
      <c r="P881" s="266"/>
      <c r="Q881" s="266"/>
      <c r="BR881" s="266"/>
      <c r="BS881" s="266"/>
      <c r="BT881" s="266"/>
      <c r="BU881" s="266"/>
      <c r="BV881" s="266"/>
      <c r="CJ881" s="266"/>
      <c r="CO881" s="266"/>
      <c r="CP881" s="266"/>
      <c r="CQ881" s="266"/>
      <c r="CR881" s="266"/>
      <c r="CS881" s="266"/>
      <c r="CT881" s="266"/>
      <c r="CU881" s="266"/>
      <c r="CV881" s="266"/>
      <c r="CW881" s="266"/>
      <c r="CX881" s="266"/>
      <c r="CY881" s="266"/>
      <c r="CZ881" s="266"/>
      <c r="DA881" s="266"/>
      <c r="DB881" s="266"/>
      <c r="DC881" s="266"/>
      <c r="DD881" s="266"/>
      <c r="DE881" s="266"/>
      <c r="DF881" s="266"/>
      <c r="DG881" s="266"/>
      <c r="DH881" s="266"/>
      <c r="DI881" s="266"/>
      <c r="DJ881" s="266"/>
      <c r="DK881" s="266"/>
      <c r="DL881" s="266"/>
      <c r="DM881" s="266"/>
      <c r="DN881" s="266"/>
      <c r="DO881" s="266"/>
      <c r="DP881" s="266"/>
      <c r="DQ881" s="266"/>
      <c r="DR881" s="266"/>
      <c r="DS881" s="266"/>
    </row>
    <row r="882" spans="11:123">
      <c r="K882" s="266"/>
      <c r="L882" s="266"/>
      <c r="M882" s="266"/>
      <c r="N882" s="266"/>
      <c r="O882" s="266"/>
      <c r="P882" s="266"/>
      <c r="Q882" s="266"/>
      <c r="BR882" s="266"/>
      <c r="BS882" s="266"/>
      <c r="BT882" s="266"/>
      <c r="BU882" s="266"/>
      <c r="BV882" s="266"/>
      <c r="CJ882" s="266"/>
      <c r="CO882" s="266"/>
      <c r="CP882" s="266"/>
      <c r="CQ882" s="266"/>
      <c r="CR882" s="266"/>
      <c r="CS882" s="266"/>
      <c r="CT882" s="266"/>
      <c r="CU882" s="266"/>
      <c r="CV882" s="266"/>
      <c r="CW882" s="266"/>
      <c r="CX882" s="266"/>
      <c r="CY882" s="266"/>
      <c r="CZ882" s="266"/>
      <c r="DA882" s="266"/>
      <c r="DB882" s="266"/>
      <c r="DC882" s="266"/>
      <c r="DD882" s="266"/>
      <c r="DE882" s="266"/>
      <c r="DF882" s="266"/>
      <c r="DG882" s="266"/>
      <c r="DH882" s="266"/>
      <c r="DI882" s="266"/>
      <c r="DJ882" s="266"/>
      <c r="DK882" s="266"/>
      <c r="DL882" s="266"/>
      <c r="DM882" s="266"/>
      <c r="DN882" s="266"/>
      <c r="DO882" s="266"/>
      <c r="DP882" s="266"/>
      <c r="DQ882" s="266"/>
      <c r="DR882" s="266"/>
      <c r="DS882" s="266"/>
    </row>
    <row r="883" spans="11:123">
      <c r="K883" s="266"/>
      <c r="L883" s="266"/>
      <c r="M883" s="266"/>
      <c r="N883" s="266"/>
      <c r="O883" s="266"/>
      <c r="P883" s="266"/>
      <c r="Q883" s="266"/>
      <c r="BR883" s="266"/>
      <c r="BS883" s="266"/>
      <c r="BT883" s="266"/>
      <c r="BU883" s="266"/>
      <c r="BV883" s="266"/>
      <c r="CJ883" s="266"/>
      <c r="CO883" s="266"/>
      <c r="CP883" s="266"/>
      <c r="CQ883" s="266"/>
      <c r="CR883" s="266"/>
      <c r="CS883" s="266"/>
      <c r="CT883" s="266"/>
      <c r="CU883" s="266"/>
      <c r="CV883" s="266"/>
      <c r="CW883" s="266"/>
      <c r="CX883" s="266"/>
      <c r="CY883" s="266"/>
      <c r="CZ883" s="266"/>
      <c r="DA883" s="266"/>
      <c r="DB883" s="266"/>
      <c r="DC883" s="266"/>
      <c r="DD883" s="266"/>
      <c r="DE883" s="266"/>
      <c r="DF883" s="266"/>
      <c r="DG883" s="266"/>
      <c r="DH883" s="266"/>
      <c r="DI883" s="266"/>
      <c r="DJ883" s="266"/>
      <c r="DK883" s="266"/>
      <c r="DL883" s="266"/>
      <c r="DM883" s="266"/>
      <c r="DN883" s="266"/>
      <c r="DO883" s="266"/>
      <c r="DP883" s="266"/>
      <c r="DQ883" s="266"/>
      <c r="DR883" s="266"/>
      <c r="DS883" s="266"/>
    </row>
    <row r="884" spans="11:123">
      <c r="K884" s="266"/>
      <c r="L884" s="266"/>
      <c r="M884" s="266"/>
      <c r="N884" s="266"/>
      <c r="O884" s="266"/>
      <c r="P884" s="266"/>
      <c r="Q884" s="266"/>
      <c r="BR884" s="266"/>
      <c r="BS884" s="266"/>
      <c r="BT884" s="266"/>
      <c r="BU884" s="266"/>
      <c r="BV884" s="266"/>
      <c r="CJ884" s="266"/>
      <c r="CO884" s="266"/>
      <c r="CP884" s="266"/>
      <c r="CQ884" s="266"/>
      <c r="CR884" s="266"/>
      <c r="CS884" s="266"/>
      <c r="CT884" s="266"/>
      <c r="CU884" s="266"/>
      <c r="CV884" s="266"/>
      <c r="CW884" s="266"/>
      <c r="CX884" s="266"/>
      <c r="CY884" s="266"/>
      <c r="CZ884" s="266"/>
      <c r="DA884" s="266"/>
      <c r="DB884" s="266"/>
      <c r="DC884" s="266"/>
      <c r="DD884" s="266"/>
      <c r="DE884" s="266"/>
      <c r="DF884" s="266"/>
      <c r="DG884" s="266"/>
      <c r="DH884" s="266"/>
      <c r="DI884" s="266"/>
      <c r="DJ884" s="266"/>
      <c r="DK884" s="266"/>
      <c r="DL884" s="266"/>
      <c r="DM884" s="266"/>
      <c r="DN884" s="266"/>
      <c r="DO884" s="266"/>
      <c r="DP884" s="266"/>
      <c r="DQ884" s="266"/>
      <c r="DR884" s="266"/>
      <c r="DS884" s="266"/>
    </row>
    <row r="885" spans="11:123">
      <c r="K885" s="266"/>
      <c r="L885" s="266"/>
      <c r="M885" s="266"/>
      <c r="N885" s="266"/>
      <c r="O885" s="266"/>
      <c r="P885" s="266"/>
      <c r="Q885" s="266"/>
      <c r="BR885" s="266"/>
      <c r="BS885" s="266"/>
      <c r="BT885" s="266"/>
      <c r="BU885" s="266"/>
      <c r="BV885" s="266"/>
      <c r="CJ885" s="266"/>
      <c r="CO885" s="266"/>
      <c r="CP885" s="266"/>
      <c r="CQ885" s="266"/>
      <c r="CR885" s="266"/>
      <c r="CS885" s="266"/>
      <c r="CT885" s="266"/>
      <c r="CU885" s="266"/>
      <c r="CV885" s="266"/>
      <c r="CW885" s="266"/>
      <c r="CX885" s="266"/>
      <c r="CY885" s="266"/>
      <c r="CZ885" s="266"/>
      <c r="DA885" s="266"/>
      <c r="DB885" s="266"/>
      <c r="DC885" s="266"/>
      <c r="DD885" s="266"/>
      <c r="DE885" s="266"/>
      <c r="DF885" s="266"/>
      <c r="DG885" s="266"/>
      <c r="DH885" s="266"/>
      <c r="DI885" s="266"/>
      <c r="DJ885" s="266"/>
      <c r="DK885" s="266"/>
      <c r="DL885" s="266"/>
      <c r="DM885" s="266"/>
      <c r="DN885" s="266"/>
      <c r="DO885" s="266"/>
      <c r="DP885" s="266"/>
      <c r="DQ885" s="266"/>
      <c r="DR885" s="266"/>
      <c r="DS885" s="266"/>
    </row>
    <row r="886" spans="11:123">
      <c r="K886" s="266"/>
      <c r="L886" s="266"/>
      <c r="M886" s="266"/>
      <c r="N886" s="266"/>
      <c r="O886" s="266"/>
      <c r="P886" s="266"/>
      <c r="Q886" s="266"/>
      <c r="BR886" s="266"/>
      <c r="BS886" s="266"/>
      <c r="BT886" s="266"/>
      <c r="BU886" s="266"/>
      <c r="BV886" s="266"/>
      <c r="CJ886" s="266"/>
      <c r="CO886" s="266"/>
      <c r="CP886" s="266"/>
      <c r="CQ886" s="266"/>
      <c r="CR886" s="266"/>
      <c r="CS886" s="266"/>
      <c r="CT886" s="266"/>
      <c r="CU886" s="266"/>
      <c r="CV886" s="266"/>
      <c r="CW886" s="266"/>
      <c r="CX886" s="266"/>
      <c r="CY886" s="266"/>
      <c r="CZ886" s="266"/>
      <c r="DA886" s="266"/>
      <c r="DB886" s="266"/>
      <c r="DC886" s="266"/>
      <c r="DD886" s="266"/>
      <c r="DE886" s="266"/>
      <c r="DF886" s="266"/>
      <c r="DG886" s="266"/>
      <c r="DH886" s="266"/>
      <c r="DI886" s="266"/>
      <c r="DJ886" s="266"/>
      <c r="DK886" s="266"/>
      <c r="DL886" s="266"/>
      <c r="DM886" s="266"/>
      <c r="DN886" s="266"/>
      <c r="DO886" s="266"/>
      <c r="DP886" s="266"/>
      <c r="DQ886" s="266"/>
      <c r="DR886" s="266"/>
      <c r="DS886" s="266"/>
    </row>
    <row r="887" spans="11:123">
      <c r="K887" s="266"/>
      <c r="L887" s="266"/>
      <c r="M887" s="266"/>
      <c r="N887" s="266"/>
      <c r="O887" s="266"/>
      <c r="P887" s="266"/>
      <c r="Q887" s="266"/>
      <c r="BR887" s="266"/>
      <c r="BS887" s="266"/>
      <c r="BT887" s="266"/>
      <c r="BU887" s="266"/>
      <c r="BV887" s="266"/>
      <c r="CJ887" s="266"/>
      <c r="CO887" s="266"/>
      <c r="CP887" s="266"/>
      <c r="CQ887" s="266"/>
      <c r="CR887" s="266"/>
      <c r="CS887" s="266"/>
      <c r="CT887" s="266"/>
      <c r="CU887" s="266"/>
      <c r="CV887" s="266"/>
      <c r="CW887" s="266"/>
      <c r="CX887" s="266"/>
      <c r="CY887" s="266"/>
      <c r="CZ887" s="266"/>
      <c r="DA887" s="266"/>
      <c r="DB887" s="266"/>
      <c r="DC887" s="266"/>
      <c r="DD887" s="266"/>
      <c r="DE887" s="266"/>
      <c r="DF887" s="266"/>
      <c r="DG887" s="266"/>
      <c r="DH887" s="266"/>
      <c r="DI887" s="266"/>
      <c r="DJ887" s="266"/>
      <c r="DK887" s="266"/>
      <c r="DL887" s="266"/>
      <c r="DM887" s="266"/>
      <c r="DN887" s="266"/>
      <c r="DO887" s="266"/>
      <c r="DP887" s="266"/>
      <c r="DQ887" s="266"/>
      <c r="DR887" s="266"/>
      <c r="DS887" s="266"/>
    </row>
    <row r="888" spans="11:123">
      <c r="K888" s="266"/>
      <c r="L888" s="266"/>
      <c r="M888" s="266"/>
      <c r="N888" s="266"/>
      <c r="O888" s="266"/>
      <c r="P888" s="266"/>
      <c r="Q888" s="266"/>
      <c r="BR888" s="266"/>
      <c r="BS888" s="266"/>
      <c r="BT888" s="266"/>
      <c r="BU888" s="266"/>
      <c r="BV888" s="266"/>
      <c r="CJ888" s="266"/>
      <c r="CO888" s="266"/>
      <c r="CP888" s="266"/>
      <c r="CQ888" s="266"/>
      <c r="CR888" s="266"/>
      <c r="CS888" s="266"/>
      <c r="CT888" s="266"/>
      <c r="CU888" s="266"/>
      <c r="CV888" s="266"/>
      <c r="CW888" s="266"/>
      <c r="CX888" s="266"/>
      <c r="CY888" s="266"/>
      <c r="CZ888" s="266"/>
      <c r="DA888" s="266"/>
      <c r="DB888" s="266"/>
      <c r="DC888" s="266"/>
      <c r="DD888" s="266"/>
      <c r="DE888" s="266"/>
      <c r="DF888" s="266"/>
      <c r="DG888" s="266"/>
      <c r="DH888" s="266"/>
      <c r="DI888" s="266"/>
      <c r="DJ888" s="266"/>
      <c r="DK888" s="266"/>
      <c r="DL888" s="266"/>
      <c r="DM888" s="266"/>
      <c r="DN888" s="266"/>
      <c r="DO888" s="266"/>
      <c r="DP888" s="266"/>
      <c r="DQ888" s="266"/>
      <c r="DR888" s="266"/>
      <c r="DS888" s="266"/>
    </row>
    <row r="889" spans="11:123">
      <c r="K889" s="266"/>
      <c r="L889" s="266"/>
      <c r="M889" s="266"/>
      <c r="N889" s="266"/>
      <c r="O889" s="266"/>
      <c r="P889" s="266"/>
      <c r="Q889" s="266"/>
      <c r="BR889" s="266"/>
      <c r="BS889" s="266"/>
      <c r="BT889" s="266"/>
      <c r="BU889" s="266"/>
      <c r="BV889" s="266"/>
      <c r="CJ889" s="266"/>
      <c r="CO889" s="266"/>
      <c r="CP889" s="266"/>
      <c r="CQ889" s="266"/>
      <c r="CR889" s="266"/>
      <c r="CS889" s="266"/>
      <c r="CT889" s="266"/>
      <c r="CU889" s="266"/>
      <c r="CV889" s="266"/>
      <c r="CW889" s="266"/>
      <c r="CX889" s="266"/>
      <c r="CY889" s="266"/>
      <c r="CZ889" s="266"/>
      <c r="DA889" s="266"/>
      <c r="DB889" s="266"/>
      <c r="DC889" s="266"/>
      <c r="DD889" s="266"/>
      <c r="DE889" s="266"/>
      <c r="DF889" s="266"/>
      <c r="DG889" s="266"/>
      <c r="DH889" s="266"/>
      <c r="DI889" s="266"/>
      <c r="DJ889" s="266"/>
      <c r="DK889" s="266"/>
      <c r="DL889" s="266"/>
      <c r="DM889" s="266"/>
      <c r="DN889" s="266"/>
      <c r="DO889" s="266"/>
      <c r="DP889" s="266"/>
      <c r="DQ889" s="266"/>
      <c r="DR889" s="266"/>
      <c r="DS889" s="266"/>
    </row>
    <row r="890" spans="11:123">
      <c r="K890" s="266"/>
      <c r="L890" s="266"/>
      <c r="M890" s="266"/>
      <c r="N890" s="266"/>
      <c r="O890" s="266"/>
      <c r="P890" s="266"/>
      <c r="Q890" s="266"/>
      <c r="BR890" s="266"/>
      <c r="BS890" s="266"/>
      <c r="BT890" s="266"/>
      <c r="BU890" s="266"/>
      <c r="BV890" s="266"/>
      <c r="CJ890" s="266"/>
      <c r="CO890" s="266"/>
      <c r="CP890" s="266"/>
      <c r="CQ890" s="266"/>
      <c r="CR890" s="266"/>
      <c r="CS890" s="266"/>
      <c r="CT890" s="266"/>
      <c r="CU890" s="266"/>
      <c r="CV890" s="266"/>
      <c r="CW890" s="266"/>
      <c r="CX890" s="266"/>
      <c r="CY890" s="266"/>
      <c r="CZ890" s="266"/>
      <c r="DA890" s="266"/>
      <c r="DB890" s="266"/>
      <c r="DC890" s="266"/>
      <c r="DD890" s="266"/>
      <c r="DE890" s="266"/>
      <c r="DF890" s="266"/>
      <c r="DG890" s="266"/>
      <c r="DH890" s="266"/>
      <c r="DI890" s="266"/>
      <c r="DJ890" s="266"/>
      <c r="DK890" s="266"/>
      <c r="DL890" s="266"/>
      <c r="DM890" s="266"/>
      <c r="DN890" s="266"/>
      <c r="DO890" s="266"/>
      <c r="DP890" s="266"/>
      <c r="DQ890" s="266"/>
      <c r="DR890" s="266"/>
      <c r="DS890" s="266"/>
    </row>
    <row r="891" spans="11:123">
      <c r="K891" s="266"/>
      <c r="L891" s="266"/>
      <c r="M891" s="266"/>
      <c r="N891" s="266"/>
      <c r="O891" s="266"/>
      <c r="P891" s="266"/>
      <c r="Q891" s="266"/>
      <c r="BR891" s="266"/>
      <c r="BS891" s="266"/>
      <c r="BT891" s="266"/>
      <c r="BU891" s="266"/>
      <c r="BV891" s="266"/>
      <c r="CJ891" s="266"/>
      <c r="CO891" s="266"/>
      <c r="CP891" s="266"/>
      <c r="CQ891" s="266"/>
      <c r="CR891" s="266"/>
      <c r="CS891" s="266"/>
      <c r="CT891" s="266"/>
      <c r="CU891" s="266"/>
      <c r="CV891" s="266"/>
      <c r="CW891" s="266"/>
      <c r="CX891" s="266"/>
      <c r="CY891" s="266"/>
      <c r="CZ891" s="266"/>
      <c r="DA891" s="266"/>
      <c r="DB891" s="266"/>
      <c r="DC891" s="266"/>
      <c r="DD891" s="266"/>
      <c r="DE891" s="266"/>
      <c r="DF891" s="266"/>
      <c r="DG891" s="266"/>
      <c r="DH891" s="266"/>
      <c r="DI891" s="266"/>
      <c r="DJ891" s="266"/>
      <c r="DK891" s="266"/>
      <c r="DL891" s="266"/>
      <c r="DM891" s="266"/>
      <c r="DN891" s="266"/>
      <c r="DO891" s="266"/>
      <c r="DP891" s="266"/>
      <c r="DQ891" s="266"/>
      <c r="DR891" s="266"/>
      <c r="DS891" s="266"/>
    </row>
    <row r="892" spans="11:123">
      <c r="K892" s="266"/>
      <c r="L892" s="266"/>
      <c r="M892" s="266"/>
      <c r="N892" s="266"/>
      <c r="O892" s="266"/>
      <c r="P892" s="266"/>
      <c r="Q892" s="266"/>
      <c r="BR892" s="266"/>
      <c r="BS892" s="266"/>
      <c r="BT892" s="266"/>
      <c r="BU892" s="266"/>
      <c r="BV892" s="266"/>
      <c r="CJ892" s="266"/>
      <c r="CO892" s="266"/>
      <c r="CP892" s="266"/>
      <c r="CQ892" s="266"/>
      <c r="CR892" s="266"/>
      <c r="CS892" s="266"/>
      <c r="CT892" s="266"/>
      <c r="CU892" s="266"/>
      <c r="CV892" s="266"/>
      <c r="CW892" s="266"/>
      <c r="CX892" s="266"/>
      <c r="CY892" s="266"/>
      <c r="CZ892" s="266"/>
      <c r="DA892" s="266"/>
      <c r="DB892" s="266"/>
      <c r="DC892" s="266"/>
      <c r="DD892" s="266"/>
      <c r="DE892" s="266"/>
      <c r="DF892" s="266"/>
      <c r="DG892" s="266"/>
      <c r="DH892" s="266"/>
      <c r="DI892" s="266"/>
      <c r="DJ892" s="266"/>
      <c r="DK892" s="266"/>
      <c r="DL892" s="266"/>
      <c r="DM892" s="266"/>
      <c r="DN892" s="266"/>
      <c r="DO892" s="266"/>
      <c r="DP892" s="266"/>
      <c r="DQ892" s="266"/>
      <c r="DR892" s="266"/>
      <c r="DS892" s="266"/>
    </row>
    <row r="893" spans="11:123">
      <c r="K893" s="266"/>
      <c r="L893" s="266"/>
      <c r="M893" s="266"/>
      <c r="N893" s="266"/>
      <c r="O893" s="266"/>
      <c r="P893" s="266"/>
      <c r="Q893" s="266"/>
      <c r="BR893" s="266"/>
      <c r="BS893" s="266"/>
      <c r="BT893" s="266"/>
      <c r="BU893" s="266"/>
      <c r="BV893" s="266"/>
      <c r="CJ893" s="266"/>
      <c r="CO893" s="266"/>
      <c r="CP893" s="266"/>
      <c r="CQ893" s="266"/>
      <c r="CR893" s="266"/>
      <c r="CS893" s="266"/>
      <c r="CT893" s="266"/>
      <c r="CU893" s="266"/>
      <c r="CV893" s="266"/>
      <c r="CW893" s="266"/>
      <c r="CX893" s="266"/>
      <c r="CY893" s="266"/>
      <c r="CZ893" s="266"/>
      <c r="DA893" s="266"/>
      <c r="DB893" s="266"/>
      <c r="DC893" s="266"/>
      <c r="DD893" s="266"/>
      <c r="DE893" s="266"/>
      <c r="DF893" s="266"/>
      <c r="DG893" s="266"/>
      <c r="DH893" s="266"/>
      <c r="DI893" s="266"/>
      <c r="DJ893" s="266"/>
      <c r="DK893" s="266"/>
      <c r="DL893" s="266"/>
      <c r="DM893" s="266"/>
      <c r="DN893" s="266"/>
      <c r="DO893" s="266"/>
      <c r="DP893" s="266"/>
      <c r="DQ893" s="266"/>
      <c r="DR893" s="266"/>
      <c r="DS893" s="266"/>
    </row>
    <row r="894" spans="11:123">
      <c r="K894" s="266"/>
      <c r="L894" s="266"/>
      <c r="M894" s="266"/>
      <c r="N894" s="266"/>
      <c r="O894" s="266"/>
      <c r="P894" s="266"/>
      <c r="Q894" s="266"/>
      <c r="BR894" s="266"/>
      <c r="BS894" s="266"/>
      <c r="BT894" s="266"/>
      <c r="BU894" s="266"/>
      <c r="BV894" s="266"/>
      <c r="CJ894" s="266"/>
      <c r="CO894" s="266"/>
      <c r="CP894" s="266"/>
      <c r="CQ894" s="266"/>
      <c r="CR894" s="266"/>
      <c r="CS894" s="266"/>
      <c r="CT894" s="266"/>
      <c r="CU894" s="266"/>
      <c r="CV894" s="266"/>
      <c r="CW894" s="266"/>
      <c r="CX894" s="266"/>
      <c r="CY894" s="266"/>
      <c r="CZ894" s="266"/>
      <c r="DA894" s="266"/>
      <c r="DB894" s="266"/>
      <c r="DC894" s="266"/>
      <c r="DD894" s="266"/>
      <c r="DE894" s="266"/>
      <c r="DF894" s="266"/>
      <c r="DG894" s="266"/>
      <c r="DH894" s="266"/>
      <c r="DI894" s="266"/>
      <c r="DJ894" s="266"/>
      <c r="DK894" s="266"/>
      <c r="DL894" s="266"/>
      <c r="DM894" s="266"/>
      <c r="DN894" s="266"/>
      <c r="DO894" s="266"/>
      <c r="DP894" s="266"/>
      <c r="DQ894" s="266"/>
      <c r="DR894" s="266"/>
      <c r="DS894" s="266"/>
    </row>
    <row r="895" spans="11:123">
      <c r="K895" s="266"/>
      <c r="L895" s="266"/>
      <c r="M895" s="266"/>
      <c r="N895" s="266"/>
      <c r="O895" s="266"/>
      <c r="P895" s="266"/>
      <c r="Q895" s="266"/>
      <c r="BR895" s="266"/>
      <c r="BS895" s="266"/>
      <c r="BT895" s="266"/>
      <c r="BU895" s="266"/>
      <c r="BV895" s="266"/>
      <c r="CJ895" s="266"/>
      <c r="CO895" s="266"/>
      <c r="CP895" s="266"/>
      <c r="CQ895" s="266"/>
      <c r="CR895" s="266"/>
      <c r="CS895" s="266"/>
      <c r="CT895" s="266"/>
      <c r="CU895" s="266"/>
      <c r="CV895" s="266"/>
      <c r="CW895" s="266"/>
      <c r="CX895" s="266"/>
      <c r="CY895" s="266"/>
      <c r="CZ895" s="266"/>
      <c r="DA895" s="266"/>
      <c r="DB895" s="266"/>
      <c r="DC895" s="266"/>
      <c r="DD895" s="266"/>
      <c r="DE895" s="266"/>
      <c r="DF895" s="266"/>
      <c r="DG895" s="266"/>
      <c r="DH895" s="266"/>
      <c r="DI895" s="266"/>
      <c r="DJ895" s="266"/>
      <c r="DK895" s="266"/>
      <c r="DL895" s="266"/>
      <c r="DM895" s="266"/>
      <c r="DN895" s="266"/>
      <c r="DO895" s="266"/>
      <c r="DP895" s="266"/>
      <c r="DQ895" s="266"/>
      <c r="DR895" s="266"/>
      <c r="DS895" s="266"/>
    </row>
    <row r="896" spans="11:123">
      <c r="K896" s="266"/>
      <c r="L896" s="266"/>
      <c r="M896" s="266"/>
      <c r="N896" s="266"/>
      <c r="O896" s="266"/>
      <c r="P896" s="266"/>
      <c r="Q896" s="266"/>
      <c r="BR896" s="266"/>
      <c r="BS896" s="266"/>
      <c r="BT896" s="266"/>
      <c r="BU896" s="266"/>
      <c r="BV896" s="266"/>
      <c r="CJ896" s="266"/>
      <c r="CO896" s="266"/>
      <c r="CP896" s="266"/>
      <c r="CQ896" s="266"/>
      <c r="CR896" s="266"/>
      <c r="CS896" s="266"/>
      <c r="CT896" s="266"/>
      <c r="CU896" s="266"/>
      <c r="CV896" s="266"/>
      <c r="CW896" s="266"/>
      <c r="CX896" s="266"/>
      <c r="CY896" s="266"/>
      <c r="CZ896" s="266"/>
      <c r="DA896" s="266"/>
      <c r="DB896" s="266"/>
      <c r="DC896" s="266"/>
      <c r="DD896" s="266"/>
      <c r="DE896" s="266"/>
      <c r="DF896" s="266"/>
      <c r="DG896" s="266"/>
      <c r="DH896" s="266"/>
      <c r="DI896" s="266"/>
      <c r="DJ896" s="266"/>
      <c r="DK896" s="266"/>
      <c r="DL896" s="266"/>
      <c r="DM896" s="266"/>
      <c r="DN896" s="266"/>
      <c r="DO896" s="266"/>
      <c r="DP896" s="266"/>
      <c r="DQ896" s="266"/>
      <c r="DR896" s="266"/>
      <c r="DS896" s="266"/>
    </row>
    <row r="897" spans="11:123">
      <c r="K897" s="266"/>
      <c r="L897" s="266"/>
      <c r="M897" s="266"/>
      <c r="N897" s="266"/>
      <c r="O897" s="266"/>
      <c r="P897" s="266"/>
      <c r="Q897" s="266"/>
      <c r="BR897" s="266"/>
      <c r="BS897" s="266"/>
      <c r="BT897" s="266"/>
      <c r="BU897" s="266"/>
      <c r="BV897" s="266"/>
      <c r="CJ897" s="266"/>
      <c r="CO897" s="266"/>
      <c r="CP897" s="266"/>
      <c r="CQ897" s="266"/>
      <c r="CR897" s="266"/>
      <c r="CS897" s="266"/>
      <c r="CT897" s="266"/>
      <c r="CU897" s="266"/>
      <c r="CV897" s="266"/>
      <c r="CW897" s="266"/>
      <c r="CX897" s="266"/>
      <c r="CY897" s="266"/>
      <c r="CZ897" s="266"/>
      <c r="DA897" s="266"/>
      <c r="DB897" s="266"/>
      <c r="DC897" s="266"/>
      <c r="DD897" s="266"/>
      <c r="DE897" s="266"/>
      <c r="DF897" s="266"/>
      <c r="DG897" s="266"/>
      <c r="DH897" s="266"/>
      <c r="DI897" s="266"/>
      <c r="DJ897" s="266"/>
      <c r="DK897" s="266"/>
      <c r="DL897" s="266"/>
      <c r="DM897" s="266"/>
      <c r="DN897" s="266"/>
      <c r="DO897" s="266"/>
      <c r="DP897" s="266"/>
      <c r="DQ897" s="266"/>
      <c r="DR897" s="266"/>
      <c r="DS897" s="266"/>
    </row>
    <row r="898" spans="11:123">
      <c r="K898" s="266"/>
      <c r="L898" s="266"/>
      <c r="M898" s="266"/>
      <c r="N898" s="266"/>
      <c r="O898" s="266"/>
      <c r="P898" s="266"/>
      <c r="Q898" s="266"/>
      <c r="BR898" s="266"/>
      <c r="BS898" s="266"/>
      <c r="BT898" s="266"/>
      <c r="BU898" s="266"/>
      <c r="BV898" s="266"/>
      <c r="CJ898" s="266"/>
      <c r="CO898" s="266"/>
      <c r="CP898" s="266"/>
      <c r="CQ898" s="266"/>
      <c r="CR898" s="266"/>
      <c r="CS898" s="266"/>
      <c r="CT898" s="266"/>
      <c r="CU898" s="266"/>
      <c r="CV898" s="266"/>
      <c r="CW898" s="266"/>
      <c r="CX898" s="266"/>
      <c r="CY898" s="266"/>
      <c r="CZ898" s="266"/>
      <c r="DA898" s="266"/>
      <c r="DB898" s="266"/>
      <c r="DC898" s="266"/>
      <c r="DD898" s="266"/>
      <c r="DE898" s="266"/>
      <c r="DF898" s="266"/>
      <c r="DG898" s="266"/>
      <c r="DH898" s="266"/>
      <c r="DI898" s="266"/>
      <c r="DJ898" s="266"/>
      <c r="DK898" s="266"/>
      <c r="DL898" s="266"/>
      <c r="DM898" s="266"/>
      <c r="DN898" s="266"/>
      <c r="DO898" s="266"/>
      <c r="DP898" s="266"/>
      <c r="DQ898" s="266"/>
      <c r="DR898" s="266"/>
      <c r="DS898" s="266"/>
    </row>
    <row r="899" spans="11:123">
      <c r="K899" s="266"/>
      <c r="L899" s="266"/>
      <c r="M899" s="266"/>
      <c r="N899" s="266"/>
      <c r="O899" s="266"/>
      <c r="P899" s="266"/>
      <c r="Q899" s="266"/>
      <c r="BR899" s="266"/>
      <c r="BS899" s="266"/>
      <c r="BT899" s="266"/>
      <c r="BU899" s="266"/>
      <c r="BV899" s="266"/>
      <c r="CJ899" s="266"/>
      <c r="CO899" s="266"/>
      <c r="CP899" s="266"/>
      <c r="CQ899" s="266"/>
      <c r="CR899" s="266"/>
      <c r="CS899" s="266"/>
      <c r="CT899" s="266"/>
      <c r="CU899" s="266"/>
      <c r="CV899" s="266"/>
      <c r="CW899" s="266"/>
      <c r="CX899" s="266"/>
      <c r="CY899" s="266"/>
      <c r="CZ899" s="266"/>
      <c r="DA899" s="266"/>
      <c r="DB899" s="266"/>
      <c r="DC899" s="266"/>
      <c r="DD899" s="266"/>
      <c r="DE899" s="266"/>
      <c r="DF899" s="266"/>
      <c r="DG899" s="266"/>
      <c r="DH899" s="266"/>
      <c r="DI899" s="266"/>
      <c r="DJ899" s="266"/>
      <c r="DK899" s="266"/>
      <c r="DL899" s="266"/>
      <c r="DM899" s="266"/>
      <c r="DN899" s="266"/>
      <c r="DO899" s="266"/>
      <c r="DP899" s="266"/>
      <c r="DQ899" s="266"/>
      <c r="DR899" s="266"/>
      <c r="DS899" s="266"/>
    </row>
    <row r="900" spans="11:123">
      <c r="K900" s="266"/>
      <c r="L900" s="266"/>
      <c r="M900" s="266"/>
      <c r="N900" s="266"/>
      <c r="O900" s="266"/>
      <c r="P900" s="266"/>
      <c r="Q900" s="266"/>
      <c r="BR900" s="266"/>
      <c r="BS900" s="266"/>
      <c r="BT900" s="266"/>
      <c r="BU900" s="266"/>
      <c r="BV900" s="266"/>
      <c r="CJ900" s="266"/>
      <c r="CO900" s="266"/>
      <c r="CP900" s="266"/>
      <c r="CQ900" s="266"/>
      <c r="CR900" s="266"/>
      <c r="CS900" s="266"/>
      <c r="CT900" s="266"/>
      <c r="CU900" s="266"/>
      <c r="CV900" s="266"/>
      <c r="CW900" s="266"/>
      <c r="CX900" s="266"/>
      <c r="CY900" s="266"/>
      <c r="CZ900" s="266"/>
      <c r="DA900" s="266"/>
      <c r="DB900" s="266"/>
      <c r="DC900" s="266"/>
      <c r="DD900" s="266"/>
      <c r="DE900" s="266"/>
      <c r="DF900" s="266"/>
      <c r="DG900" s="266"/>
      <c r="DH900" s="266"/>
      <c r="DI900" s="266"/>
      <c r="DJ900" s="266"/>
      <c r="DK900" s="266"/>
      <c r="DL900" s="266"/>
      <c r="DM900" s="266"/>
      <c r="DN900" s="266"/>
      <c r="DO900" s="266"/>
      <c r="DP900" s="266"/>
      <c r="DQ900" s="266"/>
      <c r="DR900" s="266"/>
      <c r="DS900" s="266"/>
    </row>
    <row r="901" spans="11:123">
      <c r="K901" s="266"/>
      <c r="L901" s="266"/>
      <c r="M901" s="266"/>
      <c r="N901" s="266"/>
      <c r="O901" s="266"/>
      <c r="P901" s="266"/>
      <c r="Q901" s="266"/>
      <c r="BR901" s="266"/>
      <c r="BS901" s="266"/>
      <c r="BT901" s="266"/>
      <c r="BU901" s="266"/>
      <c r="BV901" s="266"/>
      <c r="CJ901" s="266"/>
      <c r="CO901" s="266"/>
      <c r="CP901" s="266"/>
      <c r="CQ901" s="266"/>
      <c r="CR901" s="266"/>
      <c r="CS901" s="266"/>
      <c r="CT901" s="266"/>
      <c r="CU901" s="266"/>
      <c r="CV901" s="266"/>
      <c r="CW901" s="266"/>
      <c r="CX901" s="266"/>
      <c r="CY901" s="266"/>
      <c r="CZ901" s="266"/>
      <c r="DA901" s="266"/>
      <c r="DB901" s="266"/>
      <c r="DC901" s="266"/>
      <c r="DD901" s="266"/>
      <c r="DE901" s="266"/>
      <c r="DF901" s="266"/>
      <c r="DG901" s="266"/>
      <c r="DH901" s="266"/>
      <c r="DI901" s="266"/>
      <c r="DJ901" s="266"/>
      <c r="DK901" s="266"/>
      <c r="DL901" s="266"/>
      <c r="DM901" s="266"/>
      <c r="DN901" s="266"/>
      <c r="DO901" s="266"/>
      <c r="DP901" s="266"/>
      <c r="DQ901" s="266"/>
      <c r="DR901" s="266"/>
      <c r="DS901" s="266"/>
    </row>
    <row r="902" spans="11:123">
      <c r="K902" s="266"/>
      <c r="L902" s="266"/>
      <c r="M902" s="266"/>
      <c r="N902" s="266"/>
      <c r="O902" s="266"/>
      <c r="P902" s="266"/>
      <c r="Q902" s="266"/>
      <c r="BR902" s="266"/>
      <c r="BS902" s="266"/>
      <c r="BT902" s="266"/>
      <c r="BU902" s="266"/>
      <c r="BV902" s="266"/>
      <c r="CJ902" s="266"/>
      <c r="CO902" s="266"/>
      <c r="CP902" s="266"/>
      <c r="CQ902" s="266"/>
      <c r="CR902" s="266"/>
      <c r="CS902" s="266"/>
      <c r="CT902" s="266"/>
      <c r="CU902" s="266"/>
      <c r="CV902" s="266"/>
      <c r="CW902" s="266"/>
      <c r="CX902" s="266"/>
      <c r="CY902" s="266"/>
      <c r="CZ902" s="266"/>
      <c r="DA902" s="266"/>
      <c r="DB902" s="266"/>
      <c r="DC902" s="266"/>
      <c r="DD902" s="266"/>
      <c r="DE902" s="266"/>
      <c r="DF902" s="266"/>
      <c r="DG902" s="266"/>
      <c r="DH902" s="266"/>
      <c r="DI902" s="266"/>
      <c r="DJ902" s="266"/>
      <c r="DK902" s="266"/>
      <c r="DL902" s="266"/>
      <c r="DM902" s="266"/>
      <c r="DN902" s="266"/>
      <c r="DO902" s="266"/>
      <c r="DP902" s="266"/>
      <c r="DQ902" s="266"/>
      <c r="DR902" s="266"/>
      <c r="DS902" s="266"/>
    </row>
    <row r="903" spans="11:123">
      <c r="K903" s="266"/>
      <c r="L903" s="266"/>
      <c r="M903" s="266"/>
      <c r="N903" s="266"/>
      <c r="O903" s="266"/>
      <c r="P903" s="266"/>
      <c r="Q903" s="266"/>
      <c r="BR903" s="266"/>
      <c r="BS903" s="266"/>
      <c r="BT903" s="266"/>
      <c r="BU903" s="266"/>
      <c r="BV903" s="266"/>
      <c r="CJ903" s="266"/>
      <c r="CO903" s="266"/>
      <c r="CP903" s="266"/>
      <c r="CQ903" s="266"/>
      <c r="CR903" s="266"/>
      <c r="CS903" s="266"/>
      <c r="CT903" s="266"/>
      <c r="CU903" s="266"/>
      <c r="CV903" s="266"/>
      <c r="CW903" s="266"/>
      <c r="CX903" s="266"/>
      <c r="CY903" s="266"/>
      <c r="CZ903" s="266"/>
      <c r="DA903" s="266"/>
      <c r="DB903" s="266"/>
      <c r="DC903" s="266"/>
      <c r="DD903" s="266"/>
      <c r="DE903" s="266"/>
      <c r="DF903" s="266"/>
      <c r="DG903" s="266"/>
      <c r="DH903" s="266"/>
      <c r="DI903" s="266"/>
      <c r="DJ903" s="266"/>
      <c r="DK903" s="266"/>
      <c r="DL903" s="266"/>
      <c r="DM903" s="266"/>
      <c r="DN903" s="266"/>
      <c r="DO903" s="266"/>
      <c r="DP903" s="266"/>
      <c r="DQ903" s="266"/>
      <c r="DR903" s="266"/>
      <c r="DS903" s="266"/>
    </row>
    <row r="904" spans="11:123">
      <c r="K904" s="266"/>
      <c r="L904" s="266"/>
      <c r="M904" s="266"/>
      <c r="N904" s="266"/>
      <c r="O904" s="266"/>
      <c r="P904" s="266"/>
      <c r="Q904" s="266"/>
      <c r="BR904" s="266"/>
      <c r="BS904" s="266"/>
      <c r="BT904" s="266"/>
      <c r="BU904" s="266"/>
      <c r="BV904" s="266"/>
      <c r="CJ904" s="266"/>
      <c r="CO904" s="266"/>
      <c r="CP904" s="266"/>
      <c r="CQ904" s="266"/>
      <c r="CR904" s="266"/>
      <c r="CS904" s="266"/>
      <c r="CT904" s="266"/>
      <c r="CU904" s="266"/>
      <c r="CV904" s="266"/>
      <c r="CW904" s="266"/>
      <c r="CX904" s="266"/>
      <c r="CY904" s="266"/>
      <c r="CZ904" s="266"/>
      <c r="DA904" s="266"/>
      <c r="DB904" s="266"/>
      <c r="DC904" s="266"/>
      <c r="DD904" s="266"/>
      <c r="DE904" s="266"/>
      <c r="DF904" s="266"/>
      <c r="DG904" s="266"/>
      <c r="DH904" s="266"/>
      <c r="DI904" s="266"/>
      <c r="DJ904" s="266"/>
      <c r="DK904" s="266"/>
      <c r="DL904" s="266"/>
      <c r="DM904" s="266"/>
      <c r="DN904" s="266"/>
      <c r="DO904" s="266"/>
      <c r="DP904" s="266"/>
      <c r="DQ904" s="266"/>
      <c r="DR904" s="266"/>
      <c r="DS904" s="266"/>
    </row>
    <row r="905" spans="11:123">
      <c r="K905" s="266"/>
      <c r="L905" s="266"/>
      <c r="M905" s="266"/>
      <c r="N905" s="266"/>
      <c r="O905" s="266"/>
      <c r="P905" s="266"/>
      <c r="Q905" s="266"/>
      <c r="BR905" s="266"/>
      <c r="BS905" s="266"/>
      <c r="BT905" s="266"/>
      <c r="BU905" s="266"/>
      <c r="BV905" s="266"/>
      <c r="CJ905" s="266"/>
      <c r="CO905" s="266"/>
      <c r="CP905" s="266"/>
      <c r="CQ905" s="266"/>
      <c r="CR905" s="266"/>
      <c r="CS905" s="266"/>
      <c r="CT905" s="266"/>
      <c r="CU905" s="266"/>
      <c r="CV905" s="266"/>
      <c r="CW905" s="266"/>
      <c r="CX905" s="266"/>
      <c r="CY905" s="266"/>
      <c r="CZ905" s="266"/>
      <c r="DA905" s="266"/>
      <c r="DB905" s="266"/>
      <c r="DC905" s="266"/>
      <c r="DD905" s="266"/>
      <c r="DE905" s="266"/>
      <c r="DF905" s="266"/>
      <c r="DG905" s="266"/>
      <c r="DH905" s="266"/>
      <c r="DI905" s="266"/>
      <c r="DJ905" s="266"/>
      <c r="DK905" s="266"/>
      <c r="DL905" s="266"/>
      <c r="DM905" s="266"/>
      <c r="DN905" s="266"/>
      <c r="DO905" s="266"/>
      <c r="DP905" s="266"/>
      <c r="DQ905" s="266"/>
      <c r="DR905" s="266"/>
      <c r="DS905" s="266"/>
    </row>
    <row r="906" spans="11:123">
      <c r="K906" s="266"/>
      <c r="L906" s="266"/>
      <c r="M906" s="266"/>
      <c r="N906" s="266"/>
      <c r="O906" s="266"/>
      <c r="P906" s="266"/>
      <c r="Q906" s="266"/>
      <c r="BR906" s="266"/>
      <c r="BS906" s="266"/>
      <c r="BT906" s="266"/>
      <c r="BU906" s="266"/>
      <c r="BV906" s="266"/>
      <c r="CJ906" s="266"/>
      <c r="CO906" s="266"/>
      <c r="CP906" s="266"/>
      <c r="CQ906" s="266"/>
      <c r="CR906" s="266"/>
      <c r="CS906" s="266"/>
      <c r="CT906" s="266"/>
      <c r="CU906" s="266"/>
      <c r="CV906" s="266"/>
      <c r="CW906" s="266"/>
      <c r="CX906" s="266"/>
      <c r="CY906" s="266"/>
      <c r="CZ906" s="266"/>
      <c r="DA906" s="266"/>
      <c r="DB906" s="266"/>
      <c r="DC906" s="266"/>
      <c r="DD906" s="266"/>
      <c r="DE906" s="266"/>
      <c r="DF906" s="266"/>
      <c r="DG906" s="266"/>
      <c r="DH906" s="266"/>
      <c r="DI906" s="266"/>
      <c r="DJ906" s="266"/>
      <c r="DK906" s="266"/>
      <c r="DL906" s="266"/>
      <c r="DM906" s="266"/>
      <c r="DN906" s="266"/>
      <c r="DO906" s="266"/>
      <c r="DP906" s="266"/>
      <c r="DQ906" s="266"/>
      <c r="DR906" s="266"/>
      <c r="DS906" s="266"/>
    </row>
    <row r="907" spans="11:123">
      <c r="K907" s="266"/>
      <c r="L907" s="266"/>
      <c r="M907" s="266"/>
      <c r="N907" s="266"/>
      <c r="O907" s="266"/>
      <c r="P907" s="266"/>
      <c r="Q907" s="266"/>
      <c r="BR907" s="266"/>
      <c r="BS907" s="266"/>
      <c r="BT907" s="266"/>
      <c r="BU907" s="266"/>
      <c r="BV907" s="266"/>
      <c r="CJ907" s="266"/>
      <c r="CO907" s="266"/>
      <c r="CP907" s="266"/>
      <c r="CQ907" s="266"/>
      <c r="CR907" s="266"/>
      <c r="CS907" s="266"/>
      <c r="CT907" s="266"/>
      <c r="CU907" s="266"/>
      <c r="CV907" s="266"/>
      <c r="CW907" s="266"/>
      <c r="CX907" s="266"/>
      <c r="CY907" s="266"/>
      <c r="CZ907" s="266"/>
      <c r="DA907" s="266"/>
      <c r="DB907" s="266"/>
      <c r="DC907" s="266"/>
      <c r="DD907" s="266"/>
      <c r="DE907" s="266"/>
      <c r="DF907" s="266"/>
      <c r="DG907" s="266"/>
      <c r="DH907" s="266"/>
      <c r="DI907" s="266"/>
      <c r="DJ907" s="266"/>
      <c r="DK907" s="266"/>
      <c r="DL907" s="266"/>
      <c r="DM907" s="266"/>
      <c r="DN907" s="266"/>
      <c r="DO907" s="266"/>
      <c r="DP907" s="266"/>
      <c r="DQ907" s="266"/>
      <c r="DR907" s="266"/>
      <c r="DS907" s="266"/>
    </row>
    <row r="908" spans="11:123">
      <c r="K908" s="266"/>
      <c r="L908" s="266"/>
      <c r="M908" s="266"/>
      <c r="N908" s="266"/>
      <c r="O908" s="266"/>
      <c r="P908" s="266"/>
      <c r="Q908" s="266"/>
      <c r="BR908" s="266"/>
      <c r="BS908" s="266"/>
      <c r="BT908" s="266"/>
      <c r="BU908" s="266"/>
      <c r="BV908" s="266"/>
      <c r="CJ908" s="266"/>
      <c r="CO908" s="266"/>
      <c r="CP908" s="266"/>
      <c r="CQ908" s="266"/>
      <c r="CR908" s="266"/>
      <c r="CS908" s="266"/>
      <c r="CT908" s="266"/>
      <c r="CU908" s="266"/>
      <c r="CV908" s="266"/>
      <c r="CW908" s="266"/>
      <c r="CX908" s="266"/>
      <c r="CY908" s="266"/>
      <c r="CZ908" s="266"/>
      <c r="DA908" s="266"/>
      <c r="DB908" s="266"/>
      <c r="DC908" s="266"/>
      <c r="DD908" s="266"/>
      <c r="DE908" s="266"/>
      <c r="DF908" s="266"/>
      <c r="DG908" s="266"/>
      <c r="DH908" s="266"/>
      <c r="DI908" s="266"/>
      <c r="DJ908" s="266"/>
      <c r="DK908" s="266"/>
      <c r="DL908" s="266"/>
      <c r="DM908" s="266"/>
      <c r="DN908" s="266"/>
      <c r="DO908" s="266"/>
      <c r="DP908" s="266"/>
      <c r="DQ908" s="266"/>
      <c r="DR908" s="266"/>
      <c r="DS908" s="266"/>
    </row>
    <row r="909" spans="11:123">
      <c r="K909" s="266"/>
      <c r="L909" s="266"/>
      <c r="M909" s="266"/>
      <c r="N909" s="266"/>
      <c r="O909" s="266"/>
      <c r="P909" s="266"/>
      <c r="Q909" s="266"/>
      <c r="BR909" s="266"/>
      <c r="BS909" s="266"/>
      <c r="BT909" s="266"/>
      <c r="BU909" s="266"/>
      <c r="BV909" s="266"/>
      <c r="CJ909" s="266"/>
      <c r="CO909" s="266"/>
      <c r="CP909" s="266"/>
      <c r="CQ909" s="266"/>
      <c r="CR909" s="266"/>
      <c r="CS909" s="266"/>
      <c r="CT909" s="266"/>
      <c r="CU909" s="266"/>
      <c r="CV909" s="266"/>
      <c r="CW909" s="266"/>
      <c r="CX909" s="266"/>
      <c r="CY909" s="266"/>
      <c r="CZ909" s="266"/>
      <c r="DA909" s="266"/>
      <c r="DB909" s="266"/>
      <c r="DC909" s="266"/>
      <c r="DD909" s="266"/>
      <c r="DE909" s="266"/>
      <c r="DF909" s="266"/>
      <c r="DG909" s="266"/>
      <c r="DH909" s="266"/>
      <c r="DI909" s="266"/>
      <c r="DJ909" s="266"/>
      <c r="DK909" s="266"/>
      <c r="DL909" s="266"/>
      <c r="DM909" s="266"/>
      <c r="DN909" s="266"/>
      <c r="DO909" s="266"/>
      <c r="DP909" s="266"/>
      <c r="DQ909" s="266"/>
      <c r="DR909" s="266"/>
      <c r="DS909" s="266"/>
    </row>
    <row r="910" spans="11:123">
      <c r="K910" s="266"/>
      <c r="L910" s="266"/>
      <c r="M910" s="266"/>
      <c r="N910" s="266"/>
      <c r="O910" s="266"/>
      <c r="P910" s="266"/>
      <c r="Q910" s="266"/>
      <c r="BR910" s="266"/>
      <c r="BS910" s="266"/>
      <c r="BT910" s="266"/>
      <c r="BU910" s="266"/>
      <c r="BV910" s="266"/>
      <c r="CJ910" s="266"/>
      <c r="CO910" s="266"/>
      <c r="CP910" s="266"/>
      <c r="CQ910" s="266"/>
      <c r="CR910" s="266"/>
      <c r="CS910" s="266"/>
      <c r="CT910" s="266"/>
      <c r="CU910" s="266"/>
      <c r="CV910" s="266"/>
      <c r="CW910" s="266"/>
      <c r="CX910" s="266"/>
      <c r="CY910" s="266"/>
      <c r="CZ910" s="266"/>
      <c r="DA910" s="266"/>
      <c r="DB910" s="266"/>
      <c r="DC910" s="266"/>
      <c r="DD910" s="266"/>
      <c r="DE910" s="266"/>
      <c r="DF910" s="266"/>
      <c r="DG910" s="266"/>
      <c r="DH910" s="266"/>
      <c r="DI910" s="266"/>
      <c r="DJ910" s="266"/>
      <c r="DK910" s="266"/>
      <c r="DL910" s="266"/>
      <c r="DM910" s="266"/>
      <c r="DN910" s="266"/>
      <c r="DO910" s="266"/>
      <c r="DP910" s="266"/>
      <c r="DQ910" s="266"/>
      <c r="DR910" s="266"/>
      <c r="DS910" s="266"/>
    </row>
    <row r="911" spans="11:123">
      <c r="K911" s="266"/>
      <c r="L911" s="266"/>
      <c r="M911" s="266"/>
      <c r="N911" s="266"/>
      <c r="O911" s="266"/>
      <c r="P911" s="266"/>
      <c r="Q911" s="266"/>
      <c r="BR911" s="266"/>
      <c r="BS911" s="266"/>
      <c r="BT911" s="266"/>
      <c r="BU911" s="266"/>
      <c r="BV911" s="266"/>
      <c r="CJ911" s="266"/>
      <c r="CO911" s="266"/>
      <c r="CP911" s="266"/>
      <c r="CQ911" s="266"/>
      <c r="CR911" s="266"/>
      <c r="CS911" s="266"/>
      <c r="CT911" s="266"/>
      <c r="CU911" s="266"/>
      <c r="CV911" s="266"/>
      <c r="CW911" s="266"/>
      <c r="CX911" s="266"/>
      <c r="CY911" s="266"/>
      <c r="CZ911" s="266"/>
      <c r="DA911" s="266"/>
      <c r="DB911" s="266"/>
      <c r="DC911" s="266"/>
      <c r="DD911" s="266"/>
      <c r="DE911" s="266"/>
      <c r="DF911" s="266"/>
      <c r="DG911" s="266"/>
      <c r="DH911" s="266"/>
      <c r="DI911" s="266"/>
      <c r="DJ911" s="266"/>
      <c r="DK911" s="266"/>
      <c r="DL911" s="266"/>
      <c r="DM911" s="266"/>
      <c r="DN911" s="266"/>
      <c r="DO911" s="266"/>
      <c r="DP911" s="266"/>
      <c r="DQ911" s="266"/>
      <c r="DR911" s="266"/>
      <c r="DS911" s="266"/>
    </row>
    <row r="912" spans="11:123">
      <c r="K912" s="266"/>
      <c r="L912" s="266"/>
      <c r="M912" s="266"/>
      <c r="N912" s="266"/>
      <c r="O912" s="266"/>
      <c r="P912" s="266"/>
      <c r="Q912" s="266"/>
      <c r="BR912" s="266"/>
      <c r="BS912" s="266"/>
      <c r="BT912" s="266"/>
      <c r="BU912" s="266"/>
      <c r="BV912" s="266"/>
      <c r="CJ912" s="266"/>
      <c r="CO912" s="266"/>
      <c r="CP912" s="266"/>
      <c r="CQ912" s="266"/>
      <c r="CR912" s="266"/>
      <c r="CS912" s="266"/>
      <c r="CT912" s="266"/>
      <c r="CU912" s="266"/>
      <c r="CV912" s="266"/>
      <c r="CW912" s="266"/>
      <c r="CX912" s="266"/>
      <c r="CY912" s="266"/>
      <c r="CZ912" s="266"/>
      <c r="DA912" s="266"/>
      <c r="DB912" s="266"/>
      <c r="DC912" s="266"/>
      <c r="DD912" s="266"/>
      <c r="DE912" s="266"/>
      <c r="DF912" s="266"/>
      <c r="DG912" s="266"/>
      <c r="DH912" s="266"/>
      <c r="DI912" s="266"/>
      <c r="DJ912" s="266"/>
      <c r="DK912" s="266"/>
      <c r="DL912" s="266"/>
      <c r="DM912" s="266"/>
      <c r="DN912" s="266"/>
      <c r="DO912" s="266"/>
      <c r="DP912" s="266"/>
      <c r="DQ912" s="266"/>
      <c r="DR912" s="266"/>
      <c r="DS912" s="266"/>
    </row>
    <row r="913" spans="11:123">
      <c r="K913" s="266"/>
      <c r="L913" s="266"/>
      <c r="M913" s="266"/>
      <c r="N913" s="266"/>
      <c r="O913" s="266"/>
      <c r="P913" s="266"/>
      <c r="Q913" s="266"/>
      <c r="BR913" s="266"/>
      <c r="BS913" s="266"/>
      <c r="BT913" s="266"/>
      <c r="BU913" s="266"/>
      <c r="BV913" s="266"/>
      <c r="CJ913" s="266"/>
      <c r="CO913" s="266"/>
      <c r="CP913" s="266"/>
      <c r="CQ913" s="266"/>
      <c r="CR913" s="266"/>
      <c r="CS913" s="266"/>
      <c r="CT913" s="266"/>
      <c r="CU913" s="266"/>
      <c r="CV913" s="266"/>
      <c r="CW913" s="266"/>
      <c r="CX913" s="266"/>
      <c r="CY913" s="266"/>
      <c r="CZ913" s="266"/>
      <c r="DA913" s="266"/>
      <c r="DB913" s="266"/>
      <c r="DC913" s="266"/>
      <c r="DD913" s="266"/>
      <c r="DE913" s="266"/>
      <c r="DF913" s="266"/>
      <c r="DG913" s="266"/>
      <c r="DH913" s="266"/>
      <c r="DI913" s="266"/>
      <c r="DJ913" s="266"/>
      <c r="DK913" s="266"/>
      <c r="DL913" s="266"/>
      <c r="DM913" s="266"/>
      <c r="DN913" s="266"/>
      <c r="DO913" s="266"/>
      <c r="DP913" s="266"/>
      <c r="DQ913" s="266"/>
      <c r="DR913" s="266"/>
      <c r="DS913" s="266"/>
    </row>
    <row r="914" spans="11:123">
      <c r="K914" s="266"/>
      <c r="L914" s="266"/>
      <c r="M914" s="266"/>
      <c r="N914" s="266"/>
      <c r="O914" s="266"/>
      <c r="P914" s="266"/>
      <c r="Q914" s="266"/>
      <c r="BR914" s="266"/>
      <c r="BS914" s="266"/>
      <c r="BT914" s="266"/>
      <c r="BU914" s="266"/>
      <c r="BV914" s="266"/>
      <c r="CJ914" s="266"/>
      <c r="CO914" s="266"/>
      <c r="CP914" s="266"/>
      <c r="CQ914" s="266"/>
      <c r="CR914" s="266"/>
      <c r="CS914" s="266"/>
      <c r="CT914" s="266"/>
      <c r="CU914" s="266"/>
      <c r="CV914" s="266"/>
      <c r="CW914" s="266"/>
      <c r="CX914" s="266"/>
      <c r="CY914" s="266"/>
      <c r="CZ914" s="266"/>
      <c r="DA914" s="266"/>
      <c r="DB914" s="266"/>
      <c r="DC914" s="266"/>
      <c r="DD914" s="266"/>
      <c r="DE914" s="266"/>
      <c r="DF914" s="266"/>
      <c r="DG914" s="266"/>
      <c r="DH914" s="266"/>
      <c r="DI914" s="266"/>
      <c r="DJ914" s="266"/>
      <c r="DK914" s="266"/>
      <c r="DL914" s="266"/>
      <c r="DM914" s="266"/>
      <c r="DN914" s="266"/>
      <c r="DO914" s="266"/>
      <c r="DP914" s="266"/>
      <c r="DQ914" s="266"/>
      <c r="DR914" s="266"/>
      <c r="DS914" s="266"/>
    </row>
    <row r="915" spans="11:123">
      <c r="K915" s="266"/>
      <c r="L915" s="266"/>
      <c r="M915" s="266"/>
      <c r="N915" s="266"/>
      <c r="O915" s="266"/>
      <c r="P915" s="266"/>
      <c r="Q915" s="266"/>
      <c r="BR915" s="266"/>
      <c r="BS915" s="266"/>
      <c r="BT915" s="266"/>
      <c r="BU915" s="266"/>
      <c r="BV915" s="266"/>
      <c r="CJ915" s="266"/>
      <c r="CO915" s="266"/>
      <c r="CP915" s="266"/>
      <c r="CQ915" s="266"/>
      <c r="CR915" s="266"/>
      <c r="CS915" s="266"/>
      <c r="CT915" s="266"/>
      <c r="CU915" s="266"/>
      <c r="CV915" s="266"/>
      <c r="CW915" s="266"/>
      <c r="CX915" s="266"/>
      <c r="CY915" s="266"/>
      <c r="CZ915" s="266"/>
      <c r="DA915" s="266"/>
      <c r="DB915" s="266"/>
      <c r="DC915" s="266"/>
      <c r="DD915" s="266"/>
      <c r="DE915" s="266"/>
      <c r="DF915" s="266"/>
      <c r="DG915" s="266"/>
      <c r="DH915" s="266"/>
      <c r="DI915" s="266"/>
      <c r="DJ915" s="266"/>
      <c r="DK915" s="266"/>
      <c r="DL915" s="266"/>
      <c r="DM915" s="266"/>
      <c r="DN915" s="266"/>
      <c r="DO915" s="266"/>
      <c r="DP915" s="266"/>
      <c r="DQ915" s="266"/>
      <c r="DR915" s="266"/>
      <c r="DS915" s="266"/>
    </row>
    <row r="916" spans="11:123">
      <c r="K916" s="266"/>
      <c r="L916" s="266"/>
      <c r="M916" s="266"/>
      <c r="N916" s="266"/>
      <c r="O916" s="266"/>
      <c r="P916" s="266"/>
      <c r="Q916" s="266"/>
      <c r="BR916" s="266"/>
      <c r="BS916" s="266"/>
      <c r="BT916" s="266"/>
      <c r="BU916" s="266"/>
      <c r="BV916" s="266"/>
      <c r="CJ916" s="266"/>
      <c r="CO916" s="266"/>
      <c r="CP916" s="266"/>
      <c r="CQ916" s="266"/>
      <c r="CR916" s="266"/>
      <c r="CS916" s="266"/>
      <c r="CT916" s="266"/>
      <c r="CU916" s="266"/>
      <c r="CV916" s="266"/>
      <c r="CW916" s="266"/>
      <c r="CX916" s="266"/>
      <c r="CY916" s="266"/>
      <c r="CZ916" s="266"/>
      <c r="DA916" s="266"/>
      <c r="DB916" s="266"/>
      <c r="DC916" s="266"/>
      <c r="DD916" s="266"/>
      <c r="DE916" s="266"/>
      <c r="DF916" s="266"/>
      <c r="DG916" s="266"/>
      <c r="DH916" s="266"/>
      <c r="DI916" s="266"/>
      <c r="DJ916" s="266"/>
      <c r="DK916" s="266"/>
      <c r="DL916" s="266"/>
      <c r="DM916" s="266"/>
      <c r="DN916" s="266"/>
      <c r="DO916" s="266"/>
      <c r="DP916" s="266"/>
      <c r="DQ916" s="266"/>
      <c r="DR916" s="266"/>
      <c r="DS916" s="266"/>
    </row>
    <row r="917" spans="11:123">
      <c r="K917" s="266"/>
      <c r="L917" s="266"/>
      <c r="M917" s="266"/>
      <c r="N917" s="266"/>
      <c r="O917" s="266"/>
      <c r="P917" s="266"/>
      <c r="Q917" s="266"/>
      <c r="BR917" s="266"/>
      <c r="BS917" s="266"/>
      <c r="BT917" s="266"/>
      <c r="BU917" s="266"/>
      <c r="BV917" s="266"/>
      <c r="CJ917" s="266"/>
      <c r="CO917" s="266"/>
      <c r="CP917" s="266"/>
      <c r="CQ917" s="266"/>
      <c r="CR917" s="266"/>
      <c r="CS917" s="266"/>
      <c r="CT917" s="266"/>
      <c r="CU917" s="266"/>
      <c r="CV917" s="266"/>
      <c r="CW917" s="266"/>
      <c r="CX917" s="266"/>
      <c r="CY917" s="266"/>
      <c r="CZ917" s="266"/>
      <c r="DA917" s="266"/>
      <c r="DB917" s="266"/>
      <c r="DC917" s="266"/>
      <c r="DD917" s="266"/>
      <c r="DE917" s="266"/>
      <c r="DF917" s="266"/>
      <c r="DG917" s="266"/>
      <c r="DH917" s="266"/>
      <c r="DI917" s="266"/>
      <c r="DJ917" s="266"/>
      <c r="DK917" s="266"/>
      <c r="DL917" s="266"/>
      <c r="DM917" s="266"/>
      <c r="DN917" s="266"/>
      <c r="DO917" s="266"/>
      <c r="DP917" s="266"/>
      <c r="DQ917" s="266"/>
      <c r="DR917" s="266"/>
      <c r="DS917" s="266"/>
    </row>
    <row r="918" spans="11:123">
      <c r="K918" s="266"/>
      <c r="L918" s="266"/>
      <c r="M918" s="266"/>
      <c r="N918" s="266"/>
      <c r="O918" s="266"/>
      <c r="P918" s="266"/>
      <c r="Q918" s="266"/>
      <c r="BR918" s="266"/>
      <c r="BS918" s="266"/>
      <c r="BT918" s="266"/>
      <c r="BU918" s="266"/>
      <c r="BV918" s="266"/>
      <c r="CJ918" s="266"/>
      <c r="CO918" s="266"/>
      <c r="CP918" s="266"/>
      <c r="CQ918" s="266"/>
      <c r="CR918" s="266"/>
      <c r="CS918" s="266"/>
      <c r="CT918" s="266"/>
      <c r="CU918" s="266"/>
      <c r="CV918" s="266"/>
      <c r="CW918" s="266"/>
      <c r="CX918" s="266"/>
      <c r="CY918" s="266"/>
      <c r="CZ918" s="266"/>
      <c r="DA918" s="266"/>
      <c r="DB918" s="266"/>
      <c r="DC918" s="266"/>
      <c r="DD918" s="266"/>
      <c r="DE918" s="266"/>
      <c r="DF918" s="266"/>
      <c r="DG918" s="266"/>
      <c r="DH918" s="266"/>
      <c r="DI918" s="266"/>
      <c r="DJ918" s="266"/>
      <c r="DK918" s="266"/>
      <c r="DL918" s="266"/>
      <c r="DM918" s="266"/>
      <c r="DN918" s="266"/>
      <c r="DO918" s="266"/>
      <c r="DP918" s="266"/>
      <c r="DQ918" s="266"/>
      <c r="DR918" s="266"/>
      <c r="DS918" s="266"/>
    </row>
    <row r="919" spans="11:123">
      <c r="K919" s="266"/>
      <c r="L919" s="266"/>
      <c r="M919" s="266"/>
      <c r="N919" s="266"/>
      <c r="O919" s="266"/>
      <c r="P919" s="266"/>
      <c r="Q919" s="266"/>
      <c r="BR919" s="266"/>
      <c r="BS919" s="266"/>
      <c r="BT919" s="266"/>
      <c r="BU919" s="266"/>
      <c r="BV919" s="266"/>
      <c r="CJ919" s="266"/>
      <c r="CO919" s="266"/>
      <c r="CP919" s="266"/>
      <c r="CQ919" s="266"/>
      <c r="CR919" s="266"/>
      <c r="CS919" s="266"/>
      <c r="CT919" s="266"/>
      <c r="CU919" s="266"/>
      <c r="CV919" s="266"/>
      <c r="CW919" s="266"/>
      <c r="CX919" s="266"/>
      <c r="CY919" s="266"/>
      <c r="CZ919" s="266"/>
      <c r="DA919" s="266"/>
      <c r="DB919" s="266"/>
      <c r="DC919" s="266"/>
      <c r="DD919" s="266"/>
      <c r="DE919" s="266"/>
      <c r="DF919" s="266"/>
      <c r="DG919" s="266"/>
      <c r="DH919" s="266"/>
      <c r="DI919" s="266"/>
      <c r="DJ919" s="266"/>
      <c r="DK919" s="266"/>
      <c r="DL919" s="266"/>
      <c r="DM919" s="266"/>
      <c r="DN919" s="266"/>
      <c r="DO919" s="266"/>
      <c r="DP919" s="266"/>
      <c r="DQ919" s="266"/>
      <c r="DR919" s="266"/>
      <c r="DS919" s="266"/>
    </row>
    <row r="920" spans="11:123">
      <c r="K920" s="266"/>
      <c r="L920" s="266"/>
      <c r="M920" s="266"/>
      <c r="N920" s="266"/>
      <c r="O920" s="266"/>
      <c r="P920" s="266"/>
      <c r="Q920" s="266"/>
      <c r="BR920" s="266"/>
      <c r="BS920" s="266"/>
      <c r="BT920" s="266"/>
      <c r="BU920" s="266"/>
      <c r="BV920" s="266"/>
      <c r="CJ920" s="266"/>
      <c r="CO920" s="266"/>
      <c r="CP920" s="266"/>
      <c r="CQ920" s="266"/>
      <c r="CR920" s="266"/>
      <c r="CS920" s="266"/>
      <c r="CT920" s="266"/>
      <c r="CU920" s="266"/>
      <c r="CV920" s="266"/>
      <c r="CW920" s="266"/>
      <c r="CX920" s="266"/>
      <c r="CY920" s="266"/>
      <c r="CZ920" s="266"/>
      <c r="DA920" s="266"/>
      <c r="DB920" s="266"/>
      <c r="DC920" s="266"/>
      <c r="DD920" s="266"/>
      <c r="DE920" s="266"/>
      <c r="DF920" s="266"/>
      <c r="DG920" s="266"/>
      <c r="DH920" s="266"/>
      <c r="DI920" s="266"/>
      <c r="DJ920" s="266"/>
      <c r="DK920" s="266"/>
      <c r="DL920" s="266"/>
      <c r="DM920" s="266"/>
      <c r="DN920" s="266"/>
      <c r="DO920" s="266"/>
      <c r="DP920" s="266"/>
      <c r="DQ920" s="266"/>
      <c r="DR920" s="266"/>
      <c r="DS920" s="266"/>
    </row>
    <row r="921" spans="11:123">
      <c r="K921" s="266"/>
      <c r="L921" s="266"/>
      <c r="M921" s="266"/>
      <c r="N921" s="266"/>
      <c r="O921" s="266"/>
      <c r="P921" s="266"/>
      <c r="Q921" s="266"/>
      <c r="BR921" s="266"/>
      <c r="BS921" s="266"/>
      <c r="BT921" s="266"/>
      <c r="BU921" s="266"/>
      <c r="BV921" s="266"/>
      <c r="CJ921" s="266"/>
      <c r="CO921" s="266"/>
      <c r="CP921" s="266"/>
      <c r="CQ921" s="266"/>
      <c r="CR921" s="266"/>
      <c r="CS921" s="266"/>
      <c r="CT921" s="266"/>
      <c r="CU921" s="266"/>
      <c r="CV921" s="266"/>
      <c r="CW921" s="266"/>
      <c r="CX921" s="266"/>
      <c r="CY921" s="266"/>
      <c r="CZ921" s="266"/>
      <c r="DA921" s="266"/>
      <c r="DB921" s="266"/>
      <c r="DC921" s="266"/>
      <c r="DD921" s="266"/>
      <c r="DE921" s="266"/>
      <c r="DF921" s="266"/>
      <c r="DG921" s="266"/>
      <c r="DH921" s="266"/>
      <c r="DI921" s="266"/>
      <c r="DJ921" s="266"/>
      <c r="DK921" s="266"/>
      <c r="DL921" s="266"/>
      <c r="DM921" s="266"/>
      <c r="DN921" s="266"/>
      <c r="DO921" s="266"/>
      <c r="DP921" s="266"/>
      <c r="DQ921" s="266"/>
      <c r="DR921" s="266"/>
      <c r="DS921" s="266"/>
    </row>
    <row r="922" spans="11:123">
      <c r="K922" s="266"/>
      <c r="L922" s="266"/>
      <c r="M922" s="266"/>
      <c r="N922" s="266"/>
      <c r="O922" s="266"/>
      <c r="P922" s="266"/>
      <c r="Q922" s="266"/>
      <c r="BR922" s="266"/>
      <c r="BS922" s="266"/>
      <c r="BT922" s="266"/>
      <c r="BU922" s="266"/>
      <c r="BV922" s="266"/>
      <c r="CJ922" s="266"/>
      <c r="CO922" s="266"/>
      <c r="CP922" s="266"/>
      <c r="CQ922" s="266"/>
      <c r="CR922" s="266"/>
      <c r="CS922" s="266"/>
      <c r="CT922" s="266"/>
      <c r="CU922" s="266"/>
      <c r="CV922" s="266"/>
      <c r="CW922" s="266"/>
      <c r="CX922" s="266"/>
      <c r="CY922" s="266"/>
      <c r="CZ922" s="266"/>
      <c r="DA922" s="266"/>
      <c r="DB922" s="266"/>
      <c r="DC922" s="266"/>
      <c r="DD922" s="266"/>
      <c r="DE922" s="266"/>
      <c r="DF922" s="266"/>
      <c r="DG922" s="266"/>
      <c r="DH922" s="266"/>
      <c r="DI922" s="266"/>
      <c r="DJ922" s="266"/>
      <c r="DK922" s="266"/>
      <c r="DL922" s="266"/>
      <c r="DM922" s="266"/>
      <c r="DN922" s="266"/>
      <c r="DO922" s="266"/>
      <c r="DP922" s="266"/>
      <c r="DQ922" s="266"/>
      <c r="DR922" s="266"/>
      <c r="DS922" s="266"/>
    </row>
    <row r="923" spans="11:123">
      <c r="K923" s="266"/>
      <c r="L923" s="266"/>
      <c r="M923" s="266"/>
      <c r="N923" s="266"/>
      <c r="O923" s="266"/>
      <c r="P923" s="266"/>
      <c r="Q923" s="266"/>
      <c r="BR923" s="266"/>
      <c r="BS923" s="266"/>
      <c r="BT923" s="266"/>
      <c r="BU923" s="266"/>
      <c r="BV923" s="266"/>
      <c r="CJ923" s="266"/>
      <c r="CO923" s="266"/>
      <c r="CP923" s="266"/>
      <c r="CQ923" s="266"/>
      <c r="CR923" s="266"/>
      <c r="CS923" s="266"/>
      <c r="CT923" s="266"/>
      <c r="CU923" s="266"/>
      <c r="CV923" s="266"/>
      <c r="CW923" s="266"/>
      <c r="CX923" s="266"/>
      <c r="CY923" s="266"/>
      <c r="CZ923" s="266"/>
      <c r="DA923" s="266"/>
      <c r="DB923" s="266"/>
      <c r="DC923" s="266"/>
      <c r="DD923" s="266"/>
      <c r="DE923" s="266"/>
      <c r="DF923" s="266"/>
      <c r="DG923" s="266"/>
      <c r="DH923" s="266"/>
      <c r="DI923" s="266"/>
      <c r="DJ923" s="266"/>
      <c r="DK923" s="266"/>
      <c r="DL923" s="266"/>
      <c r="DM923" s="266"/>
      <c r="DN923" s="266"/>
      <c r="DO923" s="266"/>
      <c r="DP923" s="266"/>
      <c r="DQ923" s="266"/>
      <c r="DR923" s="266"/>
      <c r="DS923" s="266"/>
    </row>
    <row r="924" spans="11:123">
      <c r="K924" s="266"/>
      <c r="L924" s="266"/>
      <c r="M924" s="266"/>
      <c r="N924" s="266"/>
      <c r="O924" s="266"/>
      <c r="P924" s="266"/>
      <c r="Q924" s="266"/>
      <c r="BR924" s="266"/>
      <c r="BS924" s="266"/>
      <c r="BT924" s="266"/>
      <c r="BU924" s="266"/>
      <c r="BV924" s="266"/>
      <c r="CJ924" s="266"/>
      <c r="CO924" s="266"/>
      <c r="CP924" s="266"/>
      <c r="CQ924" s="266"/>
      <c r="CR924" s="266"/>
      <c r="CS924" s="266"/>
      <c r="CT924" s="266"/>
      <c r="CU924" s="266"/>
      <c r="CV924" s="266"/>
      <c r="CW924" s="266"/>
      <c r="CX924" s="266"/>
      <c r="CY924" s="266"/>
      <c r="CZ924" s="266"/>
      <c r="DA924" s="266"/>
      <c r="DB924" s="266"/>
      <c r="DC924" s="266"/>
      <c r="DD924" s="266"/>
      <c r="DE924" s="266"/>
      <c r="DF924" s="266"/>
      <c r="DG924" s="266"/>
      <c r="DH924" s="266"/>
      <c r="DI924" s="266"/>
      <c r="DJ924" s="266"/>
      <c r="DK924" s="266"/>
      <c r="DL924" s="266"/>
      <c r="DM924" s="266"/>
      <c r="DN924" s="266"/>
      <c r="DO924" s="266"/>
      <c r="DP924" s="266"/>
      <c r="DQ924" s="266"/>
      <c r="DR924" s="266"/>
      <c r="DS924" s="266"/>
    </row>
    <row r="925" spans="11:123">
      <c r="K925" s="266"/>
      <c r="L925" s="266"/>
      <c r="M925" s="266"/>
      <c r="N925" s="266"/>
      <c r="O925" s="266"/>
      <c r="P925" s="266"/>
      <c r="Q925" s="266"/>
      <c r="BR925" s="266"/>
      <c r="BS925" s="266"/>
      <c r="BT925" s="266"/>
      <c r="BU925" s="266"/>
      <c r="BV925" s="266"/>
      <c r="CJ925" s="266"/>
      <c r="CO925" s="266"/>
      <c r="CP925" s="266"/>
      <c r="CQ925" s="266"/>
      <c r="CR925" s="266"/>
      <c r="CS925" s="266"/>
      <c r="CT925" s="266"/>
      <c r="CU925" s="266"/>
      <c r="CV925" s="266"/>
      <c r="CW925" s="266"/>
      <c r="CX925" s="266"/>
      <c r="CY925" s="266"/>
      <c r="CZ925" s="266"/>
      <c r="DA925" s="266"/>
      <c r="DB925" s="266"/>
      <c r="DC925" s="266"/>
      <c r="DD925" s="266"/>
      <c r="DE925" s="266"/>
      <c r="DF925" s="266"/>
      <c r="DG925" s="266"/>
      <c r="DH925" s="266"/>
      <c r="DI925" s="266"/>
      <c r="DJ925" s="266"/>
      <c r="DK925" s="266"/>
      <c r="DL925" s="266"/>
      <c r="DM925" s="266"/>
      <c r="DN925" s="266"/>
      <c r="DO925" s="266"/>
      <c r="DP925" s="266"/>
      <c r="DQ925" s="266"/>
      <c r="DR925" s="266"/>
      <c r="DS925" s="266"/>
    </row>
    <row r="926" spans="11:123">
      <c r="K926" s="266"/>
      <c r="L926" s="266"/>
      <c r="M926" s="266"/>
      <c r="N926" s="266"/>
      <c r="O926" s="266"/>
      <c r="P926" s="266"/>
      <c r="Q926" s="266"/>
      <c r="BR926" s="266"/>
      <c r="BS926" s="266"/>
      <c r="BT926" s="266"/>
      <c r="BU926" s="266"/>
      <c r="BV926" s="266"/>
      <c r="CJ926" s="266"/>
      <c r="CO926" s="266"/>
      <c r="CP926" s="266"/>
      <c r="CQ926" s="266"/>
      <c r="CR926" s="266"/>
      <c r="CS926" s="266"/>
      <c r="CT926" s="266"/>
      <c r="CU926" s="266"/>
      <c r="CV926" s="266"/>
      <c r="CW926" s="266"/>
      <c r="CX926" s="266"/>
      <c r="CY926" s="266"/>
      <c r="CZ926" s="266"/>
      <c r="DA926" s="266"/>
      <c r="DB926" s="266"/>
      <c r="DC926" s="266"/>
      <c r="DD926" s="266"/>
      <c r="DE926" s="266"/>
      <c r="DF926" s="266"/>
      <c r="DG926" s="266"/>
      <c r="DH926" s="266"/>
      <c r="DI926" s="266"/>
      <c r="DJ926" s="266"/>
      <c r="DK926" s="266"/>
      <c r="DL926" s="266"/>
      <c r="DM926" s="266"/>
      <c r="DN926" s="266"/>
      <c r="DO926" s="266"/>
      <c r="DP926" s="266"/>
      <c r="DQ926" s="266"/>
      <c r="DR926" s="266"/>
      <c r="DS926" s="266"/>
    </row>
    <row r="927" spans="11:123">
      <c r="K927" s="266"/>
      <c r="L927" s="266"/>
      <c r="M927" s="266"/>
      <c r="N927" s="266"/>
      <c r="O927" s="266"/>
      <c r="P927" s="266"/>
      <c r="Q927" s="266"/>
      <c r="BR927" s="266"/>
      <c r="BS927" s="266"/>
      <c r="BT927" s="266"/>
      <c r="BU927" s="266"/>
      <c r="BV927" s="266"/>
      <c r="CJ927" s="266"/>
      <c r="CO927" s="266"/>
      <c r="CP927" s="266"/>
      <c r="CQ927" s="266"/>
      <c r="CR927" s="266"/>
      <c r="CS927" s="266"/>
      <c r="CT927" s="266"/>
      <c r="CU927" s="266"/>
      <c r="CV927" s="266"/>
      <c r="CW927" s="266"/>
      <c r="CX927" s="266"/>
      <c r="CY927" s="266"/>
      <c r="CZ927" s="266"/>
      <c r="DA927" s="266"/>
      <c r="DB927" s="266"/>
      <c r="DC927" s="266"/>
      <c r="DD927" s="266"/>
      <c r="DE927" s="266"/>
      <c r="DF927" s="266"/>
      <c r="DG927" s="266"/>
      <c r="DH927" s="266"/>
      <c r="DI927" s="266"/>
      <c r="DJ927" s="266"/>
      <c r="DK927" s="266"/>
      <c r="DL927" s="266"/>
      <c r="DM927" s="266"/>
      <c r="DN927" s="266"/>
      <c r="DO927" s="266"/>
      <c r="DP927" s="266"/>
      <c r="DQ927" s="266"/>
      <c r="DR927" s="266"/>
      <c r="DS927" s="266"/>
    </row>
    <row r="928" spans="11:123">
      <c r="K928" s="266"/>
      <c r="L928" s="266"/>
      <c r="M928" s="266"/>
      <c r="N928" s="266"/>
      <c r="O928" s="266"/>
      <c r="P928" s="266"/>
      <c r="Q928" s="266"/>
      <c r="BR928" s="266"/>
      <c r="BS928" s="266"/>
      <c r="BT928" s="266"/>
      <c r="BU928" s="266"/>
      <c r="BV928" s="266"/>
      <c r="CJ928" s="266"/>
      <c r="CO928" s="266"/>
      <c r="CP928" s="266"/>
      <c r="CQ928" s="266"/>
      <c r="CR928" s="266"/>
      <c r="CS928" s="266"/>
      <c r="CT928" s="266"/>
      <c r="CU928" s="266"/>
      <c r="CV928" s="266"/>
      <c r="CW928" s="266"/>
      <c r="CX928" s="266"/>
      <c r="CY928" s="266"/>
      <c r="CZ928" s="266"/>
      <c r="DA928" s="266"/>
      <c r="DB928" s="266"/>
      <c r="DC928" s="266"/>
      <c r="DD928" s="266"/>
      <c r="DE928" s="266"/>
      <c r="DF928" s="266"/>
      <c r="DG928" s="266"/>
      <c r="DH928" s="266"/>
      <c r="DI928" s="266"/>
      <c r="DJ928" s="266"/>
      <c r="DK928" s="266"/>
      <c r="DL928" s="266"/>
      <c r="DM928" s="266"/>
      <c r="DN928" s="266"/>
      <c r="DO928" s="266"/>
      <c r="DP928" s="266"/>
      <c r="DQ928" s="266"/>
      <c r="DR928" s="266"/>
      <c r="DS928" s="266"/>
    </row>
    <row r="929" spans="11:123">
      <c r="K929" s="266"/>
      <c r="L929" s="266"/>
      <c r="M929" s="266"/>
      <c r="N929" s="266"/>
      <c r="O929" s="266"/>
      <c r="P929" s="266"/>
      <c r="Q929" s="266"/>
      <c r="BR929" s="266"/>
      <c r="BS929" s="266"/>
      <c r="BT929" s="266"/>
      <c r="BU929" s="266"/>
      <c r="BV929" s="266"/>
      <c r="CJ929" s="266"/>
      <c r="CO929" s="266"/>
      <c r="CP929" s="266"/>
      <c r="CQ929" s="266"/>
      <c r="CR929" s="266"/>
      <c r="CS929" s="266"/>
      <c r="CT929" s="266"/>
      <c r="CU929" s="266"/>
      <c r="CV929" s="266"/>
      <c r="CW929" s="266"/>
      <c r="CX929" s="266"/>
      <c r="CY929" s="266"/>
      <c r="CZ929" s="266"/>
      <c r="DA929" s="266"/>
      <c r="DB929" s="266"/>
      <c r="DC929" s="266"/>
      <c r="DD929" s="266"/>
      <c r="DE929" s="266"/>
      <c r="DF929" s="266"/>
      <c r="DG929" s="266"/>
      <c r="DH929" s="266"/>
      <c r="DI929" s="266"/>
      <c r="DJ929" s="266"/>
      <c r="DK929" s="266"/>
      <c r="DL929" s="266"/>
      <c r="DM929" s="266"/>
      <c r="DN929" s="266"/>
      <c r="DO929" s="266"/>
      <c r="DP929" s="266"/>
      <c r="DQ929" s="266"/>
      <c r="DR929" s="266"/>
      <c r="DS929" s="266"/>
    </row>
    <row r="930" spans="11:123">
      <c r="K930" s="266"/>
      <c r="L930" s="266"/>
      <c r="M930" s="266"/>
      <c r="N930" s="266"/>
      <c r="O930" s="266"/>
      <c r="P930" s="266"/>
      <c r="Q930" s="266"/>
      <c r="BR930" s="266"/>
      <c r="BS930" s="266"/>
      <c r="BT930" s="266"/>
      <c r="BU930" s="266"/>
      <c r="BV930" s="266"/>
      <c r="CJ930" s="266"/>
      <c r="CO930" s="266"/>
      <c r="CP930" s="266"/>
      <c r="CQ930" s="266"/>
      <c r="CR930" s="266"/>
      <c r="CS930" s="266"/>
      <c r="CT930" s="266"/>
      <c r="CU930" s="266"/>
      <c r="CV930" s="266"/>
      <c r="CW930" s="266"/>
      <c r="CX930" s="266"/>
      <c r="CY930" s="266"/>
      <c r="CZ930" s="266"/>
      <c r="DA930" s="266"/>
      <c r="DB930" s="266"/>
      <c r="DC930" s="266"/>
      <c r="DD930" s="266"/>
      <c r="DE930" s="266"/>
      <c r="DF930" s="266"/>
      <c r="DG930" s="266"/>
      <c r="DH930" s="266"/>
      <c r="DI930" s="266"/>
      <c r="DJ930" s="266"/>
      <c r="DK930" s="266"/>
      <c r="DL930" s="266"/>
      <c r="DM930" s="266"/>
      <c r="DN930" s="266"/>
      <c r="DO930" s="266"/>
      <c r="DP930" s="266"/>
      <c r="DQ930" s="266"/>
      <c r="DR930" s="266"/>
      <c r="DS930" s="266"/>
    </row>
    <row r="931" spans="11:123">
      <c r="K931" s="266"/>
      <c r="L931" s="266"/>
      <c r="M931" s="266"/>
      <c r="N931" s="266"/>
      <c r="O931" s="266"/>
      <c r="P931" s="266"/>
      <c r="Q931" s="266"/>
      <c r="BR931" s="266"/>
      <c r="BS931" s="266"/>
      <c r="BT931" s="266"/>
      <c r="BU931" s="266"/>
      <c r="BV931" s="266"/>
      <c r="CJ931" s="266"/>
      <c r="CO931" s="266"/>
      <c r="CP931" s="266"/>
      <c r="CQ931" s="266"/>
      <c r="CR931" s="266"/>
      <c r="CS931" s="266"/>
      <c r="CT931" s="266"/>
      <c r="CU931" s="266"/>
      <c r="CV931" s="266"/>
      <c r="CW931" s="266"/>
      <c r="CX931" s="266"/>
      <c r="CY931" s="266"/>
      <c r="CZ931" s="266"/>
      <c r="DA931" s="266"/>
      <c r="DB931" s="266"/>
      <c r="DC931" s="266"/>
      <c r="DD931" s="266"/>
      <c r="DE931" s="266"/>
      <c r="DF931" s="266"/>
      <c r="DG931" s="266"/>
      <c r="DH931" s="266"/>
      <c r="DI931" s="266"/>
      <c r="DJ931" s="266"/>
      <c r="DK931" s="266"/>
      <c r="DL931" s="266"/>
      <c r="DM931" s="266"/>
      <c r="DN931" s="266"/>
      <c r="DO931" s="266"/>
      <c r="DP931" s="266"/>
      <c r="DQ931" s="266"/>
      <c r="DR931" s="266"/>
      <c r="DS931" s="266"/>
    </row>
    <row r="932" spans="11:123">
      <c r="K932" s="266"/>
      <c r="L932" s="266"/>
      <c r="M932" s="266"/>
      <c r="N932" s="266"/>
      <c r="O932" s="266"/>
      <c r="P932" s="266"/>
      <c r="Q932" s="266"/>
      <c r="BR932" s="266"/>
      <c r="BS932" s="266"/>
      <c r="BT932" s="266"/>
      <c r="BU932" s="266"/>
      <c r="BV932" s="266"/>
      <c r="CJ932" s="266"/>
      <c r="CO932" s="266"/>
      <c r="CP932" s="266"/>
      <c r="CQ932" s="266"/>
      <c r="CR932" s="266"/>
      <c r="CS932" s="266"/>
      <c r="CT932" s="266"/>
      <c r="CU932" s="266"/>
      <c r="CV932" s="266"/>
      <c r="CW932" s="266"/>
      <c r="CX932" s="266"/>
      <c r="CY932" s="266"/>
      <c r="CZ932" s="266"/>
      <c r="DA932" s="266"/>
      <c r="DB932" s="266"/>
      <c r="DC932" s="266"/>
      <c r="DD932" s="266"/>
      <c r="DE932" s="266"/>
      <c r="DF932" s="266"/>
      <c r="DG932" s="266"/>
      <c r="DH932" s="266"/>
      <c r="DI932" s="266"/>
      <c r="DJ932" s="266"/>
      <c r="DK932" s="266"/>
      <c r="DL932" s="266"/>
      <c r="DM932" s="266"/>
      <c r="DN932" s="266"/>
      <c r="DO932" s="266"/>
      <c r="DP932" s="266"/>
      <c r="DQ932" s="266"/>
      <c r="DR932" s="266"/>
      <c r="DS932" s="266"/>
    </row>
    <row r="933" spans="11:123">
      <c r="K933" s="266"/>
      <c r="L933" s="266"/>
      <c r="M933" s="266"/>
      <c r="N933" s="266"/>
      <c r="O933" s="266"/>
      <c r="P933" s="266"/>
      <c r="Q933" s="266"/>
      <c r="BR933" s="266"/>
      <c r="BS933" s="266"/>
      <c r="BT933" s="266"/>
      <c r="BU933" s="266"/>
      <c r="BV933" s="266"/>
      <c r="CJ933" s="266"/>
      <c r="CO933" s="266"/>
      <c r="CP933" s="266"/>
      <c r="CQ933" s="266"/>
      <c r="CR933" s="266"/>
      <c r="CS933" s="266"/>
      <c r="CT933" s="266"/>
      <c r="CU933" s="266"/>
      <c r="CV933" s="266"/>
      <c r="CW933" s="266"/>
      <c r="CX933" s="266"/>
      <c r="CY933" s="266"/>
      <c r="CZ933" s="266"/>
      <c r="DA933" s="266"/>
      <c r="DB933" s="266"/>
      <c r="DC933" s="266"/>
      <c r="DD933" s="266"/>
      <c r="DE933" s="266"/>
      <c r="DF933" s="266"/>
      <c r="DG933" s="266"/>
      <c r="DH933" s="266"/>
      <c r="DI933" s="266"/>
      <c r="DJ933" s="266"/>
      <c r="DK933" s="266"/>
      <c r="DL933" s="266"/>
      <c r="DM933" s="266"/>
      <c r="DN933" s="266"/>
      <c r="DO933" s="266"/>
      <c r="DP933" s="266"/>
      <c r="DQ933" s="266"/>
      <c r="DR933" s="266"/>
      <c r="DS933" s="266"/>
    </row>
    <row r="934" spans="11:123">
      <c r="K934" s="266"/>
      <c r="L934" s="266"/>
      <c r="M934" s="266"/>
      <c r="N934" s="266"/>
      <c r="O934" s="266"/>
      <c r="P934" s="266"/>
      <c r="Q934" s="266"/>
      <c r="BR934" s="266"/>
      <c r="BS934" s="266"/>
      <c r="BT934" s="266"/>
      <c r="BU934" s="266"/>
      <c r="BV934" s="266"/>
      <c r="CJ934" s="266"/>
      <c r="CO934" s="266"/>
      <c r="CP934" s="266"/>
      <c r="CQ934" s="266"/>
      <c r="CR934" s="266"/>
      <c r="CS934" s="266"/>
      <c r="CT934" s="266"/>
      <c r="CU934" s="266"/>
      <c r="CV934" s="266"/>
      <c r="CW934" s="266"/>
      <c r="CX934" s="266"/>
      <c r="CY934" s="266"/>
      <c r="CZ934" s="266"/>
      <c r="DA934" s="266"/>
      <c r="DB934" s="266"/>
      <c r="DC934" s="266"/>
      <c r="DD934" s="266"/>
      <c r="DE934" s="266"/>
      <c r="DF934" s="266"/>
      <c r="DG934" s="266"/>
      <c r="DH934" s="266"/>
      <c r="DI934" s="266"/>
      <c r="DJ934" s="266"/>
      <c r="DK934" s="266"/>
      <c r="DL934" s="266"/>
      <c r="DM934" s="266"/>
      <c r="DN934" s="266"/>
      <c r="DO934" s="266"/>
      <c r="DP934" s="266"/>
      <c r="DQ934" s="266"/>
      <c r="DR934" s="266"/>
      <c r="DS934" s="266"/>
    </row>
    <row r="935" spans="11:123">
      <c r="K935" s="266"/>
      <c r="L935" s="266"/>
      <c r="M935" s="266"/>
      <c r="N935" s="266"/>
      <c r="O935" s="266"/>
      <c r="P935" s="266"/>
      <c r="Q935" s="266"/>
      <c r="BR935" s="266"/>
      <c r="BS935" s="266"/>
      <c r="BT935" s="266"/>
      <c r="BU935" s="266"/>
      <c r="BV935" s="266"/>
      <c r="CJ935" s="266"/>
      <c r="CO935" s="266"/>
      <c r="CP935" s="266"/>
      <c r="CQ935" s="266"/>
      <c r="CR935" s="266"/>
      <c r="CS935" s="266"/>
      <c r="CT935" s="266"/>
      <c r="CU935" s="266"/>
      <c r="CV935" s="266"/>
      <c r="CW935" s="266"/>
      <c r="CX935" s="266"/>
      <c r="CY935" s="266"/>
      <c r="CZ935" s="266"/>
      <c r="DA935" s="266"/>
      <c r="DB935" s="266"/>
      <c r="DC935" s="266"/>
      <c r="DD935" s="266"/>
      <c r="DE935" s="266"/>
      <c r="DF935" s="266"/>
      <c r="DG935" s="266"/>
      <c r="DH935" s="266"/>
      <c r="DI935" s="266"/>
      <c r="DJ935" s="266"/>
      <c r="DK935" s="266"/>
      <c r="DL935" s="266"/>
      <c r="DM935" s="266"/>
      <c r="DN935" s="266"/>
      <c r="DO935" s="266"/>
      <c r="DP935" s="266"/>
      <c r="DQ935" s="266"/>
      <c r="DR935" s="266"/>
      <c r="DS935" s="266"/>
    </row>
    <row r="936" spans="11:123">
      <c r="K936" s="266"/>
      <c r="L936" s="266"/>
      <c r="M936" s="266"/>
      <c r="N936" s="266"/>
      <c r="O936" s="266"/>
      <c r="P936" s="266"/>
      <c r="Q936" s="266"/>
      <c r="BR936" s="266"/>
      <c r="BS936" s="266"/>
      <c r="BT936" s="266"/>
      <c r="BU936" s="266"/>
      <c r="BV936" s="266"/>
      <c r="CJ936" s="266"/>
      <c r="CO936" s="266"/>
      <c r="CP936" s="266"/>
      <c r="CQ936" s="266"/>
      <c r="CR936" s="266"/>
      <c r="CS936" s="266"/>
      <c r="CT936" s="266"/>
      <c r="CU936" s="266"/>
      <c r="CV936" s="266"/>
      <c r="CW936" s="266"/>
      <c r="CX936" s="266"/>
      <c r="CY936" s="266"/>
      <c r="CZ936" s="266"/>
      <c r="DA936" s="266"/>
      <c r="DB936" s="266"/>
      <c r="DC936" s="266"/>
      <c r="DD936" s="266"/>
      <c r="DE936" s="266"/>
      <c r="DF936" s="266"/>
      <c r="DG936" s="266"/>
      <c r="DH936" s="266"/>
      <c r="DI936" s="266"/>
      <c r="DJ936" s="266"/>
      <c r="DK936" s="266"/>
      <c r="DL936" s="266"/>
      <c r="DM936" s="266"/>
      <c r="DN936" s="266"/>
      <c r="DO936" s="266"/>
      <c r="DP936" s="266"/>
      <c r="DQ936" s="266"/>
      <c r="DR936" s="266"/>
      <c r="DS936" s="266"/>
    </row>
    <row r="937" spans="11:123">
      <c r="K937" s="266"/>
      <c r="L937" s="266"/>
      <c r="M937" s="266"/>
      <c r="N937" s="266"/>
      <c r="O937" s="266"/>
      <c r="P937" s="266"/>
      <c r="Q937" s="266"/>
      <c r="BR937" s="266"/>
      <c r="BS937" s="266"/>
      <c r="BT937" s="266"/>
      <c r="BU937" s="266"/>
      <c r="BV937" s="266"/>
      <c r="CJ937" s="266"/>
      <c r="CO937" s="266"/>
      <c r="CP937" s="266"/>
      <c r="CQ937" s="266"/>
      <c r="CR937" s="266"/>
      <c r="CS937" s="266"/>
      <c r="CT937" s="266"/>
      <c r="CU937" s="266"/>
      <c r="CV937" s="266"/>
      <c r="CW937" s="266"/>
      <c r="CX937" s="266"/>
      <c r="CY937" s="266"/>
      <c r="CZ937" s="266"/>
      <c r="DA937" s="266"/>
      <c r="DB937" s="266"/>
      <c r="DC937" s="266"/>
      <c r="DD937" s="266"/>
      <c r="DE937" s="266"/>
      <c r="DF937" s="266"/>
      <c r="DG937" s="266"/>
      <c r="DH937" s="266"/>
      <c r="DI937" s="266"/>
      <c r="DJ937" s="266"/>
      <c r="DK937" s="266"/>
      <c r="DL937" s="266"/>
      <c r="DM937" s="266"/>
      <c r="DN937" s="266"/>
      <c r="DO937" s="266"/>
      <c r="DP937" s="266"/>
      <c r="DQ937" s="266"/>
      <c r="DR937" s="266"/>
      <c r="DS937" s="266"/>
    </row>
    <row r="938" spans="11:123">
      <c r="K938" s="266"/>
      <c r="L938" s="266"/>
      <c r="M938" s="266"/>
      <c r="N938" s="266"/>
      <c r="O938" s="266"/>
      <c r="P938" s="266"/>
      <c r="Q938" s="266"/>
      <c r="BR938" s="266"/>
      <c r="BS938" s="266"/>
      <c r="BT938" s="266"/>
      <c r="BU938" s="266"/>
      <c r="BV938" s="266"/>
      <c r="CJ938" s="266"/>
      <c r="CO938" s="266"/>
      <c r="CP938" s="266"/>
      <c r="CQ938" s="266"/>
      <c r="CR938" s="266"/>
      <c r="CS938" s="266"/>
      <c r="CT938" s="266"/>
      <c r="CU938" s="266"/>
      <c r="CV938" s="266"/>
      <c r="CW938" s="266"/>
      <c r="CX938" s="266"/>
      <c r="CY938" s="266"/>
      <c r="CZ938" s="266"/>
      <c r="DA938" s="266"/>
      <c r="DB938" s="266"/>
      <c r="DC938" s="266"/>
      <c r="DD938" s="266"/>
      <c r="DE938" s="266"/>
      <c r="DF938" s="266"/>
      <c r="DG938" s="266"/>
      <c r="DH938" s="266"/>
      <c r="DI938" s="266"/>
      <c r="DJ938" s="266"/>
      <c r="DK938" s="266"/>
      <c r="DL938" s="266"/>
      <c r="DM938" s="266"/>
      <c r="DN938" s="266"/>
      <c r="DO938" s="266"/>
      <c r="DP938" s="266"/>
      <c r="DQ938" s="266"/>
      <c r="DR938" s="266"/>
      <c r="DS938" s="266"/>
    </row>
    <row r="939" spans="11:123">
      <c r="K939" s="266"/>
      <c r="L939" s="266"/>
      <c r="M939" s="266"/>
      <c r="N939" s="266"/>
      <c r="O939" s="266"/>
      <c r="P939" s="266"/>
      <c r="Q939" s="266"/>
      <c r="BR939" s="266"/>
      <c r="BS939" s="266"/>
      <c r="BT939" s="266"/>
      <c r="BU939" s="266"/>
      <c r="BV939" s="266"/>
      <c r="CJ939" s="266"/>
      <c r="CO939" s="266"/>
      <c r="CP939" s="266"/>
      <c r="CQ939" s="266"/>
      <c r="CR939" s="266"/>
      <c r="CS939" s="266"/>
      <c r="CT939" s="266"/>
      <c r="CU939" s="266"/>
      <c r="CV939" s="266"/>
      <c r="CW939" s="266"/>
      <c r="CX939" s="266"/>
      <c r="CY939" s="266"/>
      <c r="CZ939" s="266"/>
      <c r="DA939" s="266"/>
      <c r="DB939" s="266"/>
      <c r="DC939" s="266"/>
      <c r="DD939" s="266"/>
      <c r="DE939" s="266"/>
      <c r="DF939" s="266"/>
      <c r="DG939" s="266"/>
      <c r="DH939" s="266"/>
      <c r="DI939" s="266"/>
      <c r="DJ939" s="266"/>
      <c r="DK939" s="266"/>
      <c r="DL939" s="266"/>
      <c r="DM939" s="266"/>
      <c r="DN939" s="266"/>
      <c r="DO939" s="266"/>
      <c r="DP939" s="266"/>
      <c r="DQ939" s="266"/>
      <c r="DR939" s="266"/>
      <c r="DS939" s="266"/>
    </row>
    <row r="940" spans="11:123">
      <c r="K940" s="266"/>
      <c r="L940" s="266"/>
      <c r="M940" s="266"/>
      <c r="N940" s="266"/>
      <c r="O940" s="266"/>
      <c r="P940" s="266"/>
      <c r="Q940" s="266"/>
      <c r="BR940" s="266"/>
      <c r="BS940" s="266"/>
      <c r="BT940" s="266"/>
      <c r="BU940" s="266"/>
      <c r="BV940" s="266"/>
      <c r="CJ940" s="266"/>
      <c r="CO940" s="266"/>
      <c r="CP940" s="266"/>
      <c r="CQ940" s="266"/>
      <c r="CR940" s="266"/>
      <c r="CS940" s="266"/>
      <c r="CT940" s="266"/>
      <c r="CU940" s="266"/>
      <c r="CV940" s="266"/>
      <c r="CW940" s="266"/>
      <c r="CX940" s="266"/>
      <c r="CY940" s="266"/>
      <c r="CZ940" s="266"/>
      <c r="DA940" s="266"/>
      <c r="DB940" s="266"/>
      <c r="DC940" s="266"/>
      <c r="DD940" s="266"/>
      <c r="DE940" s="266"/>
      <c r="DF940" s="266"/>
      <c r="DG940" s="266"/>
      <c r="DH940" s="266"/>
      <c r="DI940" s="266"/>
      <c r="DJ940" s="266"/>
      <c r="DK940" s="266"/>
      <c r="DL940" s="266"/>
      <c r="DM940" s="266"/>
      <c r="DN940" s="266"/>
      <c r="DO940" s="266"/>
      <c r="DP940" s="266"/>
      <c r="DQ940" s="266"/>
      <c r="DR940" s="266"/>
      <c r="DS940" s="266"/>
    </row>
    <row r="941" spans="11:123">
      <c r="K941" s="266"/>
      <c r="L941" s="266"/>
      <c r="M941" s="266"/>
      <c r="N941" s="266"/>
      <c r="O941" s="266"/>
      <c r="P941" s="266"/>
      <c r="Q941" s="266"/>
      <c r="BR941" s="266"/>
      <c r="BS941" s="266"/>
      <c r="BT941" s="266"/>
      <c r="BU941" s="266"/>
      <c r="BV941" s="266"/>
      <c r="CJ941" s="266"/>
      <c r="CO941" s="266"/>
      <c r="CP941" s="266"/>
      <c r="CQ941" s="266"/>
      <c r="CR941" s="266"/>
      <c r="CS941" s="266"/>
      <c r="CT941" s="266"/>
      <c r="CU941" s="266"/>
      <c r="CV941" s="266"/>
      <c r="CW941" s="266"/>
      <c r="CX941" s="266"/>
      <c r="CY941" s="266"/>
      <c r="CZ941" s="266"/>
      <c r="DA941" s="266"/>
      <c r="DB941" s="266"/>
      <c r="DC941" s="266"/>
      <c r="DD941" s="266"/>
      <c r="DE941" s="266"/>
      <c r="DF941" s="266"/>
      <c r="DG941" s="266"/>
      <c r="DH941" s="266"/>
      <c r="DI941" s="266"/>
      <c r="DJ941" s="266"/>
      <c r="DK941" s="266"/>
      <c r="DL941" s="266"/>
      <c r="DM941" s="266"/>
      <c r="DN941" s="266"/>
      <c r="DO941" s="266"/>
      <c r="DP941" s="266"/>
      <c r="DQ941" s="266"/>
      <c r="DR941" s="266"/>
      <c r="DS941" s="266"/>
    </row>
    <row r="942" spans="11:123">
      <c r="K942" s="266"/>
      <c r="L942" s="266"/>
      <c r="M942" s="266"/>
      <c r="N942" s="266"/>
      <c r="O942" s="266"/>
      <c r="P942" s="266"/>
      <c r="Q942" s="266"/>
      <c r="BR942" s="266"/>
      <c r="BS942" s="266"/>
      <c r="BT942" s="266"/>
      <c r="BU942" s="266"/>
      <c r="BV942" s="266"/>
      <c r="CJ942" s="266"/>
      <c r="CO942" s="266"/>
      <c r="CP942" s="266"/>
      <c r="CQ942" s="266"/>
      <c r="CR942" s="266"/>
      <c r="CS942" s="266"/>
      <c r="CT942" s="266"/>
      <c r="CU942" s="266"/>
      <c r="CV942" s="266"/>
      <c r="CW942" s="266"/>
      <c r="CX942" s="266"/>
      <c r="CY942" s="266"/>
      <c r="CZ942" s="266"/>
      <c r="DA942" s="266"/>
      <c r="DB942" s="266"/>
      <c r="DC942" s="266"/>
      <c r="DD942" s="266"/>
      <c r="DE942" s="266"/>
      <c r="DF942" s="266"/>
      <c r="DG942" s="266"/>
      <c r="DH942" s="266"/>
      <c r="DI942" s="266"/>
      <c r="DJ942" s="266"/>
      <c r="DK942" s="266"/>
      <c r="DL942" s="266"/>
      <c r="DM942" s="266"/>
      <c r="DN942" s="266"/>
      <c r="DO942" s="266"/>
      <c r="DP942" s="266"/>
      <c r="DQ942" s="266"/>
      <c r="DR942" s="266"/>
      <c r="DS942" s="266"/>
    </row>
    <row r="943" spans="11:123">
      <c r="K943" s="266"/>
      <c r="L943" s="266"/>
      <c r="M943" s="266"/>
      <c r="N943" s="266"/>
      <c r="O943" s="266"/>
      <c r="P943" s="266"/>
      <c r="Q943" s="266"/>
      <c r="BR943" s="266"/>
      <c r="BS943" s="266"/>
      <c r="BT943" s="266"/>
      <c r="BU943" s="266"/>
      <c r="BV943" s="266"/>
      <c r="CJ943" s="266"/>
      <c r="CO943" s="266"/>
      <c r="CP943" s="266"/>
      <c r="CQ943" s="266"/>
      <c r="CR943" s="266"/>
      <c r="CS943" s="266"/>
      <c r="CT943" s="266"/>
      <c r="CU943" s="266"/>
      <c r="CV943" s="266"/>
      <c r="CW943" s="266"/>
      <c r="CX943" s="266"/>
      <c r="CY943" s="266"/>
      <c r="CZ943" s="266"/>
      <c r="DA943" s="266"/>
      <c r="DB943" s="266"/>
      <c r="DC943" s="266"/>
      <c r="DD943" s="266"/>
      <c r="DE943" s="266"/>
      <c r="DF943" s="266"/>
      <c r="DG943" s="266"/>
      <c r="DH943" s="266"/>
      <c r="DI943" s="266"/>
      <c r="DJ943" s="266"/>
      <c r="DK943" s="266"/>
      <c r="DL943" s="266"/>
      <c r="DM943" s="266"/>
      <c r="DN943" s="266"/>
      <c r="DO943" s="266"/>
      <c r="DP943" s="266"/>
      <c r="DQ943" s="266"/>
      <c r="DR943" s="266"/>
      <c r="DS943" s="266"/>
    </row>
    <row r="944" spans="11:123">
      <c r="K944" s="266"/>
      <c r="L944" s="266"/>
      <c r="M944" s="266"/>
      <c r="N944" s="266"/>
      <c r="O944" s="266"/>
      <c r="P944" s="266"/>
      <c r="Q944" s="266"/>
      <c r="BR944" s="266"/>
      <c r="BS944" s="266"/>
      <c r="BT944" s="266"/>
      <c r="BU944" s="266"/>
      <c r="BV944" s="266"/>
      <c r="CJ944" s="266"/>
      <c r="CO944" s="266"/>
      <c r="CP944" s="266"/>
      <c r="CQ944" s="266"/>
      <c r="CR944" s="266"/>
      <c r="CS944" s="266"/>
      <c r="CT944" s="266"/>
      <c r="CU944" s="266"/>
      <c r="CV944" s="266"/>
      <c r="CW944" s="266"/>
      <c r="CX944" s="266"/>
      <c r="CY944" s="266"/>
      <c r="CZ944" s="266"/>
      <c r="DA944" s="266"/>
      <c r="DB944" s="266"/>
      <c r="DC944" s="266"/>
      <c r="DD944" s="266"/>
      <c r="DE944" s="266"/>
      <c r="DF944" s="266"/>
      <c r="DG944" s="266"/>
      <c r="DH944" s="266"/>
      <c r="DI944" s="266"/>
      <c r="DJ944" s="266"/>
      <c r="DK944" s="266"/>
      <c r="DL944" s="266"/>
      <c r="DM944" s="266"/>
      <c r="DN944" s="266"/>
      <c r="DO944" s="266"/>
      <c r="DP944" s="266"/>
      <c r="DQ944" s="266"/>
      <c r="DR944" s="266"/>
      <c r="DS944" s="266"/>
    </row>
    <row r="945" spans="11:123">
      <c r="K945" s="266"/>
      <c r="L945" s="266"/>
      <c r="M945" s="266"/>
      <c r="N945" s="266"/>
      <c r="O945" s="266"/>
      <c r="P945" s="266"/>
      <c r="Q945" s="266"/>
      <c r="BR945" s="266"/>
      <c r="BS945" s="266"/>
      <c r="BT945" s="266"/>
      <c r="BU945" s="266"/>
      <c r="BV945" s="266"/>
      <c r="CJ945" s="266"/>
      <c r="CO945" s="266"/>
      <c r="CP945" s="266"/>
      <c r="CQ945" s="266"/>
      <c r="CR945" s="266"/>
      <c r="CS945" s="266"/>
      <c r="CT945" s="266"/>
      <c r="CU945" s="266"/>
      <c r="CV945" s="266"/>
      <c r="CW945" s="266"/>
      <c r="CX945" s="266"/>
      <c r="CY945" s="266"/>
      <c r="CZ945" s="266"/>
      <c r="DA945" s="266"/>
      <c r="DB945" s="266"/>
      <c r="DC945" s="266"/>
      <c r="DD945" s="266"/>
      <c r="DE945" s="266"/>
      <c r="DF945" s="266"/>
      <c r="DG945" s="266"/>
      <c r="DH945" s="266"/>
      <c r="DI945" s="266"/>
      <c r="DJ945" s="266"/>
      <c r="DK945" s="266"/>
      <c r="DL945" s="266"/>
      <c r="DM945" s="266"/>
      <c r="DN945" s="266"/>
      <c r="DO945" s="266"/>
      <c r="DP945" s="266"/>
      <c r="DQ945" s="266"/>
      <c r="DR945" s="266"/>
      <c r="DS945" s="266"/>
    </row>
    <row r="946" spans="11:123">
      <c r="K946" s="266"/>
      <c r="L946" s="266"/>
      <c r="M946" s="266"/>
      <c r="N946" s="266"/>
      <c r="O946" s="266"/>
      <c r="P946" s="266"/>
      <c r="Q946" s="266"/>
      <c r="BR946" s="266"/>
      <c r="BS946" s="266"/>
      <c r="BT946" s="266"/>
      <c r="BU946" s="266"/>
      <c r="BV946" s="266"/>
      <c r="CJ946" s="266"/>
      <c r="CO946" s="266"/>
      <c r="CP946" s="266"/>
      <c r="CQ946" s="266"/>
      <c r="CR946" s="266"/>
      <c r="CS946" s="266"/>
      <c r="CT946" s="266"/>
      <c r="CU946" s="266"/>
      <c r="CV946" s="266"/>
      <c r="CW946" s="266"/>
      <c r="CX946" s="266"/>
      <c r="CY946" s="266"/>
      <c r="CZ946" s="266"/>
      <c r="DA946" s="266"/>
      <c r="DB946" s="266"/>
      <c r="DC946" s="266"/>
      <c r="DD946" s="266"/>
      <c r="DE946" s="266"/>
      <c r="DF946" s="266"/>
      <c r="DG946" s="266"/>
      <c r="DH946" s="266"/>
      <c r="DI946" s="266"/>
      <c r="DJ946" s="266"/>
      <c r="DK946" s="266"/>
      <c r="DL946" s="266"/>
      <c r="DM946" s="266"/>
      <c r="DN946" s="266"/>
      <c r="DO946" s="266"/>
      <c r="DP946" s="266"/>
      <c r="DQ946" s="266"/>
      <c r="DR946" s="266"/>
      <c r="DS946" s="266"/>
    </row>
    <row r="947" spans="11:123">
      <c r="K947" s="266"/>
      <c r="L947" s="266"/>
      <c r="M947" s="266"/>
      <c r="N947" s="266"/>
      <c r="O947" s="266"/>
      <c r="P947" s="266"/>
      <c r="Q947" s="266"/>
      <c r="BR947" s="266"/>
      <c r="BS947" s="266"/>
      <c r="BT947" s="266"/>
      <c r="BU947" s="266"/>
      <c r="BV947" s="266"/>
      <c r="CJ947" s="266"/>
      <c r="CO947" s="266"/>
      <c r="CP947" s="266"/>
      <c r="CQ947" s="266"/>
      <c r="CR947" s="266"/>
      <c r="CS947" s="266"/>
      <c r="CT947" s="266"/>
      <c r="CU947" s="266"/>
      <c r="CV947" s="266"/>
      <c r="CW947" s="266"/>
      <c r="CX947" s="266"/>
      <c r="CY947" s="266"/>
      <c r="CZ947" s="266"/>
      <c r="DA947" s="266"/>
      <c r="DB947" s="266"/>
      <c r="DC947" s="266"/>
      <c r="DD947" s="266"/>
      <c r="DE947" s="266"/>
      <c r="DF947" s="266"/>
      <c r="DG947" s="266"/>
      <c r="DH947" s="266"/>
      <c r="DI947" s="266"/>
      <c r="DJ947" s="266"/>
      <c r="DK947" s="266"/>
      <c r="DL947" s="266"/>
      <c r="DM947" s="266"/>
      <c r="DN947" s="266"/>
      <c r="DO947" s="266"/>
      <c r="DP947" s="266"/>
      <c r="DQ947" s="266"/>
      <c r="DR947" s="266"/>
      <c r="DS947" s="266"/>
    </row>
    <row r="948" spans="11:123">
      <c r="K948" s="266"/>
      <c r="L948" s="266"/>
      <c r="M948" s="266"/>
      <c r="N948" s="266"/>
      <c r="O948" s="266"/>
      <c r="P948" s="266"/>
      <c r="Q948" s="266"/>
      <c r="BR948" s="266"/>
      <c r="BS948" s="266"/>
      <c r="BT948" s="266"/>
      <c r="BU948" s="266"/>
      <c r="BV948" s="266"/>
      <c r="CJ948" s="266"/>
      <c r="CO948" s="266"/>
      <c r="CP948" s="266"/>
      <c r="CQ948" s="266"/>
      <c r="CR948" s="266"/>
      <c r="CS948" s="266"/>
      <c r="CT948" s="266"/>
      <c r="CU948" s="266"/>
      <c r="CV948" s="266"/>
      <c r="CW948" s="266"/>
      <c r="CX948" s="266"/>
      <c r="CY948" s="266"/>
      <c r="CZ948" s="266"/>
      <c r="DA948" s="266"/>
      <c r="DB948" s="266"/>
      <c r="DC948" s="266"/>
      <c r="DD948" s="266"/>
      <c r="DE948" s="266"/>
      <c r="DF948" s="266"/>
      <c r="DG948" s="266"/>
      <c r="DH948" s="266"/>
      <c r="DI948" s="266"/>
      <c r="DJ948" s="266"/>
      <c r="DK948" s="266"/>
      <c r="DL948" s="266"/>
      <c r="DM948" s="266"/>
      <c r="DN948" s="266"/>
      <c r="DO948" s="266"/>
      <c r="DP948" s="266"/>
      <c r="DQ948" s="266"/>
      <c r="DR948" s="266"/>
      <c r="DS948" s="266"/>
    </row>
    <row r="949" spans="11:123">
      <c r="K949" s="266"/>
      <c r="L949" s="266"/>
      <c r="M949" s="266"/>
      <c r="N949" s="266"/>
      <c r="O949" s="266"/>
      <c r="P949" s="266"/>
      <c r="Q949" s="266"/>
      <c r="BR949" s="266"/>
      <c r="BS949" s="266"/>
      <c r="BT949" s="266"/>
      <c r="BU949" s="266"/>
      <c r="BV949" s="266"/>
      <c r="CJ949" s="266"/>
      <c r="CO949" s="266"/>
      <c r="CP949" s="266"/>
      <c r="CQ949" s="266"/>
      <c r="CR949" s="266"/>
      <c r="CS949" s="266"/>
      <c r="CT949" s="266"/>
      <c r="CU949" s="266"/>
      <c r="CV949" s="266"/>
      <c r="CW949" s="266"/>
      <c r="CX949" s="266"/>
      <c r="CY949" s="266"/>
      <c r="CZ949" s="266"/>
      <c r="DA949" s="266"/>
      <c r="DB949" s="266"/>
      <c r="DC949" s="266"/>
      <c r="DD949" s="266"/>
      <c r="DE949" s="266"/>
      <c r="DF949" s="266"/>
      <c r="DG949" s="266"/>
      <c r="DH949" s="266"/>
      <c r="DI949" s="266"/>
      <c r="DJ949" s="266"/>
      <c r="DK949" s="266"/>
      <c r="DL949" s="266"/>
      <c r="DM949" s="266"/>
      <c r="DN949" s="266"/>
      <c r="DO949" s="266"/>
      <c r="DP949" s="266"/>
      <c r="DQ949" s="266"/>
      <c r="DR949" s="266"/>
      <c r="DS949" s="266"/>
    </row>
    <row r="950" spans="11:123">
      <c r="K950" s="266"/>
      <c r="L950" s="266"/>
      <c r="M950" s="266"/>
      <c r="N950" s="266"/>
      <c r="O950" s="266"/>
      <c r="P950" s="266"/>
      <c r="Q950" s="266"/>
      <c r="BR950" s="266"/>
      <c r="BS950" s="266"/>
      <c r="BT950" s="266"/>
      <c r="BU950" s="266"/>
      <c r="BV950" s="266"/>
      <c r="CJ950" s="266"/>
      <c r="CO950" s="266"/>
      <c r="CP950" s="266"/>
      <c r="CQ950" s="266"/>
      <c r="CR950" s="266"/>
      <c r="CS950" s="266"/>
      <c r="CT950" s="266"/>
      <c r="CU950" s="266"/>
      <c r="CV950" s="266"/>
      <c r="CW950" s="266"/>
      <c r="CX950" s="266"/>
      <c r="CY950" s="266"/>
      <c r="CZ950" s="266"/>
      <c r="DA950" s="266"/>
      <c r="DB950" s="266"/>
      <c r="DC950" s="266"/>
      <c r="DD950" s="266"/>
      <c r="DE950" s="266"/>
      <c r="DF950" s="266"/>
      <c r="DG950" s="266"/>
      <c r="DH950" s="266"/>
      <c r="DI950" s="266"/>
      <c r="DJ950" s="266"/>
      <c r="DK950" s="266"/>
      <c r="DL950" s="266"/>
      <c r="DM950" s="266"/>
      <c r="DN950" s="266"/>
      <c r="DO950" s="266"/>
      <c r="DP950" s="266"/>
      <c r="DQ950" s="266"/>
      <c r="DR950" s="266"/>
      <c r="DS950" s="266"/>
    </row>
    <row r="951" spans="11:123">
      <c r="K951" s="266"/>
      <c r="L951" s="266"/>
      <c r="M951" s="266"/>
      <c r="N951" s="266"/>
      <c r="O951" s="266"/>
      <c r="P951" s="266"/>
      <c r="Q951" s="266"/>
      <c r="BR951" s="266"/>
      <c r="BS951" s="266"/>
      <c r="BT951" s="266"/>
      <c r="BU951" s="266"/>
      <c r="BV951" s="266"/>
      <c r="CJ951" s="266"/>
      <c r="CO951" s="266"/>
      <c r="CP951" s="266"/>
      <c r="CQ951" s="266"/>
      <c r="CR951" s="266"/>
      <c r="CS951" s="266"/>
      <c r="CT951" s="266"/>
      <c r="CU951" s="266"/>
      <c r="CV951" s="266"/>
      <c r="CW951" s="266"/>
      <c r="CX951" s="266"/>
      <c r="CY951" s="266"/>
      <c r="CZ951" s="266"/>
      <c r="DA951" s="266"/>
      <c r="DB951" s="266"/>
      <c r="DC951" s="266"/>
      <c r="DD951" s="266"/>
      <c r="DE951" s="266"/>
      <c r="DF951" s="266"/>
      <c r="DG951" s="266"/>
      <c r="DH951" s="266"/>
      <c r="DI951" s="266"/>
      <c r="DJ951" s="266"/>
      <c r="DK951" s="266"/>
      <c r="DL951" s="266"/>
      <c r="DM951" s="266"/>
      <c r="DN951" s="266"/>
      <c r="DO951" s="266"/>
      <c r="DP951" s="266"/>
      <c r="DQ951" s="266"/>
      <c r="DR951" s="266"/>
      <c r="DS951" s="266"/>
    </row>
    <row r="952" spans="11:123">
      <c r="K952" s="266"/>
      <c r="L952" s="266"/>
      <c r="M952" s="266"/>
      <c r="N952" s="266"/>
      <c r="O952" s="266"/>
      <c r="P952" s="266"/>
      <c r="Q952" s="266"/>
      <c r="BR952" s="266"/>
      <c r="BS952" s="266"/>
      <c r="BT952" s="266"/>
      <c r="BU952" s="266"/>
      <c r="BV952" s="266"/>
      <c r="CJ952" s="266"/>
      <c r="CO952" s="266"/>
      <c r="CP952" s="266"/>
      <c r="CQ952" s="266"/>
      <c r="CR952" s="266"/>
      <c r="CS952" s="266"/>
      <c r="CT952" s="266"/>
      <c r="CU952" s="266"/>
      <c r="CV952" s="266"/>
      <c r="CW952" s="266"/>
      <c r="CX952" s="266"/>
      <c r="CY952" s="266"/>
      <c r="CZ952" s="266"/>
      <c r="DA952" s="266"/>
      <c r="DB952" s="266"/>
      <c r="DC952" s="266"/>
      <c r="DD952" s="266"/>
      <c r="DE952" s="266"/>
      <c r="DF952" s="266"/>
      <c r="DG952" s="266"/>
      <c r="DH952" s="266"/>
      <c r="DI952" s="266"/>
      <c r="DJ952" s="266"/>
      <c r="DK952" s="266"/>
      <c r="DL952" s="266"/>
      <c r="DM952" s="266"/>
      <c r="DN952" s="266"/>
      <c r="DO952" s="266"/>
      <c r="DP952" s="266"/>
      <c r="DQ952" s="266"/>
      <c r="DR952" s="266"/>
      <c r="DS952" s="266"/>
    </row>
    <row r="953" spans="11:123">
      <c r="K953" s="266"/>
      <c r="L953" s="266"/>
      <c r="M953" s="266"/>
      <c r="N953" s="266"/>
      <c r="O953" s="266"/>
      <c r="P953" s="266"/>
      <c r="Q953" s="266"/>
      <c r="BR953" s="266"/>
      <c r="BS953" s="266"/>
      <c r="BT953" s="266"/>
      <c r="BU953" s="266"/>
      <c r="BV953" s="266"/>
      <c r="CJ953" s="266"/>
      <c r="CO953" s="266"/>
      <c r="CP953" s="266"/>
      <c r="CQ953" s="266"/>
      <c r="CR953" s="266"/>
      <c r="CS953" s="266"/>
      <c r="CT953" s="266"/>
      <c r="CU953" s="266"/>
      <c r="CV953" s="266"/>
      <c r="CW953" s="266"/>
      <c r="CX953" s="266"/>
      <c r="CY953" s="266"/>
      <c r="CZ953" s="266"/>
      <c r="DA953" s="266"/>
      <c r="DB953" s="266"/>
      <c r="DC953" s="266"/>
      <c r="DD953" s="266"/>
      <c r="DE953" s="266"/>
      <c r="DF953" s="266"/>
      <c r="DG953" s="266"/>
      <c r="DH953" s="266"/>
      <c r="DI953" s="266"/>
      <c r="DJ953" s="266"/>
      <c r="DK953" s="266"/>
      <c r="DL953" s="266"/>
      <c r="DM953" s="266"/>
      <c r="DN953" s="266"/>
      <c r="DO953" s="266"/>
      <c r="DP953" s="266"/>
      <c r="DQ953" s="266"/>
      <c r="DR953" s="266"/>
      <c r="DS953" s="266"/>
    </row>
    <row r="954" spans="11:123">
      <c r="K954" s="266"/>
      <c r="L954" s="266"/>
      <c r="M954" s="266"/>
      <c r="N954" s="266"/>
      <c r="O954" s="266"/>
      <c r="P954" s="266"/>
      <c r="Q954" s="266"/>
      <c r="BR954" s="266"/>
      <c r="BS954" s="266"/>
      <c r="BT954" s="266"/>
      <c r="BU954" s="266"/>
      <c r="BV954" s="266"/>
      <c r="CJ954" s="266"/>
      <c r="CO954" s="266"/>
      <c r="CP954" s="266"/>
      <c r="CQ954" s="266"/>
      <c r="CR954" s="266"/>
      <c r="CS954" s="266"/>
      <c r="CT954" s="266"/>
      <c r="CU954" s="266"/>
      <c r="CV954" s="266"/>
      <c r="CW954" s="266"/>
      <c r="CX954" s="266"/>
      <c r="CY954" s="266"/>
      <c r="CZ954" s="266"/>
      <c r="DA954" s="266"/>
      <c r="DB954" s="266"/>
      <c r="DC954" s="266"/>
      <c r="DD954" s="266"/>
      <c r="DE954" s="266"/>
      <c r="DF954" s="266"/>
      <c r="DG954" s="266"/>
      <c r="DH954" s="266"/>
      <c r="DI954" s="266"/>
      <c r="DJ954" s="266"/>
      <c r="DK954" s="266"/>
      <c r="DL954" s="266"/>
      <c r="DM954" s="266"/>
      <c r="DN954" s="266"/>
      <c r="DO954" s="266"/>
      <c r="DP954" s="266"/>
      <c r="DQ954" s="266"/>
      <c r="DR954" s="266"/>
      <c r="DS954" s="266"/>
    </row>
    <row r="955" spans="11:123">
      <c r="K955" s="266"/>
      <c r="L955" s="266"/>
      <c r="M955" s="266"/>
      <c r="N955" s="266"/>
      <c r="O955" s="266"/>
      <c r="P955" s="266"/>
      <c r="Q955" s="266"/>
      <c r="BR955" s="266"/>
      <c r="BS955" s="266"/>
      <c r="BT955" s="266"/>
      <c r="BU955" s="266"/>
      <c r="BV955" s="266"/>
      <c r="CJ955" s="266"/>
      <c r="CO955" s="266"/>
      <c r="CP955" s="266"/>
      <c r="CQ955" s="266"/>
      <c r="CR955" s="266"/>
      <c r="CS955" s="266"/>
      <c r="CT955" s="266"/>
      <c r="CU955" s="266"/>
      <c r="CV955" s="266"/>
      <c r="CW955" s="266"/>
      <c r="CX955" s="266"/>
      <c r="CY955" s="266"/>
      <c r="CZ955" s="266"/>
      <c r="DA955" s="266"/>
      <c r="DB955" s="266"/>
      <c r="DC955" s="266"/>
      <c r="DD955" s="266"/>
      <c r="DE955" s="266"/>
      <c r="DF955" s="266"/>
      <c r="DG955" s="266"/>
      <c r="DH955" s="266"/>
      <c r="DI955" s="266"/>
      <c r="DJ955" s="266"/>
      <c r="DK955" s="266"/>
      <c r="DL955" s="266"/>
      <c r="DM955" s="266"/>
      <c r="DN955" s="266"/>
      <c r="DO955" s="266"/>
      <c r="DP955" s="266"/>
      <c r="DQ955" s="266"/>
      <c r="DR955" s="266"/>
      <c r="DS955" s="266"/>
    </row>
    <row r="956" spans="11:123">
      <c r="K956" s="266"/>
      <c r="L956" s="266"/>
      <c r="M956" s="266"/>
      <c r="N956" s="266"/>
      <c r="O956" s="266"/>
      <c r="P956" s="266"/>
      <c r="Q956" s="266"/>
      <c r="BR956" s="266"/>
      <c r="BS956" s="266"/>
      <c r="BT956" s="266"/>
      <c r="BU956" s="266"/>
      <c r="BV956" s="266"/>
      <c r="CJ956" s="266"/>
      <c r="CO956" s="266"/>
      <c r="CP956" s="266"/>
      <c r="CQ956" s="266"/>
      <c r="CR956" s="266"/>
      <c r="CS956" s="266"/>
      <c r="CT956" s="266"/>
      <c r="CU956" s="266"/>
      <c r="CV956" s="266"/>
      <c r="CW956" s="266"/>
      <c r="CX956" s="266"/>
      <c r="CY956" s="266"/>
      <c r="CZ956" s="266"/>
      <c r="DA956" s="266"/>
      <c r="DB956" s="266"/>
      <c r="DC956" s="266"/>
      <c r="DD956" s="266"/>
      <c r="DE956" s="266"/>
      <c r="DF956" s="266"/>
      <c r="DG956" s="266"/>
      <c r="DH956" s="266"/>
      <c r="DI956" s="266"/>
      <c r="DJ956" s="266"/>
      <c r="DK956" s="266"/>
      <c r="DL956" s="266"/>
      <c r="DM956" s="266"/>
      <c r="DN956" s="266"/>
      <c r="DO956" s="266"/>
      <c r="DP956" s="266"/>
      <c r="DQ956" s="266"/>
      <c r="DR956" s="266"/>
      <c r="DS956" s="266"/>
    </row>
    <row r="957" spans="11:123">
      <c r="K957" s="266"/>
      <c r="L957" s="266"/>
      <c r="M957" s="266"/>
      <c r="N957" s="266"/>
      <c r="O957" s="266"/>
      <c r="P957" s="266"/>
      <c r="Q957" s="266"/>
      <c r="BR957" s="266"/>
      <c r="BS957" s="266"/>
      <c r="BT957" s="266"/>
      <c r="BU957" s="266"/>
      <c r="BV957" s="266"/>
      <c r="CJ957" s="266"/>
      <c r="CO957" s="266"/>
      <c r="CP957" s="266"/>
      <c r="CQ957" s="266"/>
      <c r="CR957" s="266"/>
      <c r="CS957" s="266"/>
      <c r="CT957" s="266"/>
      <c r="CU957" s="266"/>
      <c r="CV957" s="266"/>
      <c r="CW957" s="266"/>
      <c r="CX957" s="266"/>
      <c r="CY957" s="266"/>
      <c r="CZ957" s="266"/>
      <c r="DA957" s="266"/>
      <c r="DB957" s="266"/>
      <c r="DC957" s="266"/>
      <c r="DD957" s="266"/>
      <c r="DE957" s="266"/>
      <c r="DF957" s="266"/>
      <c r="DG957" s="266"/>
      <c r="DH957" s="266"/>
      <c r="DI957" s="266"/>
      <c r="DJ957" s="266"/>
      <c r="DK957" s="266"/>
      <c r="DL957" s="266"/>
      <c r="DM957" s="266"/>
      <c r="DN957" s="266"/>
      <c r="DO957" s="266"/>
      <c r="DP957" s="266"/>
      <c r="DQ957" s="266"/>
      <c r="DR957" s="266"/>
      <c r="DS957" s="266"/>
    </row>
    <row r="958" spans="11:123">
      <c r="K958" s="266"/>
      <c r="L958" s="266"/>
      <c r="M958" s="266"/>
      <c r="N958" s="266"/>
      <c r="O958" s="266"/>
      <c r="P958" s="266"/>
      <c r="Q958" s="266"/>
      <c r="BR958" s="266"/>
      <c r="BS958" s="266"/>
      <c r="BT958" s="266"/>
      <c r="BU958" s="266"/>
      <c r="BV958" s="266"/>
      <c r="CJ958" s="266"/>
      <c r="CO958" s="266"/>
      <c r="CP958" s="266"/>
      <c r="CQ958" s="266"/>
      <c r="CR958" s="266"/>
      <c r="CS958" s="266"/>
      <c r="CT958" s="266"/>
      <c r="CU958" s="266"/>
      <c r="CV958" s="266"/>
      <c r="CW958" s="266"/>
      <c r="CX958" s="266"/>
      <c r="CY958" s="266"/>
      <c r="CZ958" s="266"/>
      <c r="DA958" s="266"/>
      <c r="DB958" s="266"/>
      <c r="DC958" s="266"/>
      <c r="DD958" s="266"/>
      <c r="DE958" s="266"/>
      <c r="DF958" s="266"/>
      <c r="DG958" s="266"/>
      <c r="DH958" s="266"/>
      <c r="DI958" s="266"/>
      <c r="DJ958" s="266"/>
      <c r="DK958" s="266"/>
      <c r="DL958" s="266"/>
      <c r="DM958" s="266"/>
      <c r="DN958" s="266"/>
      <c r="DO958" s="266"/>
      <c r="DP958" s="266"/>
      <c r="DQ958" s="266"/>
      <c r="DR958" s="266"/>
      <c r="DS958" s="266"/>
    </row>
    <row r="959" spans="11:123">
      <c r="K959" s="266"/>
      <c r="L959" s="266"/>
      <c r="M959" s="266"/>
      <c r="N959" s="266"/>
      <c r="O959" s="266"/>
      <c r="P959" s="266"/>
      <c r="Q959" s="266"/>
      <c r="BR959" s="266"/>
      <c r="BS959" s="266"/>
      <c r="BT959" s="266"/>
      <c r="BU959" s="266"/>
      <c r="BV959" s="266"/>
      <c r="CJ959" s="266"/>
      <c r="CO959" s="266"/>
      <c r="CP959" s="266"/>
      <c r="CQ959" s="266"/>
      <c r="CR959" s="266"/>
      <c r="CS959" s="266"/>
      <c r="CT959" s="266"/>
      <c r="CU959" s="266"/>
      <c r="CV959" s="266"/>
      <c r="CW959" s="266"/>
      <c r="CX959" s="266"/>
      <c r="CY959" s="266"/>
      <c r="CZ959" s="266"/>
      <c r="DA959" s="266"/>
      <c r="DB959" s="266"/>
      <c r="DC959" s="266"/>
      <c r="DD959" s="266"/>
      <c r="DE959" s="266"/>
      <c r="DF959" s="266"/>
      <c r="DG959" s="266"/>
      <c r="DH959" s="266"/>
      <c r="DI959" s="266"/>
      <c r="DJ959" s="266"/>
      <c r="DK959" s="266"/>
      <c r="DL959" s="266"/>
      <c r="DM959" s="266"/>
      <c r="DN959" s="266"/>
      <c r="DO959" s="266"/>
      <c r="DP959" s="266"/>
      <c r="DQ959" s="266"/>
      <c r="DR959" s="266"/>
      <c r="DS959" s="266"/>
    </row>
    <row r="960" spans="11:123">
      <c r="K960" s="266"/>
      <c r="L960" s="266"/>
      <c r="M960" s="266"/>
      <c r="N960" s="266"/>
      <c r="O960" s="266"/>
      <c r="P960" s="266"/>
      <c r="Q960" s="266"/>
      <c r="BR960" s="266"/>
      <c r="BS960" s="266"/>
      <c r="BT960" s="266"/>
      <c r="BU960" s="266"/>
      <c r="BV960" s="266"/>
      <c r="CJ960" s="266"/>
      <c r="CO960" s="266"/>
      <c r="CP960" s="266"/>
      <c r="CQ960" s="266"/>
      <c r="CR960" s="266"/>
      <c r="CS960" s="266"/>
      <c r="CT960" s="266"/>
      <c r="CU960" s="266"/>
      <c r="CV960" s="266"/>
      <c r="CW960" s="266"/>
      <c r="CX960" s="266"/>
      <c r="CY960" s="266"/>
      <c r="CZ960" s="266"/>
      <c r="DA960" s="266"/>
      <c r="DB960" s="266"/>
      <c r="DC960" s="266"/>
      <c r="DD960" s="266"/>
      <c r="DE960" s="266"/>
      <c r="DF960" s="266"/>
      <c r="DG960" s="266"/>
      <c r="DH960" s="266"/>
      <c r="DI960" s="266"/>
      <c r="DJ960" s="266"/>
      <c r="DK960" s="266"/>
      <c r="DL960" s="266"/>
      <c r="DM960" s="266"/>
      <c r="DN960" s="266"/>
      <c r="DO960" s="266"/>
      <c r="DP960" s="266"/>
      <c r="DQ960" s="266"/>
      <c r="DR960" s="266"/>
      <c r="DS960" s="266"/>
    </row>
    <row r="961" spans="11:123">
      <c r="K961" s="266"/>
      <c r="L961" s="266"/>
      <c r="M961" s="266"/>
      <c r="N961" s="266"/>
      <c r="O961" s="266"/>
      <c r="P961" s="266"/>
      <c r="Q961" s="266"/>
      <c r="BR961" s="266"/>
      <c r="BS961" s="266"/>
      <c r="BT961" s="266"/>
      <c r="BU961" s="266"/>
      <c r="BV961" s="266"/>
      <c r="CJ961" s="266"/>
      <c r="CO961" s="266"/>
      <c r="CP961" s="266"/>
      <c r="CQ961" s="266"/>
      <c r="CR961" s="266"/>
      <c r="CS961" s="266"/>
      <c r="CT961" s="266"/>
      <c r="CU961" s="266"/>
      <c r="CV961" s="266"/>
      <c r="CW961" s="266"/>
      <c r="CX961" s="266"/>
      <c r="CY961" s="266"/>
      <c r="CZ961" s="266"/>
      <c r="DA961" s="266"/>
      <c r="DB961" s="266"/>
      <c r="DC961" s="266"/>
      <c r="DD961" s="266"/>
      <c r="DE961" s="266"/>
      <c r="DF961" s="266"/>
      <c r="DG961" s="266"/>
      <c r="DH961" s="266"/>
      <c r="DI961" s="266"/>
      <c r="DJ961" s="266"/>
      <c r="DK961" s="266"/>
      <c r="DL961" s="266"/>
      <c r="DM961" s="266"/>
      <c r="DN961" s="266"/>
      <c r="DO961" s="266"/>
      <c r="DP961" s="266"/>
      <c r="DQ961" s="266"/>
      <c r="DR961" s="266"/>
      <c r="DS961" s="266"/>
    </row>
    <row r="962" spans="11:123">
      <c r="K962" s="266"/>
      <c r="L962" s="266"/>
      <c r="M962" s="266"/>
      <c r="N962" s="266"/>
      <c r="O962" s="266"/>
      <c r="P962" s="266"/>
      <c r="Q962" s="266"/>
      <c r="BR962" s="266"/>
      <c r="BS962" s="266"/>
      <c r="BT962" s="266"/>
      <c r="BU962" s="266"/>
      <c r="BV962" s="266"/>
      <c r="CJ962" s="266"/>
      <c r="CO962" s="266"/>
      <c r="CP962" s="266"/>
      <c r="CQ962" s="266"/>
      <c r="CR962" s="266"/>
      <c r="CS962" s="266"/>
      <c r="CT962" s="266"/>
      <c r="CU962" s="266"/>
      <c r="CV962" s="266"/>
      <c r="CW962" s="266"/>
      <c r="CX962" s="266"/>
      <c r="CY962" s="266"/>
      <c r="CZ962" s="266"/>
      <c r="DA962" s="266"/>
      <c r="DB962" s="266"/>
      <c r="DC962" s="266"/>
      <c r="DD962" s="266"/>
      <c r="DE962" s="266"/>
      <c r="DF962" s="266"/>
      <c r="DG962" s="266"/>
      <c r="DH962" s="266"/>
      <c r="DI962" s="266"/>
      <c r="DJ962" s="266"/>
      <c r="DK962" s="266"/>
      <c r="DL962" s="266"/>
      <c r="DM962" s="266"/>
      <c r="DN962" s="266"/>
      <c r="DO962" s="266"/>
      <c r="DP962" s="266"/>
      <c r="DQ962" s="266"/>
      <c r="DR962" s="266"/>
      <c r="DS962" s="266"/>
    </row>
    <row r="963" spans="11:123">
      <c r="K963" s="266"/>
      <c r="L963" s="266"/>
      <c r="M963" s="266"/>
      <c r="N963" s="266"/>
      <c r="O963" s="266"/>
      <c r="P963" s="266"/>
      <c r="Q963" s="266"/>
      <c r="BR963" s="266"/>
      <c r="BS963" s="266"/>
      <c r="BT963" s="266"/>
      <c r="BU963" s="266"/>
      <c r="BV963" s="266"/>
      <c r="CJ963" s="266"/>
      <c r="CO963" s="266"/>
      <c r="CP963" s="266"/>
      <c r="CQ963" s="266"/>
      <c r="CR963" s="266"/>
      <c r="CS963" s="266"/>
      <c r="CT963" s="266"/>
      <c r="CU963" s="266"/>
      <c r="CV963" s="266"/>
      <c r="CW963" s="266"/>
      <c r="CX963" s="266"/>
      <c r="CY963" s="266"/>
      <c r="CZ963" s="266"/>
      <c r="DA963" s="266"/>
      <c r="DB963" s="266"/>
      <c r="DC963" s="266"/>
      <c r="DD963" s="266"/>
      <c r="DE963" s="266"/>
      <c r="DF963" s="266"/>
      <c r="DG963" s="266"/>
      <c r="DH963" s="266"/>
      <c r="DI963" s="266"/>
      <c r="DJ963" s="266"/>
      <c r="DK963" s="266"/>
      <c r="DL963" s="266"/>
      <c r="DM963" s="266"/>
      <c r="DN963" s="266"/>
      <c r="DO963" s="266"/>
      <c r="DP963" s="266"/>
      <c r="DQ963" s="266"/>
      <c r="DR963" s="266"/>
      <c r="DS963" s="266"/>
    </row>
    <row r="964" spans="11:123">
      <c r="K964" s="266"/>
      <c r="L964" s="266"/>
      <c r="M964" s="266"/>
      <c r="N964" s="266"/>
      <c r="O964" s="266"/>
      <c r="P964" s="266"/>
      <c r="Q964" s="266"/>
      <c r="BR964" s="266"/>
      <c r="BS964" s="266"/>
      <c r="BT964" s="266"/>
      <c r="BU964" s="266"/>
      <c r="BV964" s="266"/>
      <c r="CJ964" s="266"/>
      <c r="CO964" s="266"/>
      <c r="CP964" s="266"/>
      <c r="CQ964" s="266"/>
      <c r="CR964" s="266"/>
      <c r="CS964" s="266"/>
      <c r="CT964" s="266"/>
      <c r="CU964" s="266"/>
      <c r="CV964" s="266"/>
      <c r="CW964" s="266"/>
      <c r="CX964" s="266"/>
      <c r="CY964" s="266"/>
      <c r="CZ964" s="266"/>
      <c r="DA964" s="266"/>
      <c r="DB964" s="266"/>
      <c r="DC964" s="266"/>
      <c r="DD964" s="266"/>
      <c r="DE964" s="266"/>
      <c r="DF964" s="266"/>
      <c r="DG964" s="266"/>
      <c r="DH964" s="266"/>
      <c r="DI964" s="266"/>
      <c r="DJ964" s="266"/>
      <c r="DK964" s="266"/>
      <c r="DL964" s="266"/>
      <c r="DM964" s="266"/>
      <c r="DN964" s="266"/>
      <c r="DO964" s="266"/>
      <c r="DP964" s="266"/>
      <c r="DQ964" s="266"/>
      <c r="DR964" s="266"/>
      <c r="DS964" s="266"/>
    </row>
    <row r="965" spans="11:123">
      <c r="K965" s="266"/>
      <c r="L965" s="266"/>
      <c r="M965" s="266"/>
      <c r="N965" s="266"/>
      <c r="O965" s="266"/>
      <c r="P965" s="266"/>
      <c r="Q965" s="266"/>
      <c r="BR965" s="266"/>
      <c r="BS965" s="266"/>
      <c r="BT965" s="266"/>
      <c r="BU965" s="266"/>
      <c r="BV965" s="266"/>
      <c r="CJ965" s="266"/>
      <c r="CO965" s="266"/>
      <c r="CP965" s="266"/>
      <c r="CQ965" s="266"/>
      <c r="CR965" s="266"/>
      <c r="CS965" s="266"/>
      <c r="CT965" s="266"/>
      <c r="CU965" s="266"/>
      <c r="CV965" s="266"/>
      <c r="CW965" s="266"/>
      <c r="CX965" s="266"/>
      <c r="CY965" s="266"/>
      <c r="CZ965" s="266"/>
      <c r="DA965" s="266"/>
      <c r="DB965" s="266"/>
      <c r="DC965" s="266"/>
      <c r="DD965" s="266"/>
      <c r="DE965" s="266"/>
      <c r="DF965" s="266"/>
      <c r="DG965" s="266"/>
      <c r="DH965" s="266"/>
      <c r="DI965" s="266"/>
      <c r="DJ965" s="266"/>
      <c r="DK965" s="266"/>
      <c r="DL965" s="266"/>
      <c r="DM965" s="266"/>
      <c r="DN965" s="266"/>
      <c r="DO965" s="266"/>
      <c r="DP965" s="266"/>
      <c r="DQ965" s="266"/>
      <c r="DR965" s="266"/>
      <c r="DS965" s="266"/>
    </row>
    <row r="966" spans="11:123">
      <c r="K966" s="266"/>
      <c r="L966" s="266"/>
      <c r="M966" s="266"/>
      <c r="N966" s="266"/>
      <c r="O966" s="266"/>
      <c r="P966" s="266"/>
      <c r="Q966" s="266"/>
      <c r="BR966" s="266"/>
      <c r="BS966" s="266"/>
      <c r="BT966" s="266"/>
      <c r="BU966" s="266"/>
      <c r="BV966" s="266"/>
      <c r="CJ966" s="266"/>
      <c r="CO966" s="266"/>
      <c r="CP966" s="266"/>
      <c r="CQ966" s="266"/>
      <c r="CR966" s="266"/>
      <c r="CS966" s="266"/>
      <c r="CT966" s="266"/>
      <c r="CU966" s="266"/>
      <c r="CV966" s="266"/>
      <c r="CW966" s="266"/>
      <c r="CX966" s="266"/>
      <c r="CY966" s="266"/>
      <c r="CZ966" s="266"/>
      <c r="DA966" s="266"/>
      <c r="DB966" s="266"/>
      <c r="DC966" s="266"/>
      <c r="DD966" s="266"/>
      <c r="DE966" s="266"/>
      <c r="DF966" s="266"/>
      <c r="DG966" s="266"/>
      <c r="DH966" s="266"/>
      <c r="DI966" s="266"/>
      <c r="DJ966" s="266"/>
      <c r="DK966" s="266"/>
      <c r="DL966" s="266"/>
      <c r="DM966" s="266"/>
      <c r="DN966" s="266"/>
      <c r="DO966" s="266"/>
      <c r="DP966" s="266"/>
      <c r="DQ966" s="266"/>
      <c r="DR966" s="266"/>
      <c r="DS966" s="266"/>
    </row>
    <row r="967" spans="11:123">
      <c r="K967" s="266"/>
      <c r="L967" s="266"/>
      <c r="M967" s="266"/>
      <c r="N967" s="266"/>
      <c r="O967" s="266"/>
      <c r="P967" s="266"/>
      <c r="Q967" s="266"/>
      <c r="BR967" s="266"/>
      <c r="BS967" s="266"/>
      <c r="BT967" s="266"/>
      <c r="BU967" s="266"/>
      <c r="BV967" s="266"/>
      <c r="CJ967" s="266"/>
      <c r="CO967" s="266"/>
      <c r="CP967" s="266"/>
      <c r="CQ967" s="266"/>
      <c r="CR967" s="266"/>
      <c r="CS967" s="266"/>
      <c r="CT967" s="266"/>
      <c r="CU967" s="266"/>
      <c r="CV967" s="266"/>
      <c r="CW967" s="266"/>
      <c r="CX967" s="266"/>
      <c r="CY967" s="266"/>
      <c r="CZ967" s="266"/>
      <c r="DA967" s="266"/>
      <c r="DB967" s="266"/>
      <c r="DC967" s="266"/>
      <c r="DD967" s="266"/>
      <c r="DE967" s="266"/>
      <c r="DF967" s="266"/>
      <c r="DG967" s="266"/>
      <c r="DH967" s="266"/>
      <c r="DI967" s="266"/>
      <c r="DJ967" s="266"/>
      <c r="DK967" s="266"/>
      <c r="DL967" s="266"/>
      <c r="DM967" s="266"/>
      <c r="DN967" s="266"/>
      <c r="DO967" s="266"/>
      <c r="DP967" s="266"/>
      <c r="DQ967" s="266"/>
      <c r="DR967" s="266"/>
      <c r="DS967" s="266"/>
    </row>
    <row r="968" spans="11:123">
      <c r="K968" s="266"/>
      <c r="L968" s="266"/>
      <c r="M968" s="266"/>
      <c r="N968" s="266"/>
      <c r="O968" s="266"/>
      <c r="P968" s="266"/>
      <c r="Q968" s="266"/>
      <c r="BR968" s="266"/>
      <c r="BS968" s="266"/>
      <c r="BT968" s="266"/>
      <c r="BU968" s="266"/>
      <c r="BV968" s="266"/>
      <c r="CJ968" s="266"/>
      <c r="CO968" s="266"/>
      <c r="CP968" s="266"/>
      <c r="CQ968" s="266"/>
      <c r="CR968" s="266"/>
      <c r="CS968" s="266"/>
      <c r="CT968" s="266"/>
      <c r="CU968" s="266"/>
      <c r="CV968" s="266"/>
      <c r="CW968" s="266"/>
      <c r="CX968" s="266"/>
      <c r="CY968" s="266"/>
      <c r="CZ968" s="266"/>
      <c r="DA968" s="266"/>
      <c r="DB968" s="266"/>
      <c r="DC968" s="266"/>
      <c r="DD968" s="266"/>
      <c r="DE968" s="266"/>
      <c r="DF968" s="266"/>
      <c r="DG968" s="266"/>
      <c r="DH968" s="266"/>
      <c r="DI968" s="266"/>
      <c r="DJ968" s="266"/>
      <c r="DK968" s="266"/>
      <c r="DL968" s="266"/>
      <c r="DM968" s="266"/>
      <c r="DN968" s="266"/>
      <c r="DO968" s="266"/>
      <c r="DP968" s="266"/>
      <c r="DQ968" s="266"/>
      <c r="DR968" s="266"/>
      <c r="DS968" s="266"/>
    </row>
    <row r="969" spans="11:123">
      <c r="K969" s="266"/>
      <c r="L969" s="266"/>
      <c r="M969" s="266"/>
      <c r="N969" s="266"/>
      <c r="O969" s="266"/>
      <c r="P969" s="266"/>
      <c r="Q969" s="266"/>
      <c r="BR969" s="266"/>
      <c r="BS969" s="266"/>
      <c r="BT969" s="266"/>
      <c r="BU969" s="266"/>
      <c r="BV969" s="266"/>
      <c r="CJ969" s="266"/>
      <c r="CO969" s="266"/>
      <c r="CP969" s="266"/>
      <c r="CQ969" s="266"/>
      <c r="CR969" s="266"/>
      <c r="CS969" s="266"/>
      <c r="CT969" s="266"/>
      <c r="CU969" s="266"/>
      <c r="CV969" s="266"/>
      <c r="CW969" s="266"/>
      <c r="CX969" s="266"/>
      <c r="CY969" s="266"/>
      <c r="CZ969" s="266"/>
      <c r="DA969" s="266"/>
      <c r="DB969" s="266"/>
      <c r="DC969" s="266"/>
      <c r="DD969" s="266"/>
      <c r="DE969" s="266"/>
      <c r="DF969" s="266"/>
      <c r="DG969" s="266"/>
      <c r="DH969" s="266"/>
      <c r="DI969" s="266"/>
      <c r="DJ969" s="266"/>
      <c r="DK969" s="266"/>
      <c r="DL969" s="266"/>
      <c r="DM969" s="266"/>
      <c r="DN969" s="266"/>
      <c r="DO969" s="266"/>
      <c r="DP969" s="266"/>
      <c r="DQ969" s="266"/>
      <c r="DR969" s="266"/>
      <c r="DS969" s="266"/>
    </row>
    <row r="970" spans="11:123">
      <c r="K970" s="266"/>
      <c r="L970" s="266"/>
      <c r="M970" s="266"/>
      <c r="N970" s="266"/>
      <c r="O970" s="266"/>
      <c r="P970" s="266"/>
      <c r="Q970" s="266"/>
      <c r="BR970" s="266"/>
      <c r="BS970" s="266"/>
      <c r="BT970" s="266"/>
      <c r="BU970" s="266"/>
      <c r="BV970" s="266"/>
      <c r="CJ970" s="266"/>
      <c r="CO970" s="266"/>
      <c r="CP970" s="266"/>
      <c r="CQ970" s="266"/>
      <c r="CR970" s="266"/>
      <c r="CS970" s="266"/>
      <c r="CT970" s="266"/>
      <c r="CU970" s="266"/>
      <c r="CV970" s="266"/>
      <c r="CW970" s="266"/>
      <c r="CX970" s="266"/>
      <c r="CY970" s="266"/>
      <c r="CZ970" s="266"/>
      <c r="DA970" s="266"/>
      <c r="DB970" s="266"/>
      <c r="DC970" s="266"/>
      <c r="DD970" s="266"/>
      <c r="DE970" s="266"/>
      <c r="DF970" s="266"/>
      <c r="DG970" s="266"/>
      <c r="DH970" s="266"/>
      <c r="DI970" s="266"/>
      <c r="DJ970" s="266"/>
      <c r="DK970" s="266"/>
      <c r="DL970" s="266"/>
      <c r="DM970" s="266"/>
      <c r="DN970" s="266"/>
      <c r="DO970" s="266"/>
      <c r="DP970" s="266"/>
      <c r="DQ970" s="266"/>
      <c r="DR970" s="266"/>
      <c r="DS970" s="266"/>
    </row>
    <row r="971" spans="11:123">
      <c r="K971" s="266"/>
      <c r="L971" s="266"/>
      <c r="M971" s="266"/>
      <c r="N971" s="266"/>
      <c r="O971" s="266"/>
      <c r="P971" s="266"/>
      <c r="Q971" s="266"/>
      <c r="BR971" s="266"/>
      <c r="BS971" s="266"/>
      <c r="BT971" s="266"/>
      <c r="BU971" s="266"/>
      <c r="BV971" s="266"/>
      <c r="CJ971" s="266"/>
      <c r="CO971" s="266"/>
      <c r="CP971" s="266"/>
      <c r="CQ971" s="266"/>
      <c r="CR971" s="266"/>
      <c r="CS971" s="266"/>
      <c r="CT971" s="266"/>
      <c r="CU971" s="266"/>
      <c r="CV971" s="266"/>
      <c r="CW971" s="266"/>
      <c r="CX971" s="266"/>
      <c r="CY971" s="266"/>
      <c r="CZ971" s="266"/>
      <c r="DA971" s="266"/>
      <c r="DB971" s="266"/>
      <c r="DC971" s="266"/>
      <c r="DD971" s="266"/>
      <c r="DE971" s="266"/>
      <c r="DF971" s="266"/>
      <c r="DG971" s="266"/>
      <c r="DH971" s="266"/>
      <c r="DI971" s="266"/>
      <c r="DJ971" s="266"/>
      <c r="DK971" s="266"/>
      <c r="DL971" s="266"/>
      <c r="DM971" s="266"/>
      <c r="DN971" s="266"/>
      <c r="DO971" s="266"/>
      <c r="DP971" s="266"/>
      <c r="DQ971" s="266"/>
      <c r="DR971" s="266"/>
      <c r="DS971" s="266"/>
    </row>
    <row r="972" spans="11:123">
      <c r="K972" s="266"/>
      <c r="L972" s="266"/>
      <c r="M972" s="266"/>
      <c r="N972" s="266"/>
      <c r="O972" s="266"/>
      <c r="P972" s="266"/>
      <c r="Q972" s="266"/>
      <c r="BR972" s="266"/>
      <c r="BS972" s="266"/>
      <c r="BT972" s="266"/>
      <c r="BU972" s="266"/>
      <c r="BV972" s="266"/>
      <c r="CJ972" s="266"/>
      <c r="CO972" s="266"/>
      <c r="CP972" s="266"/>
      <c r="CQ972" s="266"/>
      <c r="CR972" s="266"/>
      <c r="CS972" s="266"/>
      <c r="CT972" s="266"/>
      <c r="CU972" s="266"/>
      <c r="CV972" s="266"/>
      <c r="CW972" s="266"/>
      <c r="CX972" s="266"/>
      <c r="CY972" s="266"/>
      <c r="CZ972" s="266"/>
      <c r="DA972" s="266"/>
      <c r="DB972" s="266"/>
      <c r="DC972" s="266"/>
      <c r="DD972" s="266"/>
      <c r="DE972" s="266"/>
      <c r="DF972" s="266"/>
      <c r="DG972" s="266"/>
      <c r="DH972" s="266"/>
      <c r="DI972" s="266"/>
      <c r="DJ972" s="266"/>
      <c r="DK972" s="266"/>
      <c r="DL972" s="266"/>
      <c r="DM972" s="266"/>
      <c r="DN972" s="266"/>
      <c r="DO972" s="266"/>
      <c r="DP972" s="266"/>
      <c r="DQ972" s="266"/>
      <c r="DR972" s="266"/>
      <c r="DS972" s="266"/>
    </row>
    <row r="973" spans="11:123">
      <c r="K973" s="266"/>
      <c r="L973" s="266"/>
      <c r="M973" s="266"/>
      <c r="N973" s="266"/>
      <c r="O973" s="266"/>
      <c r="P973" s="266"/>
      <c r="Q973" s="266"/>
      <c r="BR973" s="266"/>
      <c r="BS973" s="266"/>
      <c r="BT973" s="266"/>
      <c r="BU973" s="266"/>
      <c r="BV973" s="266"/>
      <c r="CJ973" s="266"/>
      <c r="CO973" s="266"/>
      <c r="CP973" s="266"/>
      <c r="CQ973" s="266"/>
      <c r="CR973" s="266"/>
      <c r="CS973" s="266"/>
      <c r="CT973" s="266"/>
      <c r="CU973" s="266"/>
      <c r="CV973" s="266"/>
      <c r="CW973" s="266"/>
      <c r="CX973" s="266"/>
      <c r="CY973" s="266"/>
      <c r="CZ973" s="266"/>
      <c r="DA973" s="266"/>
      <c r="DB973" s="266"/>
      <c r="DC973" s="266"/>
      <c r="DD973" s="266"/>
      <c r="DE973" s="266"/>
      <c r="DF973" s="266"/>
      <c r="DG973" s="266"/>
      <c r="DH973" s="266"/>
      <c r="DI973" s="266"/>
      <c r="DJ973" s="266"/>
      <c r="DK973" s="266"/>
      <c r="DL973" s="266"/>
      <c r="DM973" s="266"/>
      <c r="DN973" s="266"/>
      <c r="DO973" s="266"/>
      <c r="DP973" s="266"/>
      <c r="DQ973" s="266"/>
      <c r="DR973" s="266"/>
      <c r="DS973" s="266"/>
    </row>
    <row r="974" spans="11:123">
      <c r="K974" s="266"/>
      <c r="L974" s="266"/>
      <c r="M974" s="266"/>
      <c r="N974" s="266"/>
      <c r="O974" s="266"/>
      <c r="P974" s="266"/>
      <c r="Q974" s="266"/>
      <c r="BR974" s="266"/>
      <c r="BS974" s="266"/>
      <c r="BT974" s="266"/>
      <c r="BU974" s="266"/>
      <c r="BV974" s="266"/>
      <c r="CJ974" s="266"/>
      <c r="CO974" s="266"/>
      <c r="CP974" s="266"/>
      <c r="CQ974" s="266"/>
      <c r="CR974" s="266"/>
      <c r="CS974" s="266"/>
      <c r="CT974" s="266"/>
      <c r="CU974" s="266"/>
      <c r="CV974" s="266"/>
      <c r="CW974" s="266"/>
      <c r="CX974" s="266"/>
      <c r="CY974" s="266"/>
      <c r="CZ974" s="266"/>
      <c r="DA974" s="266"/>
      <c r="DB974" s="266"/>
      <c r="DC974" s="266"/>
      <c r="DD974" s="266"/>
      <c r="DE974" s="266"/>
      <c r="DF974" s="266"/>
      <c r="DG974" s="266"/>
      <c r="DH974" s="266"/>
      <c r="DI974" s="266"/>
      <c r="DJ974" s="266"/>
      <c r="DK974" s="266"/>
      <c r="DL974" s="266"/>
      <c r="DM974" s="266"/>
      <c r="DN974" s="266"/>
      <c r="DO974" s="266"/>
      <c r="DP974" s="266"/>
      <c r="DQ974" s="266"/>
      <c r="DR974" s="266"/>
      <c r="DS974" s="266"/>
    </row>
    <row r="975" spans="11:123">
      <c r="K975" s="266"/>
      <c r="L975" s="266"/>
      <c r="M975" s="266"/>
      <c r="N975" s="266"/>
      <c r="O975" s="266"/>
      <c r="P975" s="266"/>
      <c r="Q975" s="266"/>
      <c r="BR975" s="266"/>
      <c r="BS975" s="266"/>
      <c r="BT975" s="266"/>
      <c r="BU975" s="266"/>
      <c r="BV975" s="266"/>
      <c r="CJ975" s="266"/>
      <c r="CO975" s="266"/>
      <c r="CP975" s="266"/>
      <c r="CQ975" s="266"/>
      <c r="CR975" s="266"/>
      <c r="CS975" s="266"/>
      <c r="CT975" s="266"/>
      <c r="CU975" s="266"/>
      <c r="CV975" s="266"/>
      <c r="CW975" s="266"/>
      <c r="CX975" s="266"/>
      <c r="CY975" s="266"/>
      <c r="CZ975" s="266"/>
      <c r="DA975" s="266"/>
      <c r="DB975" s="266"/>
      <c r="DC975" s="266"/>
      <c r="DD975" s="266"/>
      <c r="DE975" s="266"/>
      <c r="DF975" s="266"/>
      <c r="DG975" s="266"/>
      <c r="DH975" s="266"/>
      <c r="DI975" s="266"/>
      <c r="DJ975" s="266"/>
      <c r="DK975" s="266"/>
      <c r="DL975" s="266"/>
      <c r="DM975" s="266"/>
      <c r="DN975" s="266"/>
      <c r="DO975" s="266"/>
      <c r="DP975" s="266"/>
      <c r="DQ975" s="266"/>
      <c r="DR975" s="266"/>
      <c r="DS975" s="266"/>
    </row>
    <row r="976" spans="11:123">
      <c r="K976" s="266"/>
      <c r="L976" s="266"/>
      <c r="M976" s="266"/>
      <c r="N976" s="266"/>
      <c r="O976" s="266"/>
      <c r="P976" s="266"/>
      <c r="Q976" s="266"/>
      <c r="BR976" s="266"/>
      <c r="BS976" s="266"/>
      <c r="BT976" s="266"/>
      <c r="BU976" s="266"/>
      <c r="BV976" s="266"/>
      <c r="CJ976" s="266"/>
      <c r="CO976" s="266"/>
      <c r="CP976" s="266"/>
      <c r="CQ976" s="266"/>
      <c r="CR976" s="266"/>
      <c r="CS976" s="266"/>
      <c r="CT976" s="266"/>
      <c r="CU976" s="266"/>
      <c r="CV976" s="266"/>
      <c r="CW976" s="266"/>
      <c r="CX976" s="266"/>
      <c r="CY976" s="266"/>
      <c r="CZ976" s="266"/>
      <c r="DA976" s="266"/>
      <c r="DB976" s="266"/>
      <c r="DC976" s="266"/>
      <c r="DD976" s="266"/>
      <c r="DE976" s="266"/>
      <c r="DF976" s="266"/>
      <c r="DG976" s="266"/>
      <c r="DH976" s="266"/>
      <c r="DI976" s="266"/>
      <c r="DJ976" s="266"/>
      <c r="DK976" s="266"/>
      <c r="DL976" s="266"/>
      <c r="DM976" s="266"/>
      <c r="DN976" s="266"/>
      <c r="DO976" s="266"/>
      <c r="DP976" s="266"/>
      <c r="DQ976" s="266"/>
      <c r="DR976" s="266"/>
      <c r="DS976" s="266"/>
    </row>
    <row r="977" spans="11:123">
      <c r="K977" s="266"/>
      <c r="L977" s="266"/>
      <c r="M977" s="266"/>
      <c r="N977" s="266"/>
      <c r="O977" s="266"/>
      <c r="P977" s="266"/>
      <c r="Q977" s="266"/>
      <c r="BR977" s="266"/>
      <c r="BS977" s="266"/>
      <c r="BT977" s="266"/>
      <c r="BU977" s="266"/>
      <c r="BV977" s="266"/>
      <c r="CJ977" s="266"/>
      <c r="CO977" s="266"/>
      <c r="CP977" s="266"/>
      <c r="CQ977" s="266"/>
      <c r="CR977" s="266"/>
      <c r="CS977" s="266"/>
      <c r="CT977" s="266"/>
      <c r="CU977" s="266"/>
      <c r="CV977" s="266"/>
      <c r="CW977" s="266"/>
      <c r="CX977" s="266"/>
      <c r="CY977" s="266"/>
      <c r="CZ977" s="266"/>
      <c r="DA977" s="266"/>
      <c r="DB977" s="266"/>
      <c r="DC977" s="266"/>
      <c r="DD977" s="266"/>
      <c r="DE977" s="266"/>
      <c r="DF977" s="266"/>
      <c r="DG977" s="266"/>
      <c r="DH977" s="266"/>
      <c r="DI977" s="266"/>
      <c r="DJ977" s="266"/>
      <c r="DK977" s="266"/>
      <c r="DL977" s="266"/>
      <c r="DM977" s="266"/>
      <c r="DN977" s="266"/>
      <c r="DO977" s="266"/>
      <c r="DP977" s="266"/>
      <c r="DQ977" s="266"/>
      <c r="DR977" s="266"/>
      <c r="DS977" s="266"/>
    </row>
    <row r="978" spans="11:123">
      <c r="K978" s="266"/>
      <c r="L978" s="266"/>
      <c r="M978" s="266"/>
      <c r="N978" s="266"/>
      <c r="O978" s="266"/>
      <c r="P978" s="266"/>
      <c r="Q978" s="266"/>
      <c r="BR978" s="266"/>
      <c r="BS978" s="266"/>
      <c r="BT978" s="266"/>
      <c r="BU978" s="266"/>
      <c r="BV978" s="266"/>
      <c r="CJ978" s="266"/>
      <c r="CO978" s="266"/>
      <c r="CP978" s="266"/>
      <c r="CQ978" s="266"/>
      <c r="CR978" s="266"/>
      <c r="CS978" s="266"/>
      <c r="CT978" s="266"/>
      <c r="CU978" s="266"/>
      <c r="CV978" s="266"/>
      <c r="CW978" s="266"/>
      <c r="CX978" s="266"/>
      <c r="CY978" s="266"/>
      <c r="CZ978" s="266"/>
      <c r="DA978" s="266"/>
      <c r="DB978" s="266"/>
      <c r="DC978" s="266"/>
      <c r="DD978" s="266"/>
      <c r="DE978" s="266"/>
      <c r="DF978" s="266"/>
      <c r="DG978" s="266"/>
      <c r="DH978" s="266"/>
      <c r="DI978" s="266"/>
      <c r="DJ978" s="266"/>
      <c r="DK978" s="266"/>
      <c r="DL978" s="266"/>
      <c r="DM978" s="266"/>
      <c r="DN978" s="266"/>
      <c r="DO978" s="266"/>
      <c r="DP978" s="266"/>
      <c r="DQ978" s="266"/>
      <c r="DR978" s="266"/>
      <c r="DS978" s="266"/>
    </row>
    <row r="979" spans="11:123">
      <c r="K979" s="266"/>
      <c r="L979" s="266"/>
      <c r="M979" s="266"/>
      <c r="N979" s="266"/>
      <c r="O979" s="266"/>
      <c r="P979" s="266"/>
      <c r="Q979" s="266"/>
      <c r="BR979" s="266"/>
      <c r="BS979" s="266"/>
      <c r="BT979" s="266"/>
      <c r="BU979" s="266"/>
      <c r="BV979" s="266"/>
      <c r="CJ979" s="266"/>
      <c r="CO979" s="266"/>
      <c r="CP979" s="266"/>
      <c r="CQ979" s="266"/>
      <c r="CR979" s="266"/>
      <c r="CS979" s="266"/>
      <c r="CT979" s="266"/>
      <c r="CU979" s="266"/>
      <c r="CV979" s="266"/>
      <c r="CW979" s="266"/>
      <c r="CX979" s="266"/>
      <c r="CY979" s="266"/>
      <c r="CZ979" s="266"/>
      <c r="DA979" s="266"/>
      <c r="DB979" s="266"/>
      <c r="DC979" s="266"/>
      <c r="DD979" s="266"/>
      <c r="DE979" s="266"/>
      <c r="DF979" s="266"/>
      <c r="DG979" s="266"/>
      <c r="DH979" s="266"/>
      <c r="DI979" s="266"/>
      <c r="DJ979" s="266"/>
      <c r="DK979" s="266"/>
      <c r="DL979" s="266"/>
      <c r="DM979" s="266"/>
      <c r="DN979" s="266"/>
      <c r="DO979" s="266"/>
      <c r="DP979" s="266"/>
      <c r="DQ979" s="266"/>
      <c r="DR979" s="266"/>
      <c r="DS979" s="266"/>
    </row>
    <row r="980" spans="11:123">
      <c r="K980" s="266"/>
      <c r="L980" s="266"/>
      <c r="M980" s="266"/>
      <c r="N980" s="266"/>
      <c r="O980" s="266"/>
      <c r="P980" s="266"/>
      <c r="Q980" s="266"/>
      <c r="BR980" s="266"/>
      <c r="BS980" s="266"/>
      <c r="BT980" s="266"/>
      <c r="BU980" s="266"/>
      <c r="BV980" s="266"/>
      <c r="CJ980" s="266"/>
      <c r="CO980" s="266"/>
      <c r="CP980" s="266"/>
      <c r="CQ980" s="266"/>
      <c r="CR980" s="266"/>
      <c r="CS980" s="266"/>
      <c r="CT980" s="266"/>
      <c r="CU980" s="266"/>
      <c r="CV980" s="266"/>
      <c r="CW980" s="266"/>
      <c r="CX980" s="266"/>
      <c r="CY980" s="266"/>
      <c r="CZ980" s="266"/>
      <c r="DA980" s="266"/>
      <c r="DB980" s="266"/>
      <c r="DC980" s="266"/>
      <c r="DD980" s="266"/>
      <c r="DE980" s="266"/>
      <c r="DF980" s="266"/>
      <c r="DG980" s="266"/>
      <c r="DH980" s="266"/>
      <c r="DI980" s="266"/>
      <c r="DJ980" s="266"/>
      <c r="DK980" s="266"/>
      <c r="DL980" s="266"/>
      <c r="DM980" s="266"/>
      <c r="DN980" s="266"/>
      <c r="DO980" s="266"/>
      <c r="DP980" s="266"/>
      <c r="DQ980" s="266"/>
      <c r="DR980" s="266"/>
      <c r="DS980" s="266"/>
    </row>
    <row r="981" spans="11:123">
      <c r="K981" s="266"/>
      <c r="L981" s="266"/>
      <c r="M981" s="266"/>
      <c r="N981" s="266"/>
      <c r="O981" s="266"/>
      <c r="P981" s="266"/>
      <c r="Q981" s="266"/>
      <c r="BR981" s="266"/>
      <c r="BS981" s="266"/>
      <c r="BT981" s="266"/>
      <c r="BU981" s="266"/>
      <c r="BV981" s="266"/>
      <c r="CJ981" s="266"/>
      <c r="CO981" s="266"/>
      <c r="CP981" s="266"/>
      <c r="CQ981" s="266"/>
      <c r="CR981" s="266"/>
      <c r="CS981" s="266"/>
      <c r="CT981" s="266"/>
      <c r="CU981" s="266"/>
      <c r="CV981" s="266"/>
      <c r="CW981" s="266"/>
      <c r="CX981" s="266"/>
      <c r="CY981" s="266"/>
      <c r="CZ981" s="266"/>
      <c r="DA981" s="266"/>
      <c r="DB981" s="266"/>
      <c r="DC981" s="266"/>
      <c r="DD981" s="266"/>
      <c r="DE981" s="266"/>
      <c r="DF981" s="266"/>
      <c r="DG981" s="266"/>
      <c r="DH981" s="266"/>
      <c r="DI981" s="266"/>
      <c r="DJ981" s="266"/>
      <c r="DK981" s="266"/>
      <c r="DL981" s="266"/>
      <c r="DM981" s="266"/>
      <c r="DN981" s="266"/>
      <c r="DO981" s="266"/>
      <c r="DP981" s="266"/>
      <c r="DQ981" s="266"/>
      <c r="DR981" s="266"/>
      <c r="DS981" s="266"/>
    </row>
    <row r="982" spans="11:123">
      <c r="K982" s="266"/>
      <c r="L982" s="266"/>
      <c r="M982" s="266"/>
      <c r="N982" s="266"/>
      <c r="O982" s="266"/>
      <c r="P982" s="266"/>
      <c r="Q982" s="266"/>
      <c r="BR982" s="266"/>
      <c r="BS982" s="266"/>
      <c r="BT982" s="266"/>
      <c r="BU982" s="266"/>
      <c r="BV982" s="266"/>
      <c r="CJ982" s="266"/>
      <c r="CO982" s="266"/>
      <c r="CP982" s="266"/>
      <c r="CQ982" s="266"/>
      <c r="CR982" s="266"/>
      <c r="CS982" s="266"/>
      <c r="CT982" s="266"/>
      <c r="CU982" s="266"/>
      <c r="CV982" s="266"/>
      <c r="CW982" s="266"/>
      <c r="CX982" s="266"/>
      <c r="CY982" s="266"/>
      <c r="CZ982" s="266"/>
      <c r="DA982" s="266"/>
      <c r="DB982" s="266"/>
      <c r="DC982" s="266"/>
      <c r="DD982" s="266"/>
      <c r="DE982" s="266"/>
      <c r="DF982" s="266"/>
      <c r="DG982" s="266"/>
      <c r="DH982" s="266"/>
      <c r="DI982" s="266"/>
      <c r="DJ982" s="266"/>
      <c r="DK982" s="266"/>
      <c r="DL982" s="266"/>
      <c r="DM982" s="266"/>
      <c r="DN982" s="266"/>
      <c r="DO982" s="266"/>
      <c r="DP982" s="266"/>
      <c r="DQ982" s="266"/>
      <c r="DR982" s="266"/>
      <c r="DS982" s="266"/>
    </row>
    <row r="983" spans="11:123">
      <c r="K983" s="266"/>
      <c r="L983" s="266"/>
      <c r="M983" s="266"/>
      <c r="N983" s="266"/>
      <c r="O983" s="266"/>
      <c r="P983" s="266"/>
      <c r="Q983" s="266"/>
      <c r="BR983" s="266"/>
      <c r="BS983" s="266"/>
      <c r="BT983" s="266"/>
      <c r="BU983" s="266"/>
      <c r="BV983" s="266"/>
      <c r="CJ983" s="266"/>
      <c r="CO983" s="266"/>
      <c r="CP983" s="266"/>
      <c r="CQ983" s="266"/>
      <c r="CR983" s="266"/>
      <c r="CS983" s="266"/>
      <c r="CT983" s="266"/>
      <c r="CU983" s="266"/>
      <c r="CV983" s="266"/>
      <c r="CW983" s="266"/>
      <c r="CX983" s="266"/>
      <c r="CY983" s="266"/>
      <c r="CZ983" s="266"/>
      <c r="DA983" s="266"/>
      <c r="DB983" s="266"/>
      <c r="DC983" s="266"/>
      <c r="DD983" s="266"/>
      <c r="DE983" s="266"/>
      <c r="DF983" s="266"/>
      <c r="DG983" s="266"/>
      <c r="DH983" s="266"/>
      <c r="DI983" s="266"/>
      <c r="DJ983" s="266"/>
      <c r="DK983" s="266"/>
      <c r="DL983" s="266"/>
      <c r="DM983" s="266"/>
      <c r="DN983" s="266"/>
      <c r="DO983" s="266"/>
      <c r="DP983" s="266"/>
      <c r="DQ983" s="266"/>
      <c r="DR983" s="266"/>
      <c r="DS983" s="266"/>
    </row>
    <row r="984" spans="11:123">
      <c r="K984" s="266"/>
      <c r="L984" s="266"/>
      <c r="M984" s="266"/>
      <c r="N984" s="266"/>
      <c r="O984" s="266"/>
      <c r="P984" s="266"/>
      <c r="Q984" s="266"/>
      <c r="BR984" s="266"/>
      <c r="BS984" s="266"/>
      <c r="BT984" s="266"/>
      <c r="BU984" s="266"/>
      <c r="BV984" s="266"/>
      <c r="CJ984" s="266"/>
      <c r="CO984" s="266"/>
      <c r="CP984" s="266"/>
      <c r="CQ984" s="266"/>
      <c r="CR984" s="266"/>
      <c r="CS984" s="266"/>
      <c r="CT984" s="266"/>
      <c r="CU984" s="266"/>
      <c r="CV984" s="266"/>
      <c r="CW984" s="266"/>
      <c r="CX984" s="266"/>
      <c r="CY984" s="266"/>
      <c r="CZ984" s="266"/>
      <c r="DA984" s="266"/>
      <c r="DB984" s="266"/>
      <c r="DC984" s="266"/>
      <c r="DD984" s="266"/>
      <c r="DE984" s="266"/>
      <c r="DF984" s="266"/>
      <c r="DG984" s="266"/>
      <c r="DH984" s="266"/>
      <c r="DI984" s="266"/>
      <c r="DJ984" s="266"/>
      <c r="DK984" s="266"/>
      <c r="DL984" s="266"/>
      <c r="DM984" s="266"/>
      <c r="DN984" s="266"/>
      <c r="DO984" s="266"/>
      <c r="DP984" s="266"/>
      <c r="DQ984" s="266"/>
      <c r="DR984" s="266"/>
      <c r="DS984" s="266"/>
    </row>
    <row r="985" spans="11:123">
      <c r="K985" s="266"/>
      <c r="L985" s="266"/>
      <c r="M985" s="266"/>
      <c r="N985" s="266"/>
      <c r="O985" s="266"/>
      <c r="P985" s="266"/>
      <c r="Q985" s="266"/>
      <c r="BR985" s="266"/>
      <c r="BS985" s="266"/>
      <c r="BT985" s="266"/>
      <c r="BU985" s="266"/>
      <c r="BV985" s="266"/>
      <c r="CJ985" s="266"/>
      <c r="CO985" s="266"/>
      <c r="CP985" s="266"/>
      <c r="CQ985" s="266"/>
      <c r="CR985" s="266"/>
      <c r="CS985" s="266"/>
      <c r="CT985" s="266"/>
      <c r="CU985" s="266"/>
      <c r="CV985" s="266"/>
      <c r="CW985" s="266"/>
      <c r="CX985" s="266"/>
      <c r="CY985" s="266"/>
      <c r="CZ985" s="266"/>
      <c r="DA985" s="266"/>
      <c r="DB985" s="266"/>
      <c r="DC985" s="266"/>
      <c r="DD985" s="266"/>
      <c r="DE985" s="266"/>
      <c r="DF985" s="266"/>
      <c r="DG985" s="266"/>
      <c r="DH985" s="266"/>
      <c r="DI985" s="266"/>
      <c r="DJ985" s="266"/>
      <c r="DK985" s="266"/>
      <c r="DL985" s="266"/>
      <c r="DM985" s="266"/>
      <c r="DN985" s="266"/>
      <c r="DO985" s="266"/>
      <c r="DP985" s="266"/>
      <c r="DQ985" s="266"/>
      <c r="DR985" s="266"/>
      <c r="DS985" s="266"/>
    </row>
    <row r="986" spans="11:123">
      <c r="K986" s="266"/>
      <c r="L986" s="266"/>
      <c r="M986" s="266"/>
      <c r="N986" s="266"/>
      <c r="O986" s="266"/>
      <c r="P986" s="266"/>
      <c r="Q986" s="266"/>
      <c r="BR986" s="266"/>
      <c r="BS986" s="266"/>
      <c r="BT986" s="266"/>
      <c r="BU986" s="266"/>
      <c r="BV986" s="266"/>
      <c r="CJ986" s="266"/>
      <c r="CO986" s="266"/>
      <c r="CP986" s="266"/>
      <c r="CQ986" s="266"/>
      <c r="CR986" s="266"/>
      <c r="CS986" s="266"/>
      <c r="CT986" s="266"/>
      <c r="CU986" s="266"/>
      <c r="CV986" s="266"/>
      <c r="CW986" s="266"/>
      <c r="CX986" s="266"/>
      <c r="CY986" s="266"/>
      <c r="CZ986" s="266"/>
      <c r="DA986" s="266"/>
      <c r="DB986" s="266"/>
      <c r="DC986" s="266"/>
      <c r="DD986" s="266"/>
      <c r="DE986" s="266"/>
      <c r="DF986" s="266"/>
      <c r="DG986" s="266"/>
      <c r="DH986" s="266"/>
      <c r="DI986" s="266"/>
      <c r="DJ986" s="266"/>
      <c r="DK986" s="266"/>
      <c r="DL986" s="266"/>
      <c r="DM986" s="266"/>
      <c r="DN986" s="266"/>
      <c r="DO986" s="266"/>
      <c r="DP986" s="266"/>
      <c r="DQ986" s="266"/>
      <c r="DR986" s="266"/>
      <c r="DS986" s="266"/>
    </row>
    <row r="987" spans="11:123">
      <c r="K987" s="266"/>
      <c r="L987" s="266"/>
      <c r="M987" s="266"/>
      <c r="N987" s="266"/>
      <c r="O987" s="266"/>
      <c r="P987" s="266"/>
      <c r="Q987" s="266"/>
      <c r="BR987" s="266"/>
      <c r="BS987" s="266"/>
      <c r="BT987" s="266"/>
      <c r="BU987" s="266"/>
      <c r="BV987" s="266"/>
      <c r="CJ987" s="266"/>
      <c r="CO987" s="266"/>
      <c r="CP987" s="266"/>
      <c r="CQ987" s="266"/>
      <c r="CR987" s="266"/>
      <c r="CS987" s="266"/>
      <c r="CT987" s="266"/>
      <c r="CU987" s="266"/>
      <c r="CV987" s="266"/>
      <c r="CW987" s="266"/>
      <c r="CX987" s="266"/>
      <c r="CY987" s="266"/>
      <c r="CZ987" s="266"/>
      <c r="DA987" s="266"/>
      <c r="DB987" s="266"/>
      <c r="DC987" s="266"/>
      <c r="DD987" s="266"/>
      <c r="DE987" s="266"/>
      <c r="DF987" s="266"/>
      <c r="DG987" s="266"/>
      <c r="DH987" s="266"/>
      <c r="DI987" s="266"/>
      <c r="DJ987" s="266"/>
      <c r="DK987" s="266"/>
      <c r="DL987" s="266"/>
      <c r="DM987" s="266"/>
      <c r="DN987" s="266"/>
      <c r="DO987" s="266"/>
      <c r="DP987" s="266"/>
      <c r="DQ987" s="266"/>
      <c r="DR987" s="266"/>
      <c r="DS987" s="266"/>
    </row>
    <row r="988" spans="11:123">
      <c r="K988" s="266"/>
      <c r="L988" s="266"/>
      <c r="M988" s="266"/>
      <c r="N988" s="266"/>
      <c r="O988" s="266"/>
      <c r="P988" s="266"/>
      <c r="Q988" s="266"/>
      <c r="BR988" s="266"/>
      <c r="BS988" s="266"/>
      <c r="BT988" s="266"/>
      <c r="BU988" s="266"/>
      <c r="BV988" s="266"/>
      <c r="CJ988" s="266"/>
      <c r="CO988" s="266"/>
      <c r="CP988" s="266"/>
      <c r="CQ988" s="266"/>
      <c r="CR988" s="266"/>
      <c r="CS988" s="266"/>
      <c r="CT988" s="266"/>
      <c r="CU988" s="266"/>
      <c r="CV988" s="266"/>
      <c r="CW988" s="266"/>
      <c r="CX988" s="266"/>
      <c r="CY988" s="266"/>
      <c r="CZ988" s="266"/>
      <c r="DA988" s="266"/>
      <c r="DB988" s="266"/>
      <c r="DC988" s="266"/>
      <c r="DD988" s="266"/>
      <c r="DE988" s="266"/>
      <c r="DF988" s="266"/>
      <c r="DG988" s="266"/>
      <c r="DH988" s="266"/>
      <c r="DI988" s="266"/>
      <c r="DJ988" s="266"/>
      <c r="DK988" s="266"/>
      <c r="DL988" s="266"/>
      <c r="DM988" s="266"/>
      <c r="DN988" s="266"/>
      <c r="DO988" s="266"/>
      <c r="DP988" s="266"/>
      <c r="DQ988" s="266"/>
      <c r="DR988" s="266"/>
      <c r="DS988" s="266"/>
    </row>
    <row r="989" spans="11:123">
      <c r="K989" s="266"/>
      <c r="L989" s="266"/>
      <c r="M989" s="266"/>
      <c r="N989" s="266"/>
      <c r="O989" s="266"/>
      <c r="P989" s="266"/>
      <c r="Q989" s="266"/>
      <c r="BR989" s="266"/>
      <c r="BS989" s="266"/>
      <c r="BT989" s="266"/>
      <c r="BU989" s="266"/>
      <c r="BV989" s="266"/>
      <c r="CJ989" s="266"/>
      <c r="CO989" s="266"/>
      <c r="CP989" s="266"/>
      <c r="CQ989" s="266"/>
      <c r="CR989" s="266"/>
      <c r="CS989" s="266"/>
      <c r="CT989" s="266"/>
      <c r="CU989" s="266"/>
      <c r="CV989" s="266"/>
      <c r="CW989" s="266"/>
      <c r="CX989" s="266"/>
      <c r="CY989" s="266"/>
      <c r="CZ989" s="266"/>
      <c r="DA989" s="266"/>
      <c r="DB989" s="266"/>
      <c r="DC989" s="266"/>
      <c r="DD989" s="266"/>
      <c r="DE989" s="266"/>
      <c r="DF989" s="266"/>
      <c r="DG989" s="266"/>
      <c r="DH989" s="266"/>
      <c r="DI989" s="266"/>
      <c r="DJ989" s="266"/>
      <c r="DK989" s="266"/>
      <c r="DL989" s="266"/>
      <c r="DM989" s="266"/>
      <c r="DN989" s="266"/>
      <c r="DO989" s="266"/>
      <c r="DP989" s="266"/>
      <c r="DQ989" s="266"/>
      <c r="DR989" s="266"/>
      <c r="DS989" s="266"/>
    </row>
    <row r="990" spans="11:123">
      <c r="K990" s="266"/>
      <c r="L990" s="266"/>
      <c r="M990" s="266"/>
      <c r="N990" s="266"/>
      <c r="O990" s="266"/>
      <c r="P990" s="266"/>
      <c r="Q990" s="266"/>
      <c r="BR990" s="266"/>
      <c r="BS990" s="266"/>
      <c r="BT990" s="266"/>
      <c r="BU990" s="266"/>
      <c r="BV990" s="266"/>
      <c r="CJ990" s="266"/>
      <c r="CO990" s="266"/>
      <c r="CP990" s="266"/>
      <c r="CQ990" s="266"/>
      <c r="CR990" s="266"/>
      <c r="CS990" s="266"/>
      <c r="CT990" s="266"/>
      <c r="CU990" s="266"/>
      <c r="CV990" s="266"/>
      <c r="CW990" s="266"/>
      <c r="CX990" s="266"/>
      <c r="CY990" s="266"/>
      <c r="CZ990" s="266"/>
      <c r="DA990" s="266"/>
      <c r="DB990" s="266"/>
      <c r="DC990" s="266"/>
      <c r="DD990" s="266"/>
      <c r="DE990" s="266"/>
      <c r="DF990" s="266"/>
      <c r="DG990" s="266"/>
      <c r="DH990" s="266"/>
      <c r="DI990" s="266"/>
      <c r="DJ990" s="266"/>
      <c r="DK990" s="266"/>
      <c r="DL990" s="266"/>
      <c r="DM990" s="266"/>
      <c r="DN990" s="266"/>
      <c r="DO990" s="266"/>
      <c r="DP990" s="266"/>
      <c r="DQ990" s="266"/>
      <c r="DR990" s="266"/>
      <c r="DS990" s="266"/>
    </row>
    <row r="991" spans="11:123">
      <c r="K991" s="266"/>
      <c r="L991" s="266"/>
      <c r="M991" s="266"/>
      <c r="N991" s="266"/>
      <c r="O991" s="266"/>
      <c r="P991" s="266"/>
      <c r="Q991" s="266"/>
      <c r="BR991" s="266"/>
      <c r="BS991" s="266"/>
      <c r="BT991" s="266"/>
      <c r="BU991" s="266"/>
      <c r="BV991" s="266"/>
      <c r="CJ991" s="266"/>
      <c r="CO991" s="266"/>
      <c r="CP991" s="266"/>
      <c r="CQ991" s="266"/>
      <c r="CR991" s="266"/>
      <c r="CS991" s="266"/>
      <c r="CT991" s="266"/>
      <c r="CU991" s="266"/>
      <c r="CV991" s="266"/>
      <c r="CW991" s="266"/>
      <c r="CX991" s="266"/>
      <c r="CY991" s="266"/>
      <c r="CZ991" s="266"/>
      <c r="DA991" s="266"/>
      <c r="DB991" s="266"/>
      <c r="DC991" s="266"/>
      <c r="DD991" s="266"/>
      <c r="DE991" s="266"/>
      <c r="DF991" s="266"/>
      <c r="DG991" s="266"/>
      <c r="DH991" s="266"/>
      <c r="DI991" s="266"/>
      <c r="DJ991" s="266"/>
      <c r="DK991" s="266"/>
      <c r="DL991" s="266"/>
      <c r="DM991" s="266"/>
      <c r="DN991" s="266"/>
      <c r="DO991" s="266"/>
      <c r="DP991" s="266"/>
      <c r="DQ991" s="266"/>
      <c r="DR991" s="266"/>
      <c r="DS991" s="266"/>
    </row>
    <row r="992" spans="11:123">
      <c r="K992" s="266"/>
      <c r="L992" s="266"/>
      <c r="M992" s="266"/>
      <c r="N992" s="266"/>
      <c r="O992" s="266"/>
      <c r="P992" s="266"/>
      <c r="Q992" s="266"/>
      <c r="BR992" s="266"/>
      <c r="BS992" s="266"/>
      <c r="BT992" s="266"/>
      <c r="BU992" s="266"/>
      <c r="BV992" s="266"/>
      <c r="CJ992" s="266"/>
      <c r="CO992" s="266"/>
      <c r="CP992" s="266"/>
      <c r="CQ992" s="266"/>
      <c r="CR992" s="266"/>
      <c r="CS992" s="266"/>
      <c r="CT992" s="266"/>
      <c r="CU992" s="266"/>
      <c r="CV992" s="266"/>
      <c r="CW992" s="266"/>
      <c r="CX992" s="266"/>
      <c r="CY992" s="266"/>
      <c r="CZ992" s="266"/>
      <c r="DA992" s="266"/>
      <c r="DB992" s="266"/>
      <c r="DC992" s="266"/>
      <c r="DD992" s="266"/>
      <c r="DE992" s="266"/>
      <c r="DF992" s="266"/>
      <c r="DG992" s="266"/>
      <c r="DH992" s="266"/>
      <c r="DI992" s="266"/>
      <c r="DJ992" s="266"/>
      <c r="DK992" s="266"/>
      <c r="DL992" s="266"/>
      <c r="DM992" s="266"/>
      <c r="DN992" s="266"/>
      <c r="DO992" s="266"/>
      <c r="DP992" s="266"/>
      <c r="DQ992" s="266"/>
      <c r="DR992" s="266"/>
      <c r="DS992" s="266"/>
    </row>
    <row r="993" spans="11:123">
      <c r="K993" s="266"/>
      <c r="L993" s="266"/>
      <c r="M993" s="266"/>
      <c r="N993" s="266"/>
      <c r="O993" s="266"/>
      <c r="P993" s="266"/>
      <c r="Q993" s="266"/>
      <c r="BR993" s="266"/>
      <c r="BS993" s="266"/>
      <c r="BT993" s="266"/>
      <c r="BU993" s="266"/>
      <c r="BV993" s="266"/>
      <c r="CJ993" s="266"/>
      <c r="CO993" s="266"/>
      <c r="CP993" s="266"/>
      <c r="CQ993" s="266"/>
      <c r="CR993" s="266"/>
      <c r="CS993" s="266"/>
      <c r="CT993" s="266"/>
      <c r="CU993" s="266"/>
      <c r="CV993" s="266"/>
      <c r="CW993" s="266"/>
      <c r="CX993" s="266"/>
      <c r="CY993" s="266"/>
      <c r="CZ993" s="266"/>
      <c r="DA993" s="266"/>
      <c r="DB993" s="266"/>
      <c r="DC993" s="266"/>
      <c r="DD993" s="266"/>
      <c r="DE993" s="266"/>
      <c r="DF993" s="266"/>
      <c r="DG993" s="266"/>
      <c r="DH993" s="266"/>
      <c r="DI993" s="266"/>
      <c r="DJ993" s="266"/>
      <c r="DK993" s="266"/>
      <c r="DL993" s="266"/>
      <c r="DM993" s="266"/>
      <c r="DN993" s="266"/>
      <c r="DO993" s="266"/>
      <c r="DP993" s="266"/>
      <c r="DQ993" s="266"/>
      <c r="DR993" s="266"/>
      <c r="DS993" s="266"/>
    </row>
    <row r="994" spans="11:123">
      <c r="K994" s="266"/>
      <c r="L994" s="266"/>
      <c r="M994" s="266"/>
      <c r="N994" s="266"/>
      <c r="O994" s="266"/>
      <c r="P994" s="266"/>
      <c r="Q994" s="266"/>
      <c r="BR994" s="266"/>
      <c r="BS994" s="266"/>
      <c r="BT994" s="266"/>
      <c r="BU994" s="266"/>
      <c r="BV994" s="266"/>
      <c r="CJ994" s="266"/>
      <c r="CO994" s="266"/>
      <c r="CP994" s="266"/>
      <c r="CQ994" s="266"/>
      <c r="CR994" s="266"/>
      <c r="CS994" s="266"/>
      <c r="CT994" s="266"/>
      <c r="CU994" s="266"/>
      <c r="CV994" s="266"/>
      <c r="CW994" s="266"/>
      <c r="CX994" s="266"/>
      <c r="CY994" s="266"/>
      <c r="CZ994" s="266"/>
      <c r="DA994" s="266"/>
      <c r="DB994" s="266"/>
      <c r="DC994" s="266"/>
      <c r="DD994" s="266"/>
      <c r="DE994" s="266"/>
      <c r="DF994" s="266"/>
      <c r="DG994" s="266"/>
      <c r="DH994" s="266"/>
      <c r="DI994" s="266"/>
      <c r="DJ994" s="266"/>
      <c r="DK994" s="266"/>
      <c r="DL994" s="266"/>
      <c r="DM994" s="266"/>
      <c r="DN994" s="266"/>
      <c r="DO994" s="266"/>
      <c r="DP994" s="266"/>
      <c r="DQ994" s="266"/>
      <c r="DR994" s="266"/>
      <c r="DS994" s="266"/>
    </row>
    <row r="995" spans="11:123">
      <c r="K995" s="266"/>
      <c r="L995" s="266"/>
      <c r="M995" s="266"/>
      <c r="N995" s="266"/>
      <c r="O995" s="266"/>
      <c r="P995" s="266"/>
      <c r="Q995" s="266"/>
      <c r="BR995" s="266"/>
      <c r="BS995" s="266"/>
      <c r="BT995" s="266"/>
      <c r="BU995" s="266"/>
      <c r="BV995" s="266"/>
      <c r="CJ995" s="266"/>
      <c r="CO995" s="266"/>
      <c r="CP995" s="266"/>
      <c r="CQ995" s="266"/>
      <c r="CR995" s="266"/>
      <c r="CS995" s="266"/>
      <c r="CT995" s="266"/>
      <c r="CU995" s="266"/>
      <c r="CV995" s="266"/>
      <c r="CW995" s="266"/>
      <c r="CX995" s="266"/>
      <c r="CY995" s="266"/>
      <c r="CZ995" s="266"/>
      <c r="DA995" s="266"/>
      <c r="DB995" s="266"/>
      <c r="DC995" s="266"/>
      <c r="DD995" s="266"/>
      <c r="DE995" s="266"/>
      <c r="DF995" s="266"/>
      <c r="DG995" s="266"/>
      <c r="DH995" s="266"/>
      <c r="DI995" s="266"/>
      <c r="DJ995" s="266"/>
      <c r="DK995" s="266"/>
      <c r="DL995" s="266"/>
      <c r="DM995" s="266"/>
      <c r="DN995" s="266"/>
      <c r="DO995" s="266"/>
      <c r="DP995" s="266"/>
      <c r="DQ995" s="266"/>
      <c r="DR995" s="266"/>
      <c r="DS995" s="266"/>
    </row>
    <row r="996" spans="11:123">
      <c r="K996" s="266"/>
      <c r="L996" s="266"/>
      <c r="M996" s="266"/>
      <c r="N996" s="266"/>
      <c r="O996" s="266"/>
      <c r="P996" s="266"/>
      <c r="Q996" s="266"/>
      <c r="BR996" s="266"/>
      <c r="BS996" s="266"/>
      <c r="BT996" s="266"/>
      <c r="BU996" s="266"/>
      <c r="BV996" s="266"/>
      <c r="CJ996" s="266"/>
      <c r="CO996" s="266"/>
      <c r="CP996" s="266"/>
      <c r="CQ996" s="266"/>
      <c r="CR996" s="266"/>
      <c r="CS996" s="266"/>
      <c r="CT996" s="266"/>
      <c r="CU996" s="266"/>
      <c r="CV996" s="266"/>
      <c r="CW996" s="266"/>
      <c r="CX996" s="266"/>
      <c r="CY996" s="266"/>
      <c r="CZ996" s="266"/>
      <c r="DA996" s="266"/>
      <c r="DB996" s="266"/>
      <c r="DC996" s="266"/>
      <c r="DD996" s="266"/>
      <c r="DE996" s="266"/>
      <c r="DF996" s="266"/>
      <c r="DG996" s="266"/>
      <c r="DH996" s="266"/>
      <c r="DI996" s="266"/>
      <c r="DJ996" s="266"/>
      <c r="DK996" s="266"/>
      <c r="DL996" s="266"/>
      <c r="DM996" s="266"/>
      <c r="DN996" s="266"/>
      <c r="DO996" s="266"/>
      <c r="DP996" s="266"/>
      <c r="DQ996" s="266"/>
      <c r="DR996" s="266"/>
      <c r="DS996" s="266"/>
    </row>
    <row r="997" spans="11:123">
      <c r="K997" s="266"/>
      <c r="L997" s="266"/>
      <c r="M997" s="266"/>
      <c r="N997" s="266"/>
      <c r="O997" s="266"/>
      <c r="P997" s="266"/>
      <c r="Q997" s="266"/>
      <c r="BR997" s="266"/>
      <c r="BS997" s="266"/>
      <c r="BT997" s="266"/>
      <c r="BU997" s="266"/>
      <c r="BV997" s="266"/>
      <c r="CJ997" s="266"/>
      <c r="CO997" s="266"/>
      <c r="CP997" s="266"/>
      <c r="CQ997" s="266"/>
      <c r="CR997" s="266"/>
      <c r="CS997" s="266"/>
      <c r="CT997" s="266"/>
      <c r="CU997" s="266"/>
      <c r="CV997" s="266"/>
      <c r="CW997" s="266"/>
      <c r="CX997" s="266"/>
      <c r="CY997" s="266"/>
      <c r="CZ997" s="266"/>
      <c r="DA997" s="266"/>
      <c r="DB997" s="266"/>
      <c r="DC997" s="266"/>
      <c r="DD997" s="266"/>
      <c r="DE997" s="266"/>
      <c r="DF997" s="266"/>
      <c r="DG997" s="266"/>
      <c r="DH997" s="266"/>
      <c r="DI997" s="266"/>
      <c r="DJ997" s="266"/>
      <c r="DK997" s="266"/>
      <c r="DL997" s="266"/>
      <c r="DM997" s="266"/>
      <c r="DN997" s="266"/>
      <c r="DO997" s="266"/>
      <c r="DP997" s="266"/>
      <c r="DQ997" s="266"/>
      <c r="DR997" s="266"/>
      <c r="DS997" s="266"/>
    </row>
    <row r="998" spans="11:123">
      <c r="K998" s="266"/>
      <c r="L998" s="266"/>
      <c r="M998" s="266"/>
      <c r="N998" s="266"/>
      <c r="O998" s="266"/>
      <c r="P998" s="266"/>
      <c r="Q998" s="266"/>
      <c r="BR998" s="266"/>
      <c r="BS998" s="266"/>
      <c r="BT998" s="266"/>
      <c r="BU998" s="266"/>
      <c r="BV998" s="266"/>
      <c r="CJ998" s="266"/>
      <c r="CO998" s="266"/>
      <c r="CP998" s="266"/>
      <c r="CQ998" s="266"/>
      <c r="CR998" s="266"/>
      <c r="CS998" s="266"/>
      <c r="CT998" s="266"/>
      <c r="CU998" s="266"/>
      <c r="CV998" s="266"/>
      <c r="CW998" s="266"/>
      <c r="CX998" s="266"/>
      <c r="CY998" s="266"/>
      <c r="CZ998" s="266"/>
      <c r="DA998" s="266"/>
      <c r="DB998" s="266"/>
      <c r="DC998" s="266"/>
      <c r="DD998" s="266"/>
      <c r="DE998" s="266"/>
      <c r="DF998" s="266"/>
      <c r="DG998" s="266"/>
      <c r="DH998" s="266"/>
      <c r="DI998" s="266"/>
      <c r="DJ998" s="266"/>
      <c r="DK998" s="266"/>
      <c r="DL998" s="266"/>
      <c r="DM998" s="266"/>
      <c r="DN998" s="266"/>
      <c r="DO998" s="266"/>
      <c r="DP998" s="266"/>
      <c r="DQ998" s="266"/>
      <c r="DR998" s="266"/>
      <c r="DS998" s="266"/>
    </row>
    <row r="999" spans="11:123">
      <c r="K999" s="266"/>
      <c r="L999" s="266"/>
      <c r="M999" s="266"/>
      <c r="N999" s="266"/>
      <c r="O999" s="266"/>
      <c r="P999" s="266"/>
      <c r="Q999" s="266"/>
      <c r="BR999" s="266"/>
      <c r="BS999" s="266"/>
      <c r="BT999" s="266"/>
      <c r="BU999" s="266"/>
      <c r="BV999" s="266"/>
      <c r="CJ999" s="266"/>
      <c r="CO999" s="266"/>
      <c r="CP999" s="266"/>
      <c r="CQ999" s="266"/>
      <c r="CR999" s="266"/>
      <c r="CS999" s="266"/>
      <c r="CT999" s="266"/>
      <c r="CU999" s="266"/>
      <c r="CV999" s="266"/>
      <c r="CW999" s="266"/>
      <c r="CX999" s="266"/>
      <c r="CY999" s="266"/>
      <c r="CZ999" s="266"/>
      <c r="DA999" s="266"/>
      <c r="DB999" s="266"/>
      <c r="DC999" s="266"/>
      <c r="DD999" s="266"/>
      <c r="DE999" s="266"/>
      <c r="DF999" s="266"/>
      <c r="DG999" s="266"/>
      <c r="DH999" s="266"/>
      <c r="DI999" s="266"/>
      <c r="DJ999" s="266"/>
      <c r="DK999" s="266"/>
      <c r="DL999" s="266"/>
      <c r="DM999" s="266"/>
      <c r="DN999" s="266"/>
      <c r="DO999" s="266"/>
      <c r="DP999" s="266"/>
      <c r="DQ999" s="266"/>
      <c r="DR999" s="266"/>
      <c r="DS999" s="266"/>
    </row>
    <row r="1000" spans="11:123">
      <c r="K1000" s="266"/>
      <c r="L1000" s="266"/>
      <c r="M1000" s="266"/>
      <c r="N1000" s="266"/>
      <c r="O1000" s="266"/>
      <c r="P1000" s="266"/>
      <c r="Q1000" s="266"/>
      <c r="BR1000" s="266"/>
      <c r="BS1000" s="266"/>
      <c r="BT1000" s="266"/>
      <c r="BU1000" s="266"/>
      <c r="BV1000" s="266"/>
      <c r="CJ1000" s="266"/>
      <c r="CO1000" s="266"/>
      <c r="CP1000" s="266"/>
      <c r="CQ1000" s="266"/>
      <c r="CR1000" s="266"/>
      <c r="CS1000" s="266"/>
      <c r="CT1000" s="266"/>
      <c r="CU1000" s="266"/>
      <c r="CV1000" s="266"/>
      <c r="CW1000" s="266"/>
      <c r="CX1000" s="266"/>
      <c r="CY1000" s="266"/>
      <c r="CZ1000" s="266"/>
      <c r="DA1000" s="266"/>
      <c r="DB1000" s="266"/>
      <c r="DC1000" s="266"/>
      <c r="DD1000" s="266"/>
      <c r="DE1000" s="266"/>
      <c r="DF1000" s="266"/>
      <c r="DG1000" s="266"/>
      <c r="DH1000" s="266"/>
      <c r="DI1000" s="266"/>
      <c r="DJ1000" s="266"/>
      <c r="DK1000" s="266"/>
      <c r="DL1000" s="266"/>
      <c r="DM1000" s="266"/>
      <c r="DN1000" s="266"/>
      <c r="DO1000" s="266"/>
      <c r="DP1000" s="266"/>
      <c r="DQ1000" s="266"/>
      <c r="DR1000" s="266"/>
      <c r="DS1000" s="266"/>
    </row>
    <row r="1001" spans="11:123">
      <c r="K1001" s="266"/>
      <c r="L1001" s="266"/>
      <c r="M1001" s="266"/>
      <c r="N1001" s="266"/>
      <c r="O1001" s="266"/>
      <c r="P1001" s="266"/>
      <c r="Q1001" s="266"/>
      <c r="BR1001" s="266"/>
      <c r="BS1001" s="266"/>
      <c r="BT1001" s="266"/>
      <c r="BU1001" s="266"/>
      <c r="BV1001" s="266"/>
      <c r="CJ1001" s="266"/>
      <c r="CO1001" s="266"/>
      <c r="CP1001" s="266"/>
      <c r="CQ1001" s="266"/>
      <c r="CR1001" s="266"/>
      <c r="CS1001" s="266"/>
      <c r="CT1001" s="266"/>
      <c r="CU1001" s="266"/>
      <c r="CV1001" s="266"/>
      <c r="CW1001" s="266"/>
      <c r="CX1001" s="266"/>
      <c r="CY1001" s="266"/>
      <c r="CZ1001" s="266"/>
      <c r="DA1001" s="266"/>
      <c r="DB1001" s="266"/>
      <c r="DC1001" s="266"/>
      <c r="DD1001" s="266"/>
      <c r="DE1001" s="266"/>
      <c r="DF1001" s="266"/>
      <c r="DG1001" s="266"/>
      <c r="DH1001" s="266"/>
      <c r="DI1001" s="266"/>
      <c r="DJ1001" s="266"/>
      <c r="DK1001" s="266"/>
      <c r="DL1001" s="266"/>
      <c r="DM1001" s="266"/>
      <c r="DN1001" s="266"/>
      <c r="DO1001" s="266"/>
      <c r="DP1001" s="266"/>
      <c r="DQ1001" s="266"/>
      <c r="DR1001" s="266"/>
      <c r="DS1001" s="266"/>
    </row>
    <row r="1002" spans="11:123">
      <c r="K1002" s="266"/>
      <c r="L1002" s="266"/>
      <c r="M1002" s="266"/>
      <c r="N1002" s="266"/>
      <c r="O1002" s="266"/>
      <c r="P1002" s="266"/>
      <c r="Q1002" s="266"/>
      <c r="BR1002" s="266"/>
      <c r="BS1002" s="266"/>
      <c r="BT1002" s="266"/>
      <c r="BU1002" s="266"/>
      <c r="BV1002" s="266"/>
      <c r="CJ1002" s="266"/>
      <c r="CO1002" s="266"/>
      <c r="CP1002" s="266"/>
      <c r="CQ1002" s="266"/>
      <c r="CR1002" s="266"/>
      <c r="CS1002" s="266"/>
      <c r="CT1002" s="266"/>
      <c r="CU1002" s="266"/>
      <c r="CV1002" s="266"/>
      <c r="CW1002" s="266"/>
      <c r="CX1002" s="266"/>
      <c r="CY1002" s="266"/>
      <c r="CZ1002" s="266"/>
      <c r="DA1002" s="266"/>
      <c r="DB1002" s="266"/>
      <c r="DC1002" s="266"/>
      <c r="DD1002" s="266"/>
      <c r="DE1002" s="266"/>
      <c r="DF1002" s="266"/>
      <c r="DG1002" s="266"/>
      <c r="DH1002" s="266"/>
      <c r="DI1002" s="266"/>
      <c r="DJ1002" s="266"/>
      <c r="DK1002" s="266"/>
      <c r="DL1002" s="266"/>
      <c r="DM1002" s="266"/>
      <c r="DN1002" s="266"/>
      <c r="DO1002" s="266"/>
      <c r="DP1002" s="266"/>
      <c r="DQ1002" s="266"/>
      <c r="DR1002" s="266"/>
      <c r="DS1002" s="266"/>
    </row>
    <row r="1003" spans="11:123">
      <c r="K1003" s="266"/>
      <c r="L1003" s="266"/>
      <c r="M1003" s="266"/>
      <c r="N1003" s="266"/>
      <c r="O1003" s="266"/>
      <c r="P1003" s="266"/>
      <c r="Q1003" s="266"/>
      <c r="BR1003" s="266"/>
      <c r="BS1003" s="266"/>
      <c r="BT1003" s="266"/>
      <c r="BU1003" s="266"/>
      <c r="BV1003" s="266"/>
      <c r="CJ1003" s="266"/>
      <c r="CO1003" s="266"/>
      <c r="CP1003" s="266"/>
      <c r="CQ1003" s="266"/>
      <c r="CR1003" s="266"/>
      <c r="CS1003" s="266"/>
      <c r="CT1003" s="266"/>
      <c r="CU1003" s="266"/>
      <c r="CV1003" s="266"/>
      <c r="CW1003" s="266"/>
      <c r="CX1003" s="266"/>
      <c r="CY1003" s="266"/>
      <c r="CZ1003" s="266"/>
      <c r="DA1003" s="266"/>
      <c r="DB1003" s="266"/>
      <c r="DC1003" s="266"/>
      <c r="DD1003" s="266"/>
      <c r="DE1003" s="266"/>
      <c r="DF1003" s="266"/>
      <c r="DG1003" s="266"/>
      <c r="DH1003" s="266"/>
      <c r="DI1003" s="266"/>
      <c r="DJ1003" s="266"/>
      <c r="DK1003" s="266"/>
      <c r="DL1003" s="266"/>
      <c r="DM1003" s="266"/>
      <c r="DN1003" s="266"/>
      <c r="DO1003" s="266"/>
      <c r="DP1003" s="266"/>
      <c r="DQ1003" s="266"/>
      <c r="DR1003" s="266"/>
      <c r="DS1003" s="266"/>
    </row>
    <row r="1004" spans="11:123">
      <c r="K1004" s="266"/>
      <c r="L1004" s="266"/>
      <c r="M1004" s="266"/>
      <c r="N1004" s="266"/>
      <c r="O1004" s="266"/>
      <c r="P1004" s="266"/>
      <c r="Q1004" s="266"/>
      <c r="BR1004" s="266"/>
      <c r="BS1004" s="266"/>
      <c r="BT1004" s="266"/>
      <c r="BU1004" s="266"/>
      <c r="BV1004" s="266"/>
      <c r="CJ1004" s="266"/>
      <c r="CO1004" s="266"/>
      <c r="CP1004" s="266"/>
      <c r="CQ1004" s="266"/>
      <c r="CR1004" s="266"/>
      <c r="CS1004" s="266"/>
      <c r="CT1004" s="266"/>
      <c r="CU1004" s="266"/>
      <c r="CV1004" s="266"/>
      <c r="CW1004" s="266"/>
      <c r="CX1004" s="266"/>
      <c r="CY1004" s="266"/>
      <c r="CZ1004" s="266"/>
      <c r="DA1004" s="266"/>
      <c r="DB1004" s="266"/>
      <c r="DC1004" s="266"/>
      <c r="DD1004" s="266"/>
      <c r="DE1004" s="266"/>
      <c r="DF1004" s="266"/>
      <c r="DG1004" s="266"/>
      <c r="DH1004" s="266"/>
      <c r="DI1004" s="266"/>
      <c r="DJ1004" s="266"/>
      <c r="DK1004" s="266"/>
      <c r="DL1004" s="266"/>
      <c r="DM1004" s="266"/>
      <c r="DN1004" s="266"/>
      <c r="DO1004" s="266"/>
      <c r="DP1004" s="266"/>
      <c r="DQ1004" s="266"/>
      <c r="DR1004" s="266"/>
      <c r="DS1004" s="266"/>
    </row>
    <row r="1005" spans="11:123">
      <c r="K1005" s="266"/>
      <c r="L1005" s="266"/>
      <c r="M1005" s="266"/>
      <c r="N1005" s="266"/>
      <c r="O1005" s="266"/>
      <c r="P1005" s="266"/>
      <c r="Q1005" s="266"/>
      <c r="BR1005" s="266"/>
      <c r="BS1005" s="266"/>
      <c r="BT1005" s="266"/>
      <c r="BU1005" s="266"/>
      <c r="BV1005" s="266"/>
      <c r="CJ1005" s="266"/>
      <c r="CO1005" s="266"/>
      <c r="CP1005" s="266"/>
      <c r="CQ1005" s="266"/>
      <c r="CR1005" s="266"/>
      <c r="CS1005" s="266"/>
      <c r="CT1005" s="266"/>
      <c r="CU1005" s="266"/>
      <c r="CV1005" s="266"/>
      <c r="CW1005" s="266"/>
      <c r="CX1005" s="266"/>
      <c r="CY1005" s="266"/>
      <c r="CZ1005" s="266"/>
      <c r="DA1005" s="266"/>
      <c r="DB1005" s="266"/>
      <c r="DC1005" s="266"/>
      <c r="DD1005" s="266"/>
      <c r="DE1005" s="266"/>
      <c r="DF1005" s="266"/>
      <c r="DG1005" s="266"/>
      <c r="DH1005" s="266"/>
      <c r="DI1005" s="266"/>
      <c r="DJ1005" s="266"/>
      <c r="DK1005" s="266"/>
      <c r="DL1005" s="266"/>
      <c r="DM1005" s="266"/>
      <c r="DN1005" s="266"/>
      <c r="DO1005" s="266"/>
      <c r="DP1005" s="266"/>
      <c r="DQ1005" s="266"/>
      <c r="DR1005" s="266"/>
      <c r="DS1005" s="266"/>
    </row>
    <row r="1006" spans="11:123">
      <c r="K1006" s="266"/>
      <c r="L1006" s="266"/>
      <c r="M1006" s="266"/>
      <c r="N1006" s="266"/>
      <c r="O1006" s="266"/>
      <c r="P1006" s="266"/>
      <c r="Q1006" s="266"/>
      <c r="BR1006" s="266"/>
      <c r="BS1006" s="266"/>
      <c r="BT1006" s="266"/>
      <c r="BU1006" s="266"/>
      <c r="BV1006" s="266"/>
      <c r="CJ1006" s="266"/>
      <c r="CO1006" s="266"/>
      <c r="CP1006" s="266"/>
      <c r="CQ1006" s="266"/>
      <c r="CR1006" s="266"/>
      <c r="CS1006" s="266"/>
      <c r="CT1006" s="266"/>
      <c r="CU1006" s="266"/>
      <c r="CV1006" s="266"/>
      <c r="CW1006" s="266"/>
      <c r="CX1006" s="266"/>
      <c r="CY1006" s="266"/>
      <c r="CZ1006" s="266"/>
      <c r="DA1006" s="266"/>
      <c r="DB1006" s="266"/>
      <c r="DC1006" s="266"/>
      <c r="DD1006" s="266"/>
      <c r="DE1006" s="266"/>
      <c r="DF1006" s="266"/>
      <c r="DG1006" s="266"/>
      <c r="DH1006" s="266"/>
      <c r="DI1006" s="266"/>
      <c r="DJ1006" s="266"/>
      <c r="DK1006" s="266"/>
      <c r="DL1006" s="266"/>
      <c r="DM1006" s="266"/>
      <c r="DN1006" s="266"/>
      <c r="DO1006" s="266"/>
      <c r="DP1006" s="266"/>
      <c r="DQ1006" s="266"/>
      <c r="DR1006" s="266"/>
      <c r="DS1006" s="266"/>
    </row>
    <row r="1007" spans="11:123">
      <c r="K1007" s="266"/>
      <c r="L1007" s="266"/>
      <c r="M1007" s="266"/>
      <c r="N1007" s="266"/>
      <c r="O1007" s="266"/>
      <c r="P1007" s="266"/>
      <c r="Q1007" s="266"/>
      <c r="BR1007" s="266"/>
      <c r="BS1007" s="266"/>
      <c r="BT1007" s="266"/>
      <c r="BU1007" s="266"/>
      <c r="BV1007" s="266"/>
      <c r="CJ1007" s="266"/>
      <c r="CO1007" s="266"/>
      <c r="CP1007" s="266"/>
      <c r="CQ1007" s="266"/>
      <c r="CR1007" s="266"/>
      <c r="CS1007" s="266"/>
      <c r="CT1007" s="266"/>
      <c r="CU1007" s="266"/>
      <c r="CV1007" s="266"/>
      <c r="CW1007" s="266"/>
      <c r="CX1007" s="266"/>
      <c r="CY1007" s="266"/>
      <c r="CZ1007" s="266"/>
      <c r="DA1007" s="266"/>
      <c r="DB1007" s="266"/>
      <c r="DC1007" s="266"/>
      <c r="DD1007" s="266"/>
      <c r="DE1007" s="266"/>
      <c r="DF1007" s="266"/>
      <c r="DG1007" s="266"/>
      <c r="DH1007" s="266"/>
      <c r="DI1007" s="266"/>
      <c r="DJ1007" s="266"/>
      <c r="DK1007" s="266"/>
      <c r="DL1007" s="266"/>
      <c r="DM1007" s="266"/>
      <c r="DN1007" s="266"/>
      <c r="DO1007" s="266"/>
      <c r="DP1007" s="266"/>
      <c r="DQ1007" s="266"/>
      <c r="DR1007" s="266"/>
      <c r="DS1007" s="266"/>
    </row>
    <row r="1008" spans="11:123">
      <c r="K1008" s="266"/>
      <c r="L1008" s="266"/>
      <c r="M1008" s="266"/>
      <c r="N1008" s="266"/>
      <c r="O1008" s="266"/>
      <c r="P1008" s="266"/>
      <c r="Q1008" s="266"/>
      <c r="BR1008" s="266"/>
      <c r="BS1008" s="266"/>
      <c r="BT1008" s="266"/>
      <c r="BU1008" s="266"/>
      <c r="BV1008" s="266"/>
      <c r="CJ1008" s="266"/>
      <c r="CO1008" s="266"/>
      <c r="CP1008" s="266"/>
      <c r="CQ1008" s="266"/>
      <c r="CR1008" s="266"/>
      <c r="CS1008" s="266"/>
      <c r="CT1008" s="266"/>
      <c r="CU1008" s="266"/>
      <c r="CV1008" s="266"/>
      <c r="CW1008" s="266"/>
      <c r="CX1008" s="266"/>
      <c r="CY1008" s="266"/>
      <c r="CZ1008" s="266"/>
      <c r="DA1008" s="266"/>
      <c r="DB1008" s="266"/>
      <c r="DC1008" s="266"/>
      <c r="DD1008" s="266"/>
      <c r="DE1008" s="266"/>
      <c r="DF1008" s="266"/>
      <c r="DG1008" s="266"/>
      <c r="DH1008" s="266"/>
      <c r="DI1008" s="266"/>
      <c r="DJ1008" s="266"/>
      <c r="DK1008" s="266"/>
      <c r="DL1008" s="266"/>
      <c r="DM1008" s="266"/>
      <c r="DN1008" s="266"/>
      <c r="DO1008" s="266"/>
      <c r="DP1008" s="266"/>
      <c r="DQ1008" s="266"/>
      <c r="DR1008" s="266"/>
      <c r="DS1008" s="266"/>
    </row>
    <row r="1009" spans="11:123">
      <c r="K1009" s="266"/>
      <c r="L1009" s="266"/>
      <c r="M1009" s="266"/>
      <c r="N1009" s="266"/>
      <c r="O1009" s="266"/>
      <c r="P1009" s="266"/>
      <c r="Q1009" s="266"/>
      <c r="BR1009" s="266"/>
      <c r="BS1009" s="266"/>
      <c r="BT1009" s="266"/>
      <c r="BU1009" s="266"/>
      <c r="BV1009" s="266"/>
      <c r="CJ1009" s="266"/>
      <c r="CO1009" s="266"/>
      <c r="CP1009" s="266"/>
      <c r="CQ1009" s="266"/>
      <c r="CR1009" s="266"/>
      <c r="CS1009" s="266"/>
      <c r="CT1009" s="266"/>
      <c r="CU1009" s="266"/>
      <c r="CV1009" s="266"/>
      <c r="CW1009" s="266"/>
      <c r="CX1009" s="266"/>
      <c r="CY1009" s="266"/>
      <c r="CZ1009" s="266"/>
      <c r="DA1009" s="266"/>
      <c r="DB1009" s="266"/>
      <c r="DC1009" s="266"/>
      <c r="DD1009" s="266"/>
      <c r="DE1009" s="266"/>
      <c r="DF1009" s="266"/>
      <c r="DG1009" s="266"/>
      <c r="DH1009" s="266"/>
      <c r="DI1009" s="266"/>
      <c r="DJ1009" s="266"/>
      <c r="DK1009" s="266"/>
      <c r="DL1009" s="266"/>
      <c r="DM1009" s="266"/>
      <c r="DN1009" s="266"/>
      <c r="DO1009" s="266"/>
      <c r="DP1009" s="266"/>
      <c r="DQ1009" s="266"/>
      <c r="DR1009" s="266"/>
      <c r="DS1009" s="266"/>
    </row>
    <row r="1010" spans="11:123">
      <c r="K1010" s="266"/>
      <c r="L1010" s="266"/>
      <c r="M1010" s="266"/>
      <c r="N1010" s="266"/>
      <c r="O1010" s="266"/>
      <c r="P1010" s="266"/>
      <c r="Q1010" s="266"/>
      <c r="BR1010" s="266"/>
      <c r="BS1010" s="266"/>
      <c r="BT1010" s="266"/>
      <c r="BU1010" s="266"/>
      <c r="BV1010" s="266"/>
      <c r="CJ1010" s="266"/>
      <c r="CO1010" s="266"/>
      <c r="CP1010" s="266"/>
      <c r="CQ1010" s="266"/>
      <c r="CR1010" s="266"/>
      <c r="CS1010" s="266"/>
      <c r="CT1010" s="266"/>
      <c r="CU1010" s="266"/>
      <c r="CV1010" s="266"/>
      <c r="CW1010" s="266"/>
      <c r="CX1010" s="266"/>
      <c r="CY1010" s="266"/>
      <c r="CZ1010" s="266"/>
      <c r="DA1010" s="266"/>
      <c r="DB1010" s="266"/>
      <c r="DC1010" s="266"/>
      <c r="DD1010" s="266"/>
      <c r="DE1010" s="266"/>
      <c r="DF1010" s="266"/>
      <c r="DG1010" s="266"/>
      <c r="DH1010" s="266"/>
      <c r="DI1010" s="266"/>
      <c r="DJ1010" s="266"/>
      <c r="DK1010" s="266"/>
      <c r="DL1010" s="266"/>
      <c r="DM1010" s="266"/>
      <c r="DN1010" s="266"/>
      <c r="DO1010" s="266"/>
      <c r="DP1010" s="266"/>
      <c r="DQ1010" s="266"/>
      <c r="DR1010" s="266"/>
      <c r="DS1010" s="266"/>
    </row>
    <row r="1011" spans="11:123">
      <c r="K1011" s="266"/>
      <c r="L1011" s="266"/>
      <c r="M1011" s="266"/>
      <c r="N1011" s="266"/>
      <c r="O1011" s="266"/>
      <c r="P1011" s="266"/>
      <c r="Q1011" s="266"/>
      <c r="BR1011" s="266"/>
      <c r="BS1011" s="266"/>
      <c r="BT1011" s="266"/>
      <c r="BU1011" s="266"/>
      <c r="BV1011" s="266"/>
      <c r="CJ1011" s="266"/>
      <c r="CO1011" s="266"/>
      <c r="CP1011" s="266"/>
      <c r="CQ1011" s="266"/>
      <c r="CR1011" s="266"/>
      <c r="CS1011" s="266"/>
      <c r="CT1011" s="266"/>
      <c r="CU1011" s="266"/>
      <c r="CV1011" s="266"/>
      <c r="CW1011" s="266"/>
      <c r="CX1011" s="266"/>
      <c r="CY1011" s="266"/>
      <c r="CZ1011" s="266"/>
      <c r="DA1011" s="266"/>
      <c r="DB1011" s="266"/>
      <c r="DC1011" s="266"/>
      <c r="DD1011" s="266"/>
      <c r="DE1011" s="266"/>
      <c r="DF1011" s="266"/>
      <c r="DG1011" s="266"/>
      <c r="DH1011" s="266"/>
      <c r="DI1011" s="266"/>
      <c r="DJ1011" s="266"/>
      <c r="DK1011" s="266"/>
      <c r="DL1011" s="266"/>
      <c r="DM1011" s="266"/>
      <c r="DN1011" s="266"/>
      <c r="DO1011" s="266"/>
      <c r="DP1011" s="266"/>
      <c r="DQ1011" s="266"/>
      <c r="DR1011" s="266"/>
      <c r="DS1011" s="266"/>
    </row>
    <row r="1012" spans="11:123">
      <c r="K1012" s="266"/>
      <c r="L1012" s="266"/>
      <c r="M1012" s="266"/>
      <c r="N1012" s="266"/>
      <c r="O1012" s="266"/>
      <c r="P1012" s="266"/>
      <c r="Q1012" s="266"/>
      <c r="BR1012" s="266"/>
      <c r="BS1012" s="266"/>
      <c r="BT1012" s="266"/>
      <c r="BU1012" s="266"/>
      <c r="BV1012" s="266"/>
      <c r="CJ1012" s="266"/>
      <c r="CO1012" s="266"/>
      <c r="CP1012" s="266"/>
      <c r="CQ1012" s="266"/>
      <c r="CR1012" s="266"/>
      <c r="CS1012" s="266"/>
      <c r="CT1012" s="266"/>
      <c r="CU1012" s="266"/>
      <c r="CV1012" s="266"/>
      <c r="CW1012" s="266"/>
      <c r="CX1012" s="266"/>
      <c r="CY1012" s="266"/>
      <c r="CZ1012" s="266"/>
      <c r="DA1012" s="266"/>
      <c r="DB1012" s="266"/>
      <c r="DC1012" s="266"/>
      <c r="DD1012" s="266"/>
      <c r="DE1012" s="266"/>
      <c r="DF1012" s="266"/>
      <c r="DG1012" s="266"/>
      <c r="DH1012" s="266"/>
      <c r="DI1012" s="266"/>
      <c r="DJ1012" s="266"/>
      <c r="DK1012" s="266"/>
      <c r="DL1012" s="266"/>
      <c r="DM1012" s="266"/>
      <c r="DN1012" s="266"/>
      <c r="DO1012" s="266"/>
      <c r="DP1012" s="266"/>
      <c r="DQ1012" s="266"/>
      <c r="DR1012" s="266"/>
      <c r="DS1012" s="266"/>
    </row>
    <row r="1013" spans="11:123">
      <c r="K1013" s="266"/>
      <c r="L1013" s="266"/>
      <c r="M1013" s="266"/>
      <c r="N1013" s="266"/>
      <c r="O1013" s="266"/>
      <c r="P1013" s="266"/>
      <c r="Q1013" s="266"/>
      <c r="BR1013" s="266"/>
      <c r="BS1013" s="266"/>
      <c r="BT1013" s="266"/>
      <c r="BU1013" s="266"/>
      <c r="BV1013" s="266"/>
      <c r="CJ1013" s="266"/>
      <c r="CO1013" s="266"/>
      <c r="CP1013" s="266"/>
      <c r="CQ1013" s="266"/>
      <c r="CR1013" s="266"/>
      <c r="CS1013" s="266"/>
      <c r="CT1013" s="266"/>
      <c r="CU1013" s="266"/>
      <c r="CV1013" s="266"/>
      <c r="CW1013" s="266"/>
      <c r="CX1013" s="266"/>
      <c r="CY1013" s="266"/>
      <c r="CZ1013" s="266"/>
      <c r="DA1013" s="266"/>
      <c r="DB1013" s="266"/>
      <c r="DC1013" s="266"/>
      <c r="DD1013" s="266"/>
      <c r="DE1013" s="266"/>
      <c r="DF1013" s="266"/>
      <c r="DG1013" s="266"/>
      <c r="DH1013" s="266"/>
      <c r="DI1013" s="266"/>
      <c r="DJ1013" s="266"/>
      <c r="DK1013" s="266"/>
      <c r="DL1013" s="266"/>
      <c r="DM1013" s="266"/>
      <c r="DN1013" s="266"/>
      <c r="DO1013" s="266"/>
      <c r="DP1013" s="266"/>
      <c r="DQ1013" s="266"/>
      <c r="DR1013" s="266"/>
      <c r="DS1013" s="266"/>
    </row>
    <row r="1014" spans="11:123">
      <c r="K1014" s="266"/>
      <c r="L1014" s="266"/>
      <c r="M1014" s="266"/>
      <c r="N1014" s="266"/>
      <c r="O1014" s="266"/>
      <c r="P1014" s="266"/>
      <c r="Q1014" s="266"/>
      <c r="BR1014" s="266"/>
      <c r="BS1014" s="266"/>
      <c r="BT1014" s="266"/>
      <c r="BU1014" s="266"/>
      <c r="BV1014" s="266"/>
      <c r="CJ1014" s="266"/>
      <c r="CO1014" s="266"/>
      <c r="CP1014" s="266"/>
      <c r="CQ1014" s="266"/>
      <c r="CR1014" s="266"/>
      <c r="CS1014" s="266"/>
      <c r="CT1014" s="266"/>
      <c r="CU1014" s="266"/>
      <c r="CV1014" s="266"/>
      <c r="CW1014" s="266"/>
      <c r="CX1014" s="266"/>
      <c r="CY1014" s="266"/>
      <c r="CZ1014" s="266"/>
      <c r="DA1014" s="266"/>
      <c r="DB1014" s="266"/>
      <c r="DC1014" s="266"/>
      <c r="DD1014" s="266"/>
      <c r="DE1014" s="266"/>
      <c r="DF1014" s="266"/>
      <c r="DG1014" s="266"/>
      <c r="DH1014" s="266"/>
      <c r="DI1014" s="266"/>
      <c r="DJ1014" s="266"/>
      <c r="DK1014" s="266"/>
      <c r="DL1014" s="266"/>
      <c r="DM1014" s="266"/>
      <c r="DN1014" s="266"/>
      <c r="DO1014" s="266"/>
      <c r="DP1014" s="266"/>
      <c r="DQ1014" s="266"/>
      <c r="DR1014" s="266"/>
      <c r="DS1014" s="266"/>
    </row>
    <row r="1015" spans="11:123">
      <c r="K1015" s="266"/>
      <c r="L1015" s="266"/>
      <c r="M1015" s="266"/>
      <c r="N1015" s="266"/>
      <c r="O1015" s="266"/>
      <c r="P1015" s="266"/>
      <c r="Q1015" s="266"/>
      <c r="BR1015" s="266"/>
      <c r="BS1015" s="266"/>
      <c r="BT1015" s="266"/>
      <c r="BU1015" s="266"/>
      <c r="BV1015" s="266"/>
      <c r="CJ1015" s="266"/>
      <c r="CO1015" s="266"/>
      <c r="CP1015" s="266"/>
      <c r="CQ1015" s="266"/>
      <c r="CR1015" s="266"/>
      <c r="CS1015" s="266"/>
      <c r="CT1015" s="266"/>
      <c r="CU1015" s="266"/>
      <c r="CV1015" s="266"/>
      <c r="CW1015" s="266"/>
      <c r="CX1015" s="266"/>
      <c r="CY1015" s="266"/>
      <c r="CZ1015" s="266"/>
      <c r="DA1015" s="266"/>
      <c r="DB1015" s="266"/>
      <c r="DC1015" s="266"/>
      <c r="DD1015" s="266"/>
      <c r="DE1015" s="266"/>
      <c r="DF1015" s="266"/>
      <c r="DG1015" s="266"/>
      <c r="DH1015" s="266"/>
      <c r="DI1015" s="266"/>
      <c r="DJ1015" s="266"/>
      <c r="DK1015" s="266"/>
      <c r="DL1015" s="266"/>
      <c r="DM1015" s="266"/>
      <c r="DN1015" s="266"/>
      <c r="DO1015" s="266"/>
      <c r="DP1015" s="266"/>
      <c r="DQ1015" s="266"/>
      <c r="DR1015" s="266"/>
      <c r="DS1015" s="266"/>
    </row>
    <row r="1016" spans="11:123">
      <c r="K1016" s="266"/>
      <c r="L1016" s="266"/>
      <c r="M1016" s="266"/>
      <c r="N1016" s="266"/>
      <c r="O1016" s="266"/>
      <c r="P1016" s="266"/>
      <c r="Q1016" s="266"/>
      <c r="BR1016" s="266"/>
      <c r="BS1016" s="266"/>
      <c r="BT1016" s="266"/>
      <c r="BU1016" s="266"/>
      <c r="BV1016" s="266"/>
      <c r="CJ1016" s="266"/>
      <c r="CO1016" s="266"/>
      <c r="CP1016" s="266"/>
      <c r="CQ1016" s="266"/>
      <c r="CR1016" s="266"/>
      <c r="CS1016" s="266"/>
      <c r="CT1016" s="266"/>
      <c r="CU1016" s="266"/>
      <c r="CV1016" s="266"/>
      <c r="CW1016" s="266"/>
      <c r="CX1016" s="266"/>
      <c r="CY1016" s="266"/>
      <c r="CZ1016" s="266"/>
      <c r="DA1016" s="266"/>
      <c r="DB1016" s="266"/>
      <c r="DC1016" s="266"/>
      <c r="DD1016" s="266"/>
      <c r="DE1016" s="266"/>
      <c r="DF1016" s="266"/>
      <c r="DG1016" s="266"/>
      <c r="DH1016" s="266"/>
      <c r="DI1016" s="266"/>
      <c r="DJ1016" s="266"/>
      <c r="DK1016" s="266"/>
      <c r="DL1016" s="266"/>
      <c r="DM1016" s="266"/>
      <c r="DN1016" s="266"/>
      <c r="DO1016" s="266"/>
      <c r="DP1016" s="266"/>
      <c r="DQ1016" s="266"/>
      <c r="DR1016" s="266"/>
      <c r="DS1016" s="266"/>
    </row>
    <row r="1017" spans="11:123">
      <c r="K1017" s="266"/>
      <c r="L1017" s="266"/>
      <c r="M1017" s="266"/>
      <c r="N1017" s="266"/>
      <c r="O1017" s="266"/>
      <c r="P1017" s="266"/>
      <c r="Q1017" s="266"/>
      <c r="BR1017" s="266"/>
      <c r="BS1017" s="266"/>
      <c r="BT1017" s="266"/>
      <c r="BU1017" s="266"/>
      <c r="BV1017" s="266"/>
      <c r="CJ1017" s="266"/>
      <c r="CO1017" s="266"/>
      <c r="CP1017" s="266"/>
      <c r="CQ1017" s="266"/>
      <c r="CR1017" s="266"/>
      <c r="CS1017" s="266"/>
      <c r="CT1017" s="266"/>
      <c r="CU1017" s="266"/>
      <c r="CV1017" s="266"/>
      <c r="CW1017" s="266"/>
      <c r="CX1017" s="266"/>
      <c r="CY1017" s="266"/>
      <c r="CZ1017" s="266"/>
      <c r="DA1017" s="266"/>
      <c r="DB1017" s="266"/>
      <c r="DC1017" s="266"/>
      <c r="DD1017" s="266"/>
      <c r="DE1017" s="266"/>
      <c r="DF1017" s="266"/>
      <c r="DG1017" s="266"/>
      <c r="DH1017" s="266"/>
      <c r="DI1017" s="266"/>
      <c r="DJ1017" s="266"/>
      <c r="DK1017" s="266"/>
      <c r="DL1017" s="266"/>
      <c r="DM1017" s="266"/>
      <c r="DN1017" s="266"/>
      <c r="DO1017" s="266"/>
      <c r="DP1017" s="266"/>
      <c r="DQ1017" s="266"/>
      <c r="DR1017" s="266"/>
      <c r="DS1017" s="266"/>
    </row>
    <row r="1018" spans="11:123">
      <c r="K1018" s="266"/>
      <c r="L1018" s="266"/>
      <c r="M1018" s="266"/>
      <c r="N1018" s="266"/>
      <c r="O1018" s="266"/>
      <c r="P1018" s="266"/>
      <c r="Q1018" s="266"/>
      <c r="BR1018" s="266"/>
      <c r="BS1018" s="266"/>
      <c r="BT1018" s="266"/>
      <c r="BU1018" s="266"/>
      <c r="BV1018" s="266"/>
      <c r="CJ1018" s="266"/>
      <c r="CO1018" s="266"/>
      <c r="CP1018" s="266"/>
      <c r="CQ1018" s="266"/>
      <c r="CR1018" s="266"/>
      <c r="CS1018" s="266"/>
      <c r="CT1018" s="266"/>
      <c r="CU1018" s="266"/>
      <c r="CV1018" s="266"/>
      <c r="CW1018" s="266"/>
      <c r="CX1018" s="266"/>
      <c r="CY1018" s="266"/>
      <c r="CZ1018" s="266"/>
      <c r="DA1018" s="266"/>
      <c r="DB1018" s="266"/>
      <c r="DC1018" s="266"/>
      <c r="DD1018" s="266"/>
      <c r="DE1018" s="266"/>
      <c r="DF1018" s="266"/>
      <c r="DG1018" s="266"/>
      <c r="DH1018" s="266"/>
      <c r="DI1018" s="266"/>
      <c r="DJ1018" s="266"/>
      <c r="DK1018" s="266"/>
      <c r="DL1018" s="266"/>
      <c r="DM1018" s="266"/>
      <c r="DN1018" s="266"/>
      <c r="DO1018" s="266"/>
      <c r="DP1018" s="266"/>
      <c r="DQ1018" s="266"/>
      <c r="DR1018" s="266"/>
      <c r="DS1018" s="266"/>
    </row>
    <row r="1019" spans="11:123">
      <c r="K1019" s="266"/>
      <c r="L1019" s="266"/>
      <c r="M1019" s="266"/>
      <c r="N1019" s="266"/>
      <c r="O1019" s="266"/>
      <c r="P1019" s="266"/>
      <c r="Q1019" s="266"/>
      <c r="BR1019" s="266"/>
      <c r="BS1019" s="266"/>
      <c r="BT1019" s="266"/>
      <c r="BU1019" s="266"/>
      <c r="BV1019" s="266"/>
      <c r="CJ1019" s="266"/>
      <c r="CO1019" s="266"/>
      <c r="CP1019" s="266"/>
      <c r="CQ1019" s="266"/>
      <c r="CR1019" s="266"/>
      <c r="CS1019" s="266"/>
      <c r="CT1019" s="266"/>
      <c r="CU1019" s="266"/>
      <c r="CV1019" s="266"/>
      <c r="CW1019" s="266"/>
      <c r="CX1019" s="266"/>
      <c r="CY1019" s="266"/>
      <c r="CZ1019" s="266"/>
      <c r="DA1019" s="266"/>
      <c r="DB1019" s="266"/>
      <c r="DC1019" s="266"/>
      <c r="DD1019" s="266"/>
      <c r="DE1019" s="266"/>
      <c r="DF1019" s="266"/>
      <c r="DG1019" s="266"/>
      <c r="DH1019" s="266"/>
      <c r="DI1019" s="266"/>
      <c r="DJ1019" s="266"/>
      <c r="DK1019" s="266"/>
      <c r="DL1019" s="266"/>
      <c r="DM1019" s="266"/>
      <c r="DN1019" s="266"/>
      <c r="DO1019" s="266"/>
      <c r="DP1019" s="266"/>
      <c r="DQ1019" s="266"/>
      <c r="DR1019" s="266"/>
      <c r="DS1019" s="266"/>
    </row>
    <row r="1020" spans="11:123">
      <c r="K1020" s="266"/>
      <c r="L1020" s="266"/>
      <c r="M1020" s="266"/>
      <c r="N1020" s="266"/>
      <c r="O1020" s="266"/>
      <c r="P1020" s="266"/>
      <c r="Q1020" s="266"/>
      <c r="BR1020" s="266"/>
      <c r="BS1020" s="266"/>
      <c r="BT1020" s="266"/>
      <c r="BU1020" s="266"/>
      <c r="BV1020" s="266"/>
      <c r="CJ1020" s="266"/>
      <c r="CO1020" s="266"/>
      <c r="CP1020" s="266"/>
      <c r="CQ1020" s="266"/>
      <c r="CR1020" s="266"/>
      <c r="CS1020" s="266"/>
      <c r="CT1020" s="266"/>
      <c r="CU1020" s="266"/>
      <c r="CV1020" s="266"/>
      <c r="CW1020" s="266"/>
      <c r="CX1020" s="266"/>
      <c r="CY1020" s="266"/>
      <c r="CZ1020" s="266"/>
      <c r="DA1020" s="266"/>
      <c r="DB1020" s="266"/>
      <c r="DC1020" s="266"/>
      <c r="DD1020" s="266"/>
      <c r="DE1020" s="266"/>
      <c r="DF1020" s="266"/>
      <c r="DG1020" s="266"/>
      <c r="DH1020" s="266"/>
      <c r="DI1020" s="266"/>
      <c r="DJ1020" s="266"/>
      <c r="DK1020" s="266"/>
      <c r="DL1020" s="266"/>
      <c r="DM1020" s="266"/>
      <c r="DN1020" s="266"/>
      <c r="DO1020" s="266"/>
      <c r="DP1020" s="266"/>
      <c r="DQ1020" s="266"/>
      <c r="DR1020" s="266"/>
      <c r="DS1020" s="266"/>
    </row>
    <row r="1021" spans="11:123">
      <c r="K1021" s="266"/>
      <c r="L1021" s="266"/>
      <c r="M1021" s="266"/>
      <c r="N1021" s="266"/>
      <c r="O1021" s="266"/>
      <c r="P1021" s="266"/>
      <c r="Q1021" s="266"/>
      <c r="BR1021" s="266"/>
      <c r="BS1021" s="266"/>
      <c r="BT1021" s="266"/>
      <c r="BU1021" s="266"/>
      <c r="BV1021" s="266"/>
      <c r="CJ1021" s="266"/>
      <c r="CO1021" s="266"/>
      <c r="CP1021" s="266"/>
      <c r="CQ1021" s="266"/>
      <c r="CR1021" s="266"/>
      <c r="CS1021" s="266"/>
      <c r="CT1021" s="266"/>
      <c r="CU1021" s="266"/>
      <c r="CV1021" s="266"/>
      <c r="CW1021" s="266"/>
      <c r="CX1021" s="266"/>
      <c r="CY1021" s="266"/>
      <c r="CZ1021" s="266"/>
      <c r="DA1021" s="266"/>
      <c r="DB1021" s="266"/>
      <c r="DC1021" s="266"/>
      <c r="DD1021" s="266"/>
      <c r="DE1021" s="266"/>
      <c r="DF1021" s="266"/>
      <c r="DG1021" s="266"/>
      <c r="DH1021" s="266"/>
      <c r="DI1021" s="266"/>
      <c r="DJ1021" s="266"/>
      <c r="DK1021" s="266"/>
      <c r="DL1021" s="266"/>
      <c r="DM1021" s="266"/>
      <c r="DN1021" s="266"/>
      <c r="DO1021" s="266"/>
      <c r="DP1021" s="266"/>
      <c r="DQ1021" s="266"/>
      <c r="DR1021" s="266"/>
      <c r="DS1021" s="266"/>
    </row>
    <row r="1022" spans="11:123">
      <c r="K1022" s="266"/>
      <c r="L1022" s="266"/>
      <c r="M1022" s="266"/>
      <c r="N1022" s="266"/>
      <c r="O1022" s="266"/>
      <c r="P1022" s="266"/>
      <c r="Q1022" s="266"/>
      <c r="BR1022" s="266"/>
      <c r="BS1022" s="266"/>
      <c r="BT1022" s="266"/>
      <c r="BU1022" s="266"/>
      <c r="BV1022" s="266"/>
      <c r="CJ1022" s="266"/>
      <c r="CO1022" s="266"/>
      <c r="CP1022" s="266"/>
      <c r="CQ1022" s="266"/>
      <c r="CR1022" s="266"/>
      <c r="CS1022" s="266"/>
      <c r="CT1022" s="266"/>
      <c r="CU1022" s="266"/>
      <c r="CV1022" s="266"/>
      <c r="CW1022" s="266"/>
      <c r="CX1022" s="266"/>
      <c r="CY1022" s="266"/>
      <c r="CZ1022" s="266"/>
      <c r="DA1022" s="266"/>
      <c r="DB1022" s="266"/>
      <c r="DC1022" s="266"/>
      <c r="DD1022" s="266"/>
      <c r="DE1022" s="266"/>
      <c r="DF1022" s="266"/>
      <c r="DG1022" s="266"/>
      <c r="DH1022" s="266"/>
      <c r="DI1022" s="266"/>
      <c r="DJ1022" s="266"/>
      <c r="DK1022" s="266"/>
      <c r="DL1022" s="266"/>
      <c r="DM1022" s="266"/>
      <c r="DN1022" s="266"/>
      <c r="DO1022" s="266"/>
      <c r="DP1022" s="266"/>
      <c r="DQ1022" s="266"/>
      <c r="DR1022" s="266"/>
      <c r="DS1022" s="266"/>
    </row>
    <row r="1023" spans="11:123">
      <c r="K1023" s="266"/>
      <c r="L1023" s="266"/>
      <c r="M1023" s="266"/>
      <c r="N1023" s="266"/>
      <c r="O1023" s="266"/>
      <c r="P1023" s="266"/>
      <c r="Q1023" s="266"/>
      <c r="BR1023" s="266"/>
      <c r="BS1023" s="266"/>
      <c r="BT1023" s="266"/>
      <c r="BU1023" s="266"/>
      <c r="BV1023" s="266"/>
      <c r="CJ1023" s="266"/>
      <c r="CO1023" s="266"/>
      <c r="CP1023" s="266"/>
      <c r="CQ1023" s="266"/>
      <c r="CR1023" s="266"/>
      <c r="CS1023" s="266"/>
      <c r="CT1023" s="266"/>
      <c r="CU1023" s="266"/>
      <c r="CV1023" s="266"/>
      <c r="CW1023" s="266"/>
      <c r="CX1023" s="266"/>
      <c r="CY1023" s="266"/>
      <c r="CZ1023" s="266"/>
      <c r="DA1023" s="266"/>
      <c r="DB1023" s="266"/>
      <c r="DC1023" s="266"/>
      <c r="DD1023" s="266"/>
      <c r="DE1023" s="266"/>
      <c r="DF1023" s="266"/>
      <c r="DG1023" s="266"/>
      <c r="DH1023" s="266"/>
      <c r="DI1023" s="266"/>
      <c r="DJ1023" s="266"/>
      <c r="DK1023" s="266"/>
      <c r="DL1023" s="266"/>
      <c r="DM1023" s="266"/>
      <c r="DN1023" s="266"/>
      <c r="DO1023" s="266"/>
      <c r="DP1023" s="266"/>
      <c r="DQ1023" s="266"/>
      <c r="DR1023" s="266"/>
      <c r="DS1023" s="266"/>
    </row>
    <row r="1024" spans="11:123">
      <c r="K1024" s="266"/>
      <c r="L1024" s="266"/>
      <c r="M1024" s="266"/>
      <c r="N1024" s="266"/>
      <c r="O1024" s="266"/>
      <c r="P1024" s="266"/>
      <c r="Q1024" s="266"/>
      <c r="BR1024" s="266"/>
      <c r="BS1024" s="266"/>
      <c r="BT1024" s="266"/>
      <c r="BU1024" s="266"/>
      <c r="BV1024" s="266"/>
      <c r="CJ1024" s="266"/>
      <c r="CO1024" s="266"/>
      <c r="CP1024" s="266"/>
      <c r="CQ1024" s="266"/>
      <c r="CR1024" s="266"/>
      <c r="CS1024" s="266"/>
      <c r="CT1024" s="266"/>
      <c r="CU1024" s="266"/>
      <c r="CV1024" s="266"/>
      <c r="CW1024" s="266"/>
      <c r="CX1024" s="266"/>
      <c r="CY1024" s="266"/>
      <c r="CZ1024" s="266"/>
      <c r="DA1024" s="266"/>
      <c r="DB1024" s="266"/>
      <c r="DC1024" s="266"/>
      <c r="DD1024" s="266"/>
      <c r="DE1024" s="266"/>
      <c r="DF1024" s="266"/>
      <c r="DG1024" s="266"/>
      <c r="DH1024" s="266"/>
      <c r="DI1024" s="266"/>
      <c r="DJ1024" s="266"/>
      <c r="DK1024" s="266"/>
      <c r="DL1024" s="266"/>
      <c r="DM1024" s="266"/>
      <c r="DN1024" s="266"/>
      <c r="DO1024" s="266"/>
      <c r="DP1024" s="266"/>
      <c r="DQ1024" s="266"/>
      <c r="DR1024" s="266"/>
      <c r="DS1024" s="266"/>
    </row>
    <row r="1025" spans="11:123">
      <c r="K1025" s="266"/>
      <c r="L1025" s="266"/>
      <c r="M1025" s="266"/>
      <c r="N1025" s="266"/>
      <c r="O1025" s="266"/>
      <c r="P1025" s="266"/>
      <c r="Q1025" s="266"/>
      <c r="BR1025" s="266"/>
      <c r="BS1025" s="266"/>
      <c r="BT1025" s="266"/>
      <c r="BU1025" s="266"/>
      <c r="BV1025" s="266"/>
      <c r="CJ1025" s="266"/>
      <c r="CO1025" s="266"/>
      <c r="CP1025" s="266"/>
      <c r="CQ1025" s="266"/>
      <c r="CR1025" s="266"/>
      <c r="CS1025" s="266"/>
      <c r="CT1025" s="266"/>
      <c r="CU1025" s="266"/>
      <c r="CV1025" s="266"/>
      <c r="CW1025" s="266"/>
      <c r="CX1025" s="266"/>
      <c r="CY1025" s="266"/>
      <c r="CZ1025" s="266"/>
      <c r="DA1025" s="266"/>
      <c r="DB1025" s="266"/>
      <c r="DC1025" s="266"/>
      <c r="DD1025" s="266"/>
      <c r="DE1025" s="266"/>
      <c r="DF1025" s="266"/>
      <c r="DG1025" s="266"/>
      <c r="DH1025" s="266"/>
      <c r="DI1025" s="266"/>
      <c r="DJ1025" s="266"/>
      <c r="DK1025" s="266"/>
      <c r="DL1025" s="266"/>
      <c r="DM1025" s="266"/>
      <c r="DN1025" s="266"/>
      <c r="DO1025" s="266"/>
      <c r="DP1025" s="266"/>
      <c r="DQ1025" s="266"/>
      <c r="DR1025" s="266"/>
      <c r="DS1025" s="266"/>
    </row>
    <row r="1026" spans="11:123">
      <c r="K1026" s="266"/>
      <c r="L1026" s="266"/>
      <c r="M1026" s="266"/>
      <c r="N1026" s="266"/>
      <c r="O1026" s="266"/>
      <c r="P1026" s="266"/>
      <c r="Q1026" s="266"/>
      <c r="BR1026" s="266"/>
      <c r="BS1026" s="266"/>
      <c r="BT1026" s="266"/>
      <c r="BU1026" s="266"/>
      <c r="BV1026" s="266"/>
      <c r="CJ1026" s="266"/>
      <c r="CO1026" s="266"/>
      <c r="CP1026" s="266"/>
      <c r="CQ1026" s="266"/>
      <c r="CR1026" s="266"/>
      <c r="CS1026" s="266"/>
      <c r="CT1026" s="266"/>
      <c r="CU1026" s="266"/>
      <c r="CV1026" s="266"/>
      <c r="CW1026" s="266"/>
      <c r="CX1026" s="266"/>
      <c r="CY1026" s="266"/>
      <c r="CZ1026" s="266"/>
      <c r="DA1026" s="266"/>
      <c r="DB1026" s="266"/>
      <c r="DC1026" s="266"/>
      <c r="DD1026" s="266"/>
      <c r="DE1026" s="266"/>
      <c r="DF1026" s="266"/>
      <c r="DG1026" s="266"/>
      <c r="DH1026" s="266"/>
      <c r="DI1026" s="266"/>
      <c r="DJ1026" s="266"/>
      <c r="DK1026" s="266"/>
      <c r="DL1026" s="266"/>
      <c r="DM1026" s="266"/>
      <c r="DN1026" s="266"/>
      <c r="DO1026" s="266"/>
      <c r="DP1026" s="266"/>
      <c r="DQ1026" s="266"/>
      <c r="DR1026" s="266"/>
      <c r="DS1026" s="266"/>
    </row>
    <row r="1027" spans="11:123">
      <c r="K1027" s="266"/>
      <c r="L1027" s="266"/>
      <c r="M1027" s="266"/>
      <c r="N1027" s="266"/>
      <c r="O1027" s="266"/>
      <c r="P1027" s="266"/>
      <c r="Q1027" s="266"/>
      <c r="BR1027" s="266"/>
      <c r="BS1027" s="266"/>
      <c r="BT1027" s="266"/>
      <c r="BU1027" s="266"/>
      <c r="BV1027" s="266"/>
      <c r="CJ1027" s="266"/>
      <c r="CO1027" s="266"/>
      <c r="CP1027" s="266"/>
      <c r="CQ1027" s="266"/>
      <c r="CR1027" s="266"/>
      <c r="CS1027" s="266"/>
      <c r="CT1027" s="266"/>
      <c r="CU1027" s="266"/>
      <c r="CV1027" s="266"/>
      <c r="CW1027" s="266"/>
      <c r="CX1027" s="266"/>
      <c r="CY1027" s="266"/>
      <c r="CZ1027" s="266"/>
      <c r="DA1027" s="266"/>
      <c r="DB1027" s="266"/>
      <c r="DC1027" s="266"/>
      <c r="DD1027" s="266"/>
      <c r="DE1027" s="266"/>
      <c r="DF1027" s="266"/>
      <c r="DG1027" s="266"/>
      <c r="DH1027" s="266"/>
      <c r="DI1027" s="266"/>
      <c r="DJ1027" s="266"/>
      <c r="DK1027" s="266"/>
      <c r="DL1027" s="266"/>
      <c r="DM1027" s="266"/>
      <c r="DN1027" s="266"/>
      <c r="DO1027" s="266"/>
      <c r="DP1027" s="266"/>
      <c r="DQ1027" s="266"/>
      <c r="DR1027" s="266"/>
      <c r="DS1027" s="266"/>
    </row>
    <row r="1028" spans="11:123">
      <c r="K1028" s="266"/>
      <c r="L1028" s="266"/>
      <c r="M1028" s="266"/>
      <c r="N1028" s="266"/>
      <c r="O1028" s="266"/>
      <c r="P1028" s="266"/>
      <c r="Q1028" s="266"/>
      <c r="BR1028" s="266"/>
      <c r="BS1028" s="266"/>
      <c r="BT1028" s="266"/>
      <c r="BU1028" s="266"/>
      <c r="BV1028" s="266"/>
      <c r="CJ1028" s="266"/>
      <c r="CO1028" s="266"/>
      <c r="CP1028" s="266"/>
      <c r="CQ1028" s="266"/>
      <c r="CR1028" s="266"/>
      <c r="CS1028" s="266"/>
      <c r="CT1028" s="266"/>
      <c r="CU1028" s="266"/>
      <c r="CV1028" s="266"/>
      <c r="CW1028" s="266"/>
      <c r="CX1028" s="266"/>
      <c r="CY1028" s="266"/>
      <c r="CZ1028" s="266"/>
      <c r="DA1028" s="266"/>
      <c r="DB1028" s="266"/>
      <c r="DC1028" s="266"/>
      <c r="DD1028" s="266"/>
      <c r="DE1028" s="266"/>
      <c r="DF1028" s="266"/>
      <c r="DG1028" s="266"/>
      <c r="DH1028" s="266"/>
      <c r="DI1028" s="266"/>
      <c r="DJ1028" s="266"/>
      <c r="DK1028" s="266"/>
      <c r="DL1028" s="266"/>
      <c r="DM1028" s="266"/>
      <c r="DN1028" s="266"/>
      <c r="DO1028" s="266"/>
      <c r="DP1028" s="266"/>
      <c r="DQ1028" s="266"/>
      <c r="DR1028" s="266"/>
      <c r="DS1028" s="266"/>
    </row>
    <row r="1029" spans="11:123">
      <c r="K1029" s="266"/>
      <c r="L1029" s="266"/>
      <c r="M1029" s="266"/>
      <c r="N1029" s="266"/>
      <c r="O1029" s="266"/>
      <c r="P1029" s="266"/>
      <c r="Q1029" s="266"/>
      <c r="BR1029" s="266"/>
      <c r="BS1029" s="266"/>
      <c r="BT1029" s="266"/>
      <c r="BU1029" s="266"/>
      <c r="BV1029" s="266"/>
      <c r="CJ1029" s="266"/>
      <c r="CO1029" s="266"/>
      <c r="CP1029" s="266"/>
      <c r="CQ1029" s="266"/>
      <c r="CR1029" s="266"/>
      <c r="CS1029" s="266"/>
      <c r="CT1029" s="266"/>
      <c r="CU1029" s="266"/>
      <c r="CV1029" s="266"/>
      <c r="CW1029" s="266"/>
      <c r="CX1029" s="266"/>
      <c r="CY1029" s="266"/>
      <c r="CZ1029" s="266"/>
      <c r="DA1029" s="266"/>
      <c r="DB1029" s="266"/>
      <c r="DC1029" s="266"/>
      <c r="DD1029" s="266"/>
      <c r="DE1029" s="266"/>
      <c r="DF1029" s="266"/>
      <c r="DG1029" s="266"/>
      <c r="DH1029" s="266"/>
      <c r="DI1029" s="266"/>
      <c r="DJ1029" s="266"/>
      <c r="DK1029" s="266"/>
      <c r="DL1029" s="266"/>
      <c r="DM1029" s="266"/>
      <c r="DN1029" s="266"/>
      <c r="DO1029" s="266"/>
      <c r="DP1029" s="266"/>
      <c r="DQ1029" s="266"/>
      <c r="DR1029" s="266"/>
      <c r="DS1029" s="266"/>
    </row>
    <row r="1030" spans="11:123">
      <c r="K1030" s="266"/>
      <c r="L1030" s="266"/>
      <c r="M1030" s="266"/>
      <c r="N1030" s="266"/>
      <c r="O1030" s="266"/>
      <c r="P1030" s="266"/>
      <c r="Q1030" s="266"/>
      <c r="BR1030" s="266"/>
      <c r="BS1030" s="266"/>
      <c r="BT1030" s="266"/>
      <c r="BU1030" s="266"/>
      <c r="BV1030" s="266"/>
      <c r="CJ1030" s="266"/>
      <c r="CO1030" s="266"/>
      <c r="CP1030" s="266"/>
      <c r="CQ1030" s="266"/>
      <c r="CR1030" s="266"/>
      <c r="CS1030" s="266"/>
      <c r="CT1030" s="266"/>
      <c r="CU1030" s="266"/>
      <c r="CV1030" s="266"/>
      <c r="CW1030" s="266"/>
      <c r="CX1030" s="266"/>
      <c r="CY1030" s="266"/>
      <c r="CZ1030" s="266"/>
      <c r="DA1030" s="266"/>
      <c r="DB1030" s="266"/>
      <c r="DC1030" s="266"/>
      <c r="DD1030" s="266"/>
      <c r="DE1030" s="266"/>
      <c r="DF1030" s="266"/>
      <c r="DG1030" s="266"/>
      <c r="DH1030" s="266"/>
      <c r="DI1030" s="266"/>
      <c r="DJ1030" s="266"/>
      <c r="DK1030" s="266"/>
      <c r="DL1030" s="266"/>
      <c r="DM1030" s="266"/>
      <c r="DN1030" s="266"/>
      <c r="DO1030" s="266"/>
      <c r="DP1030" s="266"/>
      <c r="DQ1030" s="266"/>
      <c r="DR1030" s="266"/>
      <c r="DS1030" s="266"/>
    </row>
    <row r="1031" spans="11:123">
      <c r="K1031" s="266"/>
      <c r="L1031" s="266"/>
      <c r="M1031" s="266"/>
      <c r="N1031" s="266"/>
      <c r="O1031" s="266"/>
      <c r="P1031" s="266"/>
      <c r="Q1031" s="266"/>
      <c r="BR1031" s="266"/>
      <c r="BS1031" s="266"/>
      <c r="BT1031" s="266"/>
      <c r="BU1031" s="266"/>
      <c r="BV1031" s="266"/>
      <c r="CJ1031" s="266"/>
      <c r="CO1031" s="266"/>
      <c r="CP1031" s="266"/>
      <c r="CQ1031" s="266"/>
      <c r="CR1031" s="266"/>
      <c r="CS1031" s="266"/>
      <c r="CT1031" s="266"/>
      <c r="CU1031" s="266"/>
      <c r="CV1031" s="266"/>
      <c r="CW1031" s="266"/>
      <c r="CX1031" s="266"/>
      <c r="CY1031" s="266"/>
      <c r="CZ1031" s="266"/>
      <c r="DA1031" s="266"/>
      <c r="DB1031" s="266"/>
      <c r="DC1031" s="266"/>
      <c r="DD1031" s="266"/>
      <c r="DE1031" s="266"/>
      <c r="DF1031" s="266"/>
      <c r="DG1031" s="266"/>
      <c r="DH1031" s="266"/>
      <c r="DI1031" s="266"/>
      <c r="DJ1031" s="266"/>
      <c r="DK1031" s="266"/>
      <c r="DL1031" s="266"/>
      <c r="DM1031" s="266"/>
      <c r="DN1031" s="266"/>
      <c r="DO1031" s="266"/>
      <c r="DP1031" s="266"/>
      <c r="DQ1031" s="266"/>
      <c r="DR1031" s="266"/>
      <c r="DS1031" s="266"/>
    </row>
    <row r="1032" spans="11:123">
      <c r="K1032" s="266"/>
      <c r="L1032" s="266"/>
      <c r="M1032" s="266"/>
      <c r="N1032" s="266"/>
      <c r="O1032" s="266"/>
      <c r="P1032" s="266"/>
      <c r="Q1032" s="266"/>
      <c r="BR1032" s="266"/>
      <c r="BS1032" s="266"/>
      <c r="BT1032" s="266"/>
      <c r="BU1032" s="266"/>
      <c r="BV1032" s="266"/>
      <c r="CJ1032" s="266"/>
      <c r="CO1032" s="266"/>
      <c r="CP1032" s="266"/>
      <c r="CQ1032" s="266"/>
      <c r="CR1032" s="266"/>
      <c r="CS1032" s="266"/>
      <c r="CT1032" s="266"/>
      <c r="CU1032" s="266"/>
      <c r="CV1032" s="266"/>
      <c r="CW1032" s="266"/>
      <c r="CX1032" s="266"/>
      <c r="CY1032" s="266"/>
      <c r="CZ1032" s="266"/>
      <c r="DA1032" s="266"/>
      <c r="DB1032" s="266"/>
      <c r="DC1032" s="266"/>
      <c r="DD1032" s="266"/>
      <c r="DE1032" s="266"/>
      <c r="DF1032" s="266"/>
      <c r="DG1032" s="266"/>
      <c r="DH1032" s="266"/>
      <c r="DI1032" s="266"/>
      <c r="DJ1032" s="266"/>
      <c r="DK1032" s="266"/>
      <c r="DL1032" s="266"/>
      <c r="DM1032" s="266"/>
      <c r="DN1032" s="266"/>
      <c r="DO1032" s="266"/>
      <c r="DP1032" s="266"/>
      <c r="DQ1032" s="266"/>
      <c r="DR1032" s="266"/>
      <c r="DS1032" s="266"/>
    </row>
    <row r="1033" spans="11:123">
      <c r="K1033" s="266"/>
      <c r="L1033" s="266"/>
      <c r="M1033" s="266"/>
      <c r="N1033" s="266"/>
      <c r="O1033" s="266"/>
      <c r="P1033" s="266"/>
      <c r="Q1033" s="266"/>
      <c r="BR1033" s="266"/>
      <c r="BS1033" s="266"/>
      <c r="BT1033" s="266"/>
      <c r="BU1033" s="266"/>
      <c r="BV1033" s="266"/>
      <c r="CJ1033" s="266"/>
      <c r="CO1033" s="266"/>
      <c r="CP1033" s="266"/>
      <c r="CQ1033" s="266"/>
      <c r="CR1033" s="266"/>
      <c r="CS1033" s="266"/>
      <c r="CT1033" s="266"/>
      <c r="CU1033" s="266"/>
      <c r="CV1033" s="266"/>
      <c r="CW1033" s="266"/>
      <c r="CX1033" s="266"/>
      <c r="CY1033" s="266"/>
      <c r="CZ1033" s="266"/>
      <c r="DA1033" s="266"/>
      <c r="DB1033" s="266"/>
      <c r="DC1033" s="266"/>
      <c r="DD1033" s="266"/>
      <c r="DE1033" s="266"/>
      <c r="DF1033" s="266"/>
      <c r="DG1033" s="266"/>
      <c r="DH1033" s="266"/>
      <c r="DI1033" s="266"/>
      <c r="DJ1033" s="266"/>
      <c r="DK1033" s="266"/>
      <c r="DL1033" s="266"/>
      <c r="DM1033" s="266"/>
      <c r="DN1033" s="266"/>
      <c r="DO1033" s="266"/>
      <c r="DP1033" s="266"/>
      <c r="DQ1033" s="266"/>
      <c r="DR1033" s="266"/>
      <c r="DS1033" s="266"/>
    </row>
    <row r="1034" spans="11:123">
      <c r="K1034" s="266"/>
      <c r="L1034" s="266"/>
      <c r="M1034" s="266"/>
      <c r="N1034" s="266"/>
      <c r="O1034" s="266"/>
      <c r="P1034" s="266"/>
      <c r="Q1034" s="266"/>
      <c r="BR1034" s="266"/>
      <c r="BS1034" s="266"/>
      <c r="BT1034" s="266"/>
      <c r="BU1034" s="266"/>
      <c r="BV1034" s="266"/>
      <c r="CJ1034" s="266"/>
      <c r="CO1034" s="266"/>
      <c r="CP1034" s="266"/>
      <c r="CQ1034" s="266"/>
      <c r="CR1034" s="266"/>
      <c r="CS1034" s="266"/>
      <c r="CT1034" s="266"/>
      <c r="CU1034" s="266"/>
      <c r="CV1034" s="266"/>
      <c r="CW1034" s="266"/>
      <c r="CX1034" s="266"/>
      <c r="CY1034" s="266"/>
      <c r="CZ1034" s="266"/>
      <c r="DA1034" s="266"/>
      <c r="DB1034" s="266"/>
      <c r="DC1034" s="266"/>
      <c r="DD1034" s="266"/>
      <c r="DE1034" s="266"/>
      <c r="DF1034" s="266"/>
      <c r="DG1034" s="266"/>
      <c r="DH1034" s="266"/>
      <c r="DI1034" s="266"/>
      <c r="DJ1034" s="266"/>
      <c r="DK1034" s="266"/>
      <c r="DL1034" s="266"/>
      <c r="DM1034" s="266"/>
      <c r="DN1034" s="266"/>
      <c r="DO1034" s="266"/>
      <c r="DP1034" s="266"/>
      <c r="DQ1034" s="266"/>
      <c r="DR1034" s="266"/>
      <c r="DS1034" s="266"/>
    </row>
    <row r="1035" spans="11:123">
      <c r="K1035" s="266"/>
      <c r="L1035" s="266"/>
      <c r="M1035" s="266"/>
      <c r="N1035" s="266"/>
      <c r="O1035" s="266"/>
      <c r="P1035" s="266"/>
      <c r="Q1035" s="266"/>
      <c r="BR1035" s="266"/>
      <c r="BS1035" s="266"/>
      <c r="BT1035" s="266"/>
      <c r="BU1035" s="266"/>
      <c r="BV1035" s="266"/>
      <c r="CJ1035" s="266"/>
      <c r="CO1035" s="266"/>
      <c r="CP1035" s="266"/>
      <c r="CQ1035" s="266"/>
      <c r="CR1035" s="266"/>
      <c r="CS1035" s="266"/>
      <c r="CT1035" s="266"/>
      <c r="CU1035" s="266"/>
      <c r="CV1035" s="266"/>
      <c r="CW1035" s="266"/>
      <c r="CX1035" s="266"/>
      <c r="CY1035" s="266"/>
      <c r="CZ1035" s="266"/>
      <c r="DA1035" s="266"/>
      <c r="DB1035" s="266"/>
      <c r="DC1035" s="266"/>
      <c r="DD1035" s="266"/>
      <c r="DE1035" s="266"/>
      <c r="DF1035" s="266"/>
      <c r="DG1035" s="266"/>
      <c r="DH1035" s="266"/>
      <c r="DI1035" s="266"/>
      <c r="DJ1035" s="266"/>
      <c r="DK1035" s="266"/>
      <c r="DL1035" s="266"/>
      <c r="DM1035" s="266"/>
      <c r="DN1035" s="266"/>
      <c r="DO1035" s="266"/>
      <c r="DP1035" s="266"/>
      <c r="DQ1035" s="266"/>
      <c r="DR1035" s="266"/>
      <c r="DS1035" s="266"/>
    </row>
    <row r="1036" spans="11:123">
      <c r="K1036" s="266"/>
      <c r="L1036" s="266"/>
      <c r="M1036" s="266"/>
      <c r="N1036" s="266"/>
      <c r="O1036" s="266"/>
      <c r="P1036" s="266"/>
      <c r="Q1036" s="266"/>
      <c r="BR1036" s="266"/>
      <c r="BS1036" s="266"/>
      <c r="BT1036" s="266"/>
      <c r="BU1036" s="266"/>
      <c r="BV1036" s="266"/>
      <c r="CJ1036" s="266"/>
      <c r="CO1036" s="266"/>
      <c r="CP1036" s="266"/>
      <c r="CQ1036" s="266"/>
      <c r="CR1036" s="266"/>
      <c r="CS1036" s="266"/>
      <c r="CT1036" s="266"/>
      <c r="CU1036" s="266"/>
      <c r="CV1036" s="266"/>
      <c r="CW1036" s="266"/>
      <c r="CX1036" s="266"/>
      <c r="CY1036" s="266"/>
      <c r="CZ1036" s="266"/>
      <c r="DA1036" s="266"/>
      <c r="DB1036" s="266"/>
      <c r="DC1036" s="266"/>
      <c r="DD1036" s="266"/>
      <c r="DE1036" s="266"/>
      <c r="DF1036" s="266"/>
      <c r="DG1036" s="266"/>
      <c r="DH1036" s="266"/>
      <c r="DI1036" s="266"/>
      <c r="DJ1036" s="266"/>
      <c r="DK1036" s="266"/>
      <c r="DL1036" s="266"/>
      <c r="DM1036" s="266"/>
      <c r="DN1036" s="266"/>
      <c r="DO1036" s="266"/>
      <c r="DP1036" s="266"/>
      <c r="DQ1036" s="266"/>
      <c r="DR1036" s="266"/>
      <c r="DS1036" s="266"/>
    </row>
    <row r="1037" spans="11:123">
      <c r="K1037" s="266"/>
      <c r="L1037" s="266"/>
      <c r="M1037" s="266"/>
      <c r="N1037" s="266"/>
      <c r="O1037" s="266"/>
      <c r="P1037" s="266"/>
      <c r="Q1037" s="266"/>
      <c r="BR1037" s="266"/>
      <c r="BS1037" s="266"/>
      <c r="BT1037" s="266"/>
      <c r="BU1037" s="266"/>
      <c r="BV1037" s="266"/>
      <c r="CJ1037" s="266"/>
      <c r="CO1037" s="266"/>
      <c r="CP1037" s="266"/>
      <c r="CQ1037" s="266"/>
      <c r="CR1037" s="266"/>
      <c r="CS1037" s="266"/>
      <c r="CT1037" s="266"/>
      <c r="CU1037" s="266"/>
      <c r="CV1037" s="266"/>
      <c r="CW1037" s="266"/>
      <c r="CX1037" s="266"/>
      <c r="CY1037" s="266"/>
      <c r="CZ1037" s="266"/>
      <c r="DA1037" s="266"/>
      <c r="DB1037" s="266"/>
      <c r="DC1037" s="266"/>
      <c r="DD1037" s="266"/>
      <c r="DE1037" s="266"/>
      <c r="DF1037" s="266"/>
      <c r="DG1037" s="266"/>
      <c r="DH1037" s="266"/>
      <c r="DI1037" s="266"/>
      <c r="DJ1037" s="266"/>
      <c r="DK1037" s="266"/>
      <c r="DL1037" s="266"/>
      <c r="DM1037" s="266"/>
      <c r="DN1037" s="266"/>
      <c r="DO1037" s="266"/>
      <c r="DP1037" s="266"/>
      <c r="DQ1037" s="266"/>
      <c r="DR1037" s="266"/>
      <c r="DS1037" s="266"/>
    </row>
    <row r="1038" spans="11:123">
      <c r="K1038" s="266"/>
      <c r="L1038" s="266"/>
      <c r="M1038" s="266"/>
      <c r="N1038" s="266"/>
      <c r="O1038" s="266"/>
      <c r="P1038" s="266"/>
      <c r="Q1038" s="266"/>
      <c r="BR1038" s="266"/>
      <c r="BS1038" s="266"/>
      <c r="BT1038" s="266"/>
      <c r="BU1038" s="266"/>
      <c r="BV1038" s="266"/>
      <c r="CJ1038" s="266"/>
      <c r="CO1038" s="266"/>
      <c r="CP1038" s="266"/>
      <c r="CQ1038" s="266"/>
      <c r="CR1038" s="266"/>
      <c r="CS1038" s="266"/>
      <c r="CT1038" s="266"/>
      <c r="CU1038" s="266"/>
      <c r="CV1038" s="266"/>
      <c r="CW1038" s="266"/>
      <c r="CX1038" s="266"/>
      <c r="CY1038" s="266"/>
      <c r="CZ1038" s="266"/>
      <c r="DA1038" s="266"/>
      <c r="DB1038" s="266"/>
      <c r="DC1038" s="266"/>
      <c r="DD1038" s="266"/>
      <c r="DE1038" s="266"/>
      <c r="DF1038" s="266"/>
      <c r="DG1038" s="266"/>
      <c r="DH1038" s="266"/>
      <c r="DI1038" s="266"/>
      <c r="DJ1038" s="266"/>
      <c r="DK1038" s="266"/>
      <c r="DL1038" s="266"/>
      <c r="DM1038" s="266"/>
      <c r="DN1038" s="266"/>
      <c r="DO1038" s="266"/>
      <c r="DP1038" s="266"/>
      <c r="DQ1038" s="266"/>
      <c r="DR1038" s="266"/>
      <c r="DS1038" s="266"/>
    </row>
    <row r="1039" spans="11:123">
      <c r="K1039" s="266"/>
      <c r="L1039" s="266"/>
      <c r="M1039" s="266"/>
      <c r="N1039" s="266"/>
      <c r="O1039" s="266"/>
      <c r="P1039" s="266"/>
      <c r="Q1039" s="266"/>
      <c r="BR1039" s="266"/>
      <c r="BS1039" s="266"/>
      <c r="BT1039" s="266"/>
      <c r="BU1039" s="266"/>
      <c r="BV1039" s="266"/>
      <c r="CJ1039" s="266"/>
      <c r="CO1039" s="266"/>
      <c r="CP1039" s="266"/>
      <c r="CQ1039" s="266"/>
      <c r="CR1039" s="266"/>
      <c r="CS1039" s="266"/>
      <c r="CT1039" s="266"/>
      <c r="CU1039" s="266"/>
      <c r="CV1039" s="266"/>
      <c r="CW1039" s="266"/>
      <c r="CX1039" s="266"/>
      <c r="CY1039" s="266"/>
      <c r="CZ1039" s="266"/>
      <c r="DA1039" s="266"/>
      <c r="DB1039" s="266"/>
      <c r="DC1039" s="266"/>
      <c r="DD1039" s="266"/>
      <c r="DE1039" s="266"/>
      <c r="DF1039" s="266"/>
      <c r="DG1039" s="266"/>
      <c r="DH1039" s="266"/>
      <c r="DI1039" s="266"/>
      <c r="DJ1039" s="266"/>
      <c r="DK1039" s="266"/>
      <c r="DL1039" s="266"/>
      <c r="DM1039" s="266"/>
      <c r="DN1039" s="266"/>
      <c r="DO1039" s="266"/>
      <c r="DP1039" s="266"/>
      <c r="DQ1039" s="266"/>
      <c r="DR1039" s="266"/>
      <c r="DS1039" s="266"/>
    </row>
    <row r="1040" spans="11:123">
      <c r="K1040" s="266"/>
      <c r="L1040" s="266"/>
      <c r="M1040" s="266"/>
      <c r="N1040" s="266"/>
      <c r="O1040" s="266"/>
      <c r="P1040" s="266"/>
      <c r="Q1040" s="266"/>
      <c r="BR1040" s="266"/>
      <c r="BS1040" s="266"/>
      <c r="BT1040" s="266"/>
      <c r="BU1040" s="266"/>
      <c r="BV1040" s="266"/>
      <c r="CJ1040" s="266"/>
      <c r="CO1040" s="266"/>
      <c r="CP1040" s="266"/>
      <c r="CQ1040" s="266"/>
      <c r="CR1040" s="266"/>
      <c r="CS1040" s="266"/>
      <c r="CT1040" s="266"/>
      <c r="CU1040" s="266"/>
      <c r="CV1040" s="266"/>
      <c r="CW1040" s="266"/>
      <c r="CX1040" s="266"/>
      <c r="CY1040" s="266"/>
      <c r="CZ1040" s="266"/>
      <c r="DA1040" s="266"/>
      <c r="DB1040" s="266"/>
      <c r="DC1040" s="266"/>
      <c r="DD1040" s="266"/>
      <c r="DE1040" s="266"/>
      <c r="DF1040" s="266"/>
      <c r="DG1040" s="266"/>
      <c r="DH1040" s="266"/>
      <c r="DI1040" s="266"/>
      <c r="DJ1040" s="266"/>
      <c r="DK1040" s="266"/>
      <c r="DL1040" s="266"/>
      <c r="DM1040" s="266"/>
      <c r="DN1040" s="266"/>
      <c r="DO1040" s="266"/>
      <c r="DP1040" s="266"/>
      <c r="DQ1040" s="266"/>
      <c r="DR1040" s="266"/>
      <c r="DS1040" s="266"/>
    </row>
    <row r="1041" spans="11:123">
      <c r="K1041" s="266"/>
      <c r="L1041" s="266"/>
      <c r="M1041" s="266"/>
      <c r="N1041" s="266"/>
      <c r="O1041" s="266"/>
      <c r="P1041" s="266"/>
      <c r="Q1041" s="266"/>
      <c r="BR1041" s="266"/>
      <c r="BS1041" s="266"/>
      <c r="BT1041" s="266"/>
      <c r="BU1041" s="266"/>
      <c r="BV1041" s="266"/>
      <c r="CJ1041" s="266"/>
      <c r="CO1041" s="266"/>
      <c r="CP1041" s="266"/>
      <c r="CQ1041" s="266"/>
      <c r="CR1041" s="266"/>
      <c r="CS1041" s="266"/>
      <c r="CT1041" s="266"/>
      <c r="CU1041" s="266"/>
      <c r="CV1041" s="266"/>
      <c r="CW1041" s="266"/>
      <c r="CX1041" s="266"/>
      <c r="CY1041" s="266"/>
      <c r="CZ1041" s="266"/>
      <c r="DA1041" s="266"/>
      <c r="DB1041" s="266"/>
      <c r="DC1041" s="266"/>
      <c r="DD1041" s="266"/>
      <c r="DE1041" s="266"/>
      <c r="DF1041" s="266"/>
      <c r="DG1041" s="266"/>
      <c r="DH1041" s="266"/>
      <c r="DI1041" s="266"/>
      <c r="DJ1041" s="266"/>
      <c r="DK1041" s="266"/>
      <c r="DL1041" s="266"/>
      <c r="DM1041" s="266"/>
      <c r="DN1041" s="266"/>
      <c r="DO1041" s="266"/>
      <c r="DP1041" s="266"/>
      <c r="DQ1041" s="266"/>
      <c r="DR1041" s="266"/>
      <c r="DS1041" s="266"/>
    </row>
    <row r="1042" spans="11:123">
      <c r="K1042" s="266"/>
      <c r="L1042" s="266"/>
      <c r="M1042" s="266"/>
      <c r="N1042" s="266"/>
      <c r="O1042" s="266"/>
      <c r="P1042" s="266"/>
      <c r="Q1042" s="266"/>
      <c r="BR1042" s="266"/>
      <c r="BS1042" s="266"/>
      <c r="BT1042" s="266"/>
      <c r="BU1042" s="266"/>
      <c r="BV1042" s="266"/>
      <c r="CJ1042" s="266"/>
      <c r="CO1042" s="266"/>
      <c r="CP1042" s="266"/>
      <c r="CQ1042" s="266"/>
      <c r="CR1042" s="266"/>
      <c r="CS1042" s="266"/>
      <c r="CT1042" s="266"/>
      <c r="CU1042" s="266"/>
      <c r="CV1042" s="266"/>
      <c r="CW1042" s="266"/>
      <c r="CX1042" s="266"/>
      <c r="CY1042" s="266"/>
      <c r="CZ1042" s="266"/>
      <c r="DA1042" s="266"/>
      <c r="DB1042" s="266"/>
      <c r="DC1042" s="266"/>
      <c r="DD1042" s="266"/>
      <c r="DE1042" s="266"/>
      <c r="DF1042" s="266"/>
      <c r="DG1042" s="266"/>
      <c r="DH1042" s="266"/>
      <c r="DI1042" s="266"/>
      <c r="DJ1042" s="266"/>
      <c r="DK1042" s="266"/>
      <c r="DL1042" s="266"/>
      <c r="DM1042" s="266"/>
      <c r="DN1042" s="266"/>
      <c r="DO1042" s="266"/>
      <c r="DP1042" s="266"/>
      <c r="DQ1042" s="266"/>
      <c r="DR1042" s="266"/>
      <c r="DS1042" s="266"/>
    </row>
    <row r="1043" spans="11:123">
      <c r="K1043" s="266"/>
      <c r="L1043" s="266"/>
      <c r="M1043" s="266"/>
      <c r="N1043" s="266"/>
      <c r="O1043" s="266"/>
      <c r="P1043" s="266"/>
      <c r="Q1043" s="266"/>
      <c r="BR1043" s="266"/>
      <c r="BS1043" s="266"/>
      <c r="BT1043" s="266"/>
      <c r="BU1043" s="266"/>
      <c r="BV1043" s="266"/>
      <c r="CJ1043" s="266"/>
      <c r="CO1043" s="266"/>
      <c r="CP1043" s="266"/>
      <c r="CQ1043" s="266"/>
      <c r="CR1043" s="266"/>
      <c r="CS1043" s="266"/>
      <c r="CT1043" s="266"/>
      <c r="CU1043" s="266"/>
      <c r="CV1043" s="266"/>
      <c r="CW1043" s="266"/>
      <c r="CX1043" s="266"/>
      <c r="CY1043" s="266"/>
      <c r="CZ1043" s="266"/>
      <c r="DA1043" s="266"/>
      <c r="DB1043" s="266"/>
      <c r="DC1043" s="266"/>
      <c r="DD1043" s="266"/>
      <c r="DE1043" s="266"/>
      <c r="DF1043" s="266"/>
      <c r="DG1043" s="266"/>
      <c r="DH1043" s="266"/>
      <c r="DI1043" s="266"/>
      <c r="DJ1043" s="266"/>
      <c r="DK1043" s="266"/>
      <c r="DL1043" s="266"/>
      <c r="DM1043" s="266"/>
      <c r="DN1043" s="266"/>
      <c r="DO1043" s="266"/>
      <c r="DP1043" s="266"/>
      <c r="DQ1043" s="266"/>
      <c r="DR1043" s="266"/>
      <c r="DS1043" s="266"/>
    </row>
    <row r="1044" spans="11:123">
      <c r="K1044" s="266"/>
      <c r="L1044" s="266"/>
      <c r="M1044" s="266"/>
      <c r="N1044" s="266"/>
      <c r="O1044" s="266"/>
      <c r="P1044" s="266"/>
      <c r="Q1044" s="266"/>
      <c r="BR1044" s="266"/>
      <c r="BS1044" s="266"/>
      <c r="BT1044" s="266"/>
      <c r="BU1044" s="266"/>
      <c r="BV1044" s="266"/>
      <c r="CJ1044" s="266"/>
      <c r="CO1044" s="266"/>
      <c r="CP1044" s="266"/>
      <c r="CQ1044" s="266"/>
      <c r="CR1044" s="266"/>
      <c r="CS1044" s="266"/>
      <c r="CT1044" s="266"/>
      <c r="CU1044" s="266"/>
      <c r="CV1044" s="266"/>
      <c r="CW1044" s="266"/>
      <c r="CX1044" s="266"/>
      <c r="CY1044" s="266"/>
      <c r="CZ1044" s="266"/>
      <c r="DA1044" s="266"/>
      <c r="DB1044" s="266"/>
      <c r="DC1044" s="266"/>
      <c r="DD1044" s="266"/>
      <c r="DE1044" s="266"/>
      <c r="DF1044" s="266"/>
      <c r="DG1044" s="266"/>
      <c r="DH1044" s="266"/>
      <c r="DI1044" s="266"/>
      <c r="DJ1044" s="266"/>
      <c r="DK1044" s="266"/>
      <c r="DL1044" s="266"/>
      <c r="DM1044" s="266"/>
      <c r="DN1044" s="266"/>
      <c r="DO1044" s="266"/>
      <c r="DP1044" s="266"/>
      <c r="DQ1044" s="266"/>
      <c r="DR1044" s="266"/>
      <c r="DS1044" s="266"/>
    </row>
    <row r="1045" spans="11:123">
      <c r="K1045" s="266"/>
      <c r="L1045" s="266"/>
      <c r="M1045" s="266"/>
      <c r="N1045" s="266"/>
      <c r="O1045" s="266"/>
      <c r="P1045" s="266"/>
      <c r="Q1045" s="266"/>
      <c r="BR1045" s="266"/>
      <c r="BS1045" s="266"/>
      <c r="BT1045" s="266"/>
      <c r="BU1045" s="266"/>
      <c r="BV1045" s="266"/>
      <c r="CJ1045" s="266"/>
      <c r="CO1045" s="266"/>
      <c r="CP1045" s="266"/>
      <c r="CQ1045" s="266"/>
      <c r="CR1045" s="266"/>
      <c r="CS1045" s="266"/>
      <c r="CT1045" s="266"/>
      <c r="CU1045" s="266"/>
      <c r="CV1045" s="266"/>
      <c r="CW1045" s="266"/>
      <c r="CX1045" s="266"/>
      <c r="CY1045" s="266"/>
      <c r="CZ1045" s="266"/>
      <c r="DA1045" s="266"/>
      <c r="DB1045" s="266"/>
      <c r="DC1045" s="266"/>
      <c r="DD1045" s="266"/>
      <c r="DE1045" s="266"/>
      <c r="DF1045" s="266"/>
      <c r="DG1045" s="266"/>
      <c r="DH1045" s="266"/>
      <c r="DI1045" s="266"/>
      <c r="DJ1045" s="266"/>
      <c r="DK1045" s="266"/>
      <c r="DL1045" s="266"/>
      <c r="DM1045" s="266"/>
      <c r="DN1045" s="266"/>
      <c r="DO1045" s="266"/>
      <c r="DP1045" s="266"/>
      <c r="DQ1045" s="266"/>
      <c r="DR1045" s="266"/>
      <c r="DS1045" s="266"/>
    </row>
    <row r="1046" spans="11:123">
      <c r="K1046" s="266"/>
      <c r="L1046" s="266"/>
      <c r="M1046" s="266"/>
      <c r="N1046" s="266"/>
      <c r="O1046" s="266"/>
      <c r="P1046" s="266"/>
      <c r="Q1046" s="266"/>
      <c r="BR1046" s="266"/>
      <c r="BS1046" s="266"/>
      <c r="BT1046" s="266"/>
      <c r="BU1046" s="266"/>
      <c r="BV1046" s="266"/>
      <c r="CJ1046" s="266"/>
      <c r="CO1046" s="266"/>
      <c r="CP1046" s="266"/>
      <c r="CQ1046" s="266"/>
      <c r="CR1046" s="266"/>
      <c r="CS1046" s="266"/>
      <c r="CT1046" s="266"/>
      <c r="CU1046" s="266"/>
      <c r="CV1046" s="266"/>
      <c r="CW1046" s="266"/>
      <c r="CX1046" s="266"/>
      <c r="CY1046" s="266"/>
      <c r="CZ1046" s="266"/>
      <c r="DA1046" s="266"/>
      <c r="DB1046" s="266"/>
      <c r="DC1046" s="266"/>
      <c r="DD1046" s="266"/>
      <c r="DE1046" s="266"/>
      <c r="DF1046" s="266"/>
      <c r="DG1046" s="266"/>
      <c r="DH1046" s="266"/>
      <c r="DI1046" s="266"/>
      <c r="DJ1046" s="266"/>
      <c r="DK1046" s="266"/>
      <c r="DL1046" s="266"/>
      <c r="DM1046" s="266"/>
      <c r="DN1046" s="266"/>
      <c r="DO1046" s="266"/>
      <c r="DP1046" s="266"/>
      <c r="DQ1046" s="266"/>
      <c r="DR1046" s="266"/>
      <c r="DS1046" s="266"/>
    </row>
    <row r="1047" spans="11:123">
      <c r="K1047" s="266"/>
      <c r="L1047" s="266"/>
      <c r="M1047" s="266"/>
      <c r="N1047" s="266"/>
      <c r="O1047" s="266"/>
      <c r="P1047" s="266"/>
      <c r="Q1047" s="266"/>
      <c r="BR1047" s="266"/>
      <c r="BS1047" s="266"/>
      <c r="BT1047" s="266"/>
      <c r="BU1047" s="266"/>
      <c r="BV1047" s="266"/>
      <c r="CJ1047" s="266"/>
      <c r="CO1047" s="266"/>
      <c r="CP1047" s="266"/>
      <c r="CQ1047" s="266"/>
      <c r="CR1047" s="266"/>
      <c r="CS1047" s="266"/>
      <c r="CT1047" s="266"/>
      <c r="CU1047" s="266"/>
      <c r="CV1047" s="266"/>
      <c r="CW1047" s="266"/>
      <c r="CX1047" s="266"/>
      <c r="CY1047" s="266"/>
      <c r="CZ1047" s="266"/>
      <c r="DA1047" s="266"/>
      <c r="DB1047" s="266"/>
      <c r="DC1047" s="266"/>
      <c r="DD1047" s="266"/>
      <c r="DE1047" s="266"/>
      <c r="DF1047" s="266"/>
      <c r="DG1047" s="266"/>
      <c r="DH1047" s="266"/>
      <c r="DI1047" s="266"/>
      <c r="DJ1047" s="266"/>
      <c r="DK1047" s="266"/>
      <c r="DL1047" s="266"/>
      <c r="DM1047" s="266"/>
      <c r="DN1047" s="266"/>
      <c r="DO1047" s="266"/>
      <c r="DP1047" s="266"/>
      <c r="DQ1047" s="266"/>
      <c r="DR1047" s="266"/>
      <c r="DS1047" s="266"/>
    </row>
    <row r="1048" spans="11:123">
      <c r="K1048" s="266"/>
      <c r="L1048" s="266"/>
      <c r="M1048" s="266"/>
      <c r="N1048" s="266"/>
      <c r="O1048" s="266"/>
      <c r="P1048" s="266"/>
      <c r="Q1048" s="266"/>
      <c r="BR1048" s="266"/>
      <c r="BS1048" s="266"/>
      <c r="BT1048" s="266"/>
      <c r="BU1048" s="266"/>
      <c r="BV1048" s="266"/>
      <c r="CJ1048" s="266"/>
      <c r="CO1048" s="266"/>
      <c r="CP1048" s="266"/>
      <c r="CQ1048" s="266"/>
      <c r="CR1048" s="266"/>
      <c r="CS1048" s="266"/>
      <c r="CT1048" s="266"/>
      <c r="CU1048" s="266"/>
      <c r="CV1048" s="266"/>
      <c r="CW1048" s="266"/>
      <c r="CX1048" s="266"/>
      <c r="CY1048" s="266"/>
      <c r="CZ1048" s="266"/>
      <c r="DA1048" s="266"/>
      <c r="DB1048" s="266"/>
      <c r="DC1048" s="266"/>
      <c r="DD1048" s="266"/>
      <c r="DE1048" s="266"/>
      <c r="DF1048" s="266"/>
      <c r="DG1048" s="266"/>
      <c r="DH1048" s="266"/>
      <c r="DI1048" s="266"/>
      <c r="DJ1048" s="266"/>
      <c r="DK1048" s="266"/>
      <c r="DL1048" s="266"/>
      <c r="DM1048" s="266"/>
      <c r="DN1048" s="266"/>
      <c r="DO1048" s="266"/>
      <c r="DP1048" s="266"/>
      <c r="DQ1048" s="266"/>
      <c r="DR1048" s="266"/>
      <c r="DS1048" s="266"/>
    </row>
    <row r="1049" spans="11:123">
      <c r="K1049" s="266"/>
      <c r="L1049" s="266"/>
      <c r="M1049" s="266"/>
      <c r="N1049" s="266"/>
      <c r="O1049" s="266"/>
      <c r="P1049" s="266"/>
      <c r="Q1049" s="266"/>
      <c r="BR1049" s="266"/>
      <c r="BS1049" s="266"/>
      <c r="BT1049" s="266"/>
      <c r="BU1049" s="266"/>
      <c r="BV1049" s="266"/>
      <c r="CJ1049" s="266"/>
      <c r="CO1049" s="266"/>
      <c r="CP1049" s="266"/>
      <c r="CQ1049" s="266"/>
      <c r="CR1049" s="266"/>
      <c r="CS1049" s="266"/>
      <c r="CT1049" s="266"/>
      <c r="CU1049" s="266"/>
      <c r="CV1049" s="266"/>
      <c r="CW1049" s="266"/>
      <c r="CX1049" s="266"/>
      <c r="CY1049" s="266"/>
      <c r="CZ1049" s="266"/>
      <c r="DA1049" s="266"/>
      <c r="DB1049" s="266"/>
      <c r="DC1049" s="266"/>
      <c r="DD1049" s="266"/>
      <c r="DE1049" s="266"/>
      <c r="DF1049" s="266"/>
      <c r="DG1049" s="266"/>
      <c r="DH1049" s="266"/>
      <c r="DI1049" s="266"/>
      <c r="DJ1049" s="266"/>
      <c r="DK1049" s="266"/>
      <c r="DL1049" s="266"/>
      <c r="DM1049" s="266"/>
      <c r="DN1049" s="266"/>
      <c r="DO1049" s="266"/>
      <c r="DP1049" s="266"/>
      <c r="DQ1049" s="266"/>
      <c r="DR1049" s="266"/>
      <c r="DS1049" s="266"/>
    </row>
    <row r="1050" spans="11:123">
      <c r="K1050" s="266"/>
      <c r="L1050" s="266"/>
      <c r="M1050" s="266"/>
      <c r="N1050" s="266"/>
      <c r="O1050" s="266"/>
      <c r="P1050" s="266"/>
      <c r="Q1050" s="266"/>
      <c r="BR1050" s="266"/>
      <c r="BS1050" s="266"/>
      <c r="BT1050" s="266"/>
      <c r="BU1050" s="266"/>
      <c r="BV1050" s="266"/>
      <c r="CJ1050" s="266"/>
      <c r="CO1050" s="266"/>
      <c r="CP1050" s="266"/>
      <c r="CQ1050" s="266"/>
      <c r="CR1050" s="266"/>
      <c r="CS1050" s="266"/>
      <c r="CT1050" s="266"/>
      <c r="CU1050" s="266"/>
      <c r="CV1050" s="266"/>
      <c r="CW1050" s="266"/>
      <c r="CX1050" s="266"/>
      <c r="CY1050" s="266"/>
      <c r="CZ1050" s="266"/>
      <c r="DA1050" s="266"/>
      <c r="DB1050" s="266"/>
      <c r="DC1050" s="266"/>
      <c r="DD1050" s="266"/>
      <c r="DE1050" s="266"/>
      <c r="DF1050" s="266"/>
      <c r="DG1050" s="266"/>
      <c r="DH1050" s="266"/>
      <c r="DI1050" s="266"/>
      <c r="DJ1050" s="266"/>
      <c r="DK1050" s="266"/>
      <c r="DL1050" s="266"/>
      <c r="DM1050" s="266"/>
      <c r="DN1050" s="266"/>
      <c r="DO1050" s="266"/>
      <c r="DP1050" s="266"/>
      <c r="DQ1050" s="266"/>
      <c r="DR1050" s="266"/>
      <c r="DS1050" s="266"/>
    </row>
    <row r="1051" spans="11:123">
      <c r="K1051" s="266"/>
      <c r="L1051" s="266"/>
      <c r="M1051" s="266"/>
      <c r="N1051" s="266"/>
      <c r="O1051" s="266"/>
      <c r="P1051" s="266"/>
      <c r="Q1051" s="266"/>
      <c r="BR1051" s="266"/>
      <c r="BS1051" s="266"/>
      <c r="BT1051" s="266"/>
      <c r="BU1051" s="266"/>
      <c r="BV1051" s="266"/>
      <c r="CJ1051" s="266"/>
      <c r="CO1051" s="266"/>
      <c r="CP1051" s="266"/>
      <c r="CQ1051" s="266"/>
      <c r="CR1051" s="266"/>
      <c r="CS1051" s="266"/>
      <c r="CT1051" s="266"/>
      <c r="CU1051" s="266"/>
      <c r="CV1051" s="266"/>
      <c r="CW1051" s="266"/>
      <c r="CX1051" s="266"/>
      <c r="CY1051" s="266"/>
      <c r="CZ1051" s="266"/>
      <c r="DA1051" s="266"/>
      <c r="DB1051" s="266"/>
      <c r="DC1051" s="266"/>
      <c r="DD1051" s="266"/>
      <c r="DE1051" s="266"/>
      <c r="DF1051" s="266"/>
      <c r="DG1051" s="266"/>
      <c r="DH1051" s="266"/>
      <c r="DI1051" s="266"/>
      <c r="DJ1051" s="266"/>
      <c r="DK1051" s="266"/>
      <c r="DL1051" s="266"/>
      <c r="DM1051" s="266"/>
      <c r="DN1051" s="266"/>
      <c r="DO1051" s="266"/>
      <c r="DP1051" s="266"/>
      <c r="DQ1051" s="266"/>
      <c r="DR1051" s="266"/>
      <c r="DS1051" s="266"/>
    </row>
    <row r="1052" spans="11:123">
      <c r="K1052" s="266"/>
      <c r="L1052" s="266"/>
      <c r="M1052" s="266"/>
      <c r="N1052" s="266"/>
      <c r="O1052" s="266"/>
      <c r="P1052" s="266"/>
      <c r="Q1052" s="266"/>
      <c r="BR1052" s="266"/>
      <c r="BS1052" s="266"/>
      <c r="BT1052" s="266"/>
      <c r="BU1052" s="266"/>
      <c r="BV1052" s="266"/>
      <c r="CJ1052" s="266"/>
      <c r="CO1052" s="266"/>
      <c r="CP1052" s="266"/>
      <c r="CQ1052" s="266"/>
      <c r="CR1052" s="266"/>
      <c r="CS1052" s="266"/>
      <c r="CT1052" s="266"/>
      <c r="CU1052" s="266"/>
      <c r="CV1052" s="266"/>
      <c r="CW1052" s="266"/>
      <c r="CX1052" s="266"/>
      <c r="CY1052" s="266"/>
      <c r="CZ1052" s="266"/>
      <c r="DA1052" s="266"/>
      <c r="DB1052" s="266"/>
      <c r="DC1052" s="266"/>
      <c r="DD1052" s="266"/>
      <c r="DE1052" s="266"/>
      <c r="DF1052" s="266"/>
      <c r="DG1052" s="266"/>
      <c r="DH1052" s="266"/>
      <c r="DI1052" s="266"/>
      <c r="DJ1052" s="266"/>
      <c r="DK1052" s="266"/>
      <c r="DL1052" s="266"/>
      <c r="DM1052" s="266"/>
      <c r="DN1052" s="266"/>
      <c r="DO1052" s="266"/>
      <c r="DP1052" s="266"/>
      <c r="DQ1052" s="266"/>
      <c r="DR1052" s="266"/>
      <c r="DS1052" s="266"/>
    </row>
    <row r="1053" spans="11:123">
      <c r="K1053" s="266"/>
      <c r="L1053" s="266"/>
      <c r="M1053" s="266"/>
      <c r="N1053" s="266"/>
      <c r="O1053" s="266"/>
      <c r="P1053" s="266"/>
      <c r="Q1053" s="266"/>
      <c r="BR1053" s="266"/>
      <c r="BS1053" s="266"/>
      <c r="BT1053" s="266"/>
      <c r="BU1053" s="266"/>
      <c r="BV1053" s="266"/>
      <c r="CJ1053" s="266"/>
      <c r="CO1053" s="266"/>
      <c r="CP1053" s="266"/>
      <c r="CQ1053" s="266"/>
      <c r="CR1053" s="266"/>
      <c r="CS1053" s="266"/>
      <c r="CT1053" s="266"/>
      <c r="CU1053" s="266"/>
      <c r="CV1053" s="266"/>
      <c r="CW1053" s="266"/>
      <c r="CX1053" s="266"/>
      <c r="CY1053" s="266"/>
      <c r="CZ1053" s="266"/>
      <c r="DA1053" s="266"/>
      <c r="DB1053" s="266"/>
      <c r="DC1053" s="266"/>
      <c r="DD1053" s="266"/>
      <c r="DE1053" s="266"/>
      <c r="DF1053" s="266"/>
      <c r="DG1053" s="266"/>
      <c r="DH1053" s="266"/>
      <c r="DI1053" s="266"/>
      <c r="DJ1053" s="266"/>
      <c r="DK1053" s="266"/>
      <c r="DL1053" s="266"/>
      <c r="DM1053" s="266"/>
      <c r="DN1053" s="266"/>
      <c r="DO1053" s="266"/>
      <c r="DP1053" s="266"/>
      <c r="DQ1053" s="266"/>
      <c r="DR1053" s="266"/>
      <c r="DS1053" s="266"/>
    </row>
    <row r="1054" spans="11:123">
      <c r="K1054" s="266"/>
      <c r="L1054" s="266"/>
      <c r="M1054" s="266"/>
      <c r="N1054" s="266"/>
      <c r="O1054" s="266"/>
      <c r="P1054" s="266"/>
      <c r="Q1054" s="266"/>
      <c r="BR1054" s="266"/>
      <c r="BS1054" s="266"/>
      <c r="BT1054" s="266"/>
      <c r="BU1054" s="266"/>
      <c r="BV1054" s="266"/>
      <c r="CJ1054" s="266"/>
      <c r="CO1054" s="266"/>
      <c r="CP1054" s="266"/>
      <c r="CQ1054" s="266"/>
      <c r="CR1054" s="266"/>
      <c r="CS1054" s="266"/>
      <c r="CT1054" s="266"/>
      <c r="CU1054" s="266"/>
      <c r="CV1054" s="266"/>
      <c r="CW1054" s="266"/>
      <c r="CX1054" s="266"/>
      <c r="CY1054" s="266"/>
      <c r="CZ1054" s="266"/>
      <c r="DA1054" s="266"/>
      <c r="DB1054" s="266"/>
      <c r="DC1054" s="266"/>
      <c r="DD1054" s="266"/>
      <c r="DE1054" s="266"/>
      <c r="DF1054" s="266"/>
      <c r="DG1054" s="266"/>
      <c r="DH1054" s="266"/>
      <c r="DI1054" s="266"/>
      <c r="DJ1054" s="266"/>
      <c r="DK1054" s="266"/>
      <c r="DL1054" s="266"/>
      <c r="DM1054" s="266"/>
      <c r="DN1054" s="266"/>
      <c r="DO1054" s="266"/>
      <c r="DP1054" s="266"/>
      <c r="DQ1054" s="266"/>
      <c r="DR1054" s="266"/>
      <c r="DS1054" s="266"/>
    </row>
    <row r="1055" spans="11:123">
      <c r="K1055" s="266"/>
      <c r="L1055" s="266"/>
      <c r="M1055" s="266"/>
      <c r="N1055" s="266"/>
      <c r="O1055" s="266"/>
      <c r="P1055" s="266"/>
      <c r="Q1055" s="266"/>
      <c r="BR1055" s="266"/>
      <c r="BS1055" s="266"/>
      <c r="BT1055" s="266"/>
      <c r="BU1055" s="266"/>
      <c r="BV1055" s="266"/>
      <c r="CJ1055" s="266"/>
      <c r="CO1055" s="266"/>
      <c r="CP1055" s="266"/>
      <c r="CQ1055" s="266"/>
      <c r="CR1055" s="266"/>
      <c r="CS1055" s="266"/>
      <c r="CT1055" s="266"/>
      <c r="CU1055" s="266"/>
      <c r="CV1055" s="266"/>
      <c r="CW1055" s="266"/>
      <c r="CX1055" s="266"/>
      <c r="CY1055" s="266"/>
      <c r="CZ1055" s="266"/>
      <c r="DA1055" s="266"/>
      <c r="DB1055" s="266"/>
      <c r="DC1055" s="266"/>
      <c r="DD1055" s="266"/>
      <c r="DE1055" s="266"/>
      <c r="DF1055" s="266"/>
      <c r="DG1055" s="266"/>
      <c r="DH1055" s="266"/>
      <c r="DI1055" s="266"/>
      <c r="DJ1055" s="266"/>
      <c r="DK1055" s="266"/>
      <c r="DL1055" s="266"/>
      <c r="DM1055" s="266"/>
      <c r="DN1055" s="266"/>
      <c r="DO1055" s="266"/>
      <c r="DP1055" s="266"/>
      <c r="DQ1055" s="266"/>
      <c r="DR1055" s="266"/>
      <c r="DS1055" s="266"/>
    </row>
    <row r="1056" spans="11:123">
      <c r="K1056" s="266"/>
      <c r="L1056" s="266"/>
      <c r="M1056" s="266"/>
      <c r="N1056" s="266"/>
      <c r="O1056" s="266"/>
      <c r="P1056" s="266"/>
      <c r="Q1056" s="266"/>
      <c r="BR1056" s="266"/>
      <c r="BS1056" s="266"/>
      <c r="BT1056" s="266"/>
      <c r="BU1056" s="266"/>
      <c r="BV1056" s="266"/>
      <c r="CJ1056" s="266"/>
      <c r="CO1056" s="266"/>
      <c r="CP1056" s="266"/>
      <c r="CQ1056" s="266"/>
      <c r="CR1056" s="266"/>
      <c r="CS1056" s="266"/>
      <c r="CT1056" s="266"/>
      <c r="CU1056" s="266"/>
      <c r="CV1056" s="266"/>
      <c r="CW1056" s="266"/>
      <c r="CX1056" s="266"/>
      <c r="CY1056" s="266"/>
      <c r="CZ1056" s="266"/>
      <c r="DA1056" s="266"/>
      <c r="DB1056" s="266"/>
      <c r="DC1056" s="266"/>
      <c r="DD1056" s="266"/>
      <c r="DE1056" s="266"/>
      <c r="DF1056" s="266"/>
      <c r="DG1056" s="266"/>
      <c r="DH1056" s="266"/>
      <c r="DI1056" s="266"/>
      <c r="DJ1056" s="266"/>
      <c r="DK1056" s="266"/>
      <c r="DL1056" s="266"/>
      <c r="DM1056" s="266"/>
      <c r="DN1056" s="266"/>
      <c r="DO1056" s="266"/>
      <c r="DP1056" s="266"/>
      <c r="DQ1056" s="266"/>
      <c r="DR1056" s="266"/>
      <c r="DS1056" s="266"/>
    </row>
    <row r="1057" spans="11:123">
      <c r="K1057" s="266"/>
      <c r="L1057" s="266"/>
      <c r="M1057" s="266"/>
      <c r="N1057" s="266"/>
      <c r="O1057" s="266"/>
      <c r="P1057" s="266"/>
      <c r="Q1057" s="266"/>
      <c r="BR1057" s="266"/>
      <c r="BS1057" s="266"/>
      <c r="BT1057" s="266"/>
      <c r="BU1057" s="266"/>
      <c r="BV1057" s="266"/>
      <c r="CJ1057" s="266"/>
      <c r="CO1057" s="266"/>
      <c r="CP1057" s="266"/>
      <c r="CQ1057" s="266"/>
      <c r="CR1057" s="266"/>
      <c r="CS1057" s="266"/>
      <c r="CT1057" s="266"/>
      <c r="CU1057" s="266"/>
      <c r="CV1057" s="266"/>
      <c r="CW1057" s="266"/>
      <c r="CX1057" s="266"/>
      <c r="CY1057" s="266"/>
      <c r="CZ1057" s="266"/>
      <c r="DA1057" s="266"/>
      <c r="DB1057" s="266"/>
      <c r="DC1057" s="266"/>
      <c r="DD1057" s="266"/>
      <c r="DE1057" s="266"/>
      <c r="DF1057" s="266"/>
      <c r="DG1057" s="266"/>
      <c r="DH1057" s="266"/>
      <c r="DI1057" s="266"/>
      <c r="DJ1057" s="266"/>
      <c r="DK1057" s="266"/>
      <c r="DL1057" s="266"/>
      <c r="DM1057" s="266"/>
      <c r="DN1057" s="266"/>
      <c r="DO1057" s="266"/>
      <c r="DP1057" s="266"/>
      <c r="DQ1057" s="266"/>
      <c r="DR1057" s="266"/>
      <c r="DS1057" s="266"/>
    </row>
    <row r="1058" spans="11:123">
      <c r="K1058" s="266"/>
      <c r="L1058" s="266"/>
      <c r="M1058" s="266"/>
      <c r="N1058" s="266"/>
      <c r="O1058" s="266"/>
      <c r="P1058" s="266"/>
      <c r="Q1058" s="266"/>
      <c r="BR1058" s="266"/>
      <c r="BS1058" s="266"/>
      <c r="BT1058" s="266"/>
      <c r="BU1058" s="266"/>
      <c r="BV1058" s="266"/>
      <c r="CJ1058" s="266"/>
      <c r="CO1058" s="266"/>
      <c r="CP1058" s="266"/>
      <c r="CQ1058" s="266"/>
      <c r="CR1058" s="266"/>
      <c r="CS1058" s="266"/>
      <c r="CT1058" s="266"/>
      <c r="CU1058" s="266"/>
      <c r="CV1058" s="266"/>
      <c r="CW1058" s="266"/>
      <c r="CX1058" s="266"/>
      <c r="CY1058" s="266"/>
      <c r="CZ1058" s="266"/>
      <c r="DA1058" s="266"/>
      <c r="DB1058" s="266"/>
      <c r="DC1058" s="266"/>
      <c r="DD1058" s="266"/>
      <c r="DE1058" s="266"/>
      <c r="DF1058" s="266"/>
      <c r="DG1058" s="266"/>
      <c r="DH1058" s="266"/>
      <c r="DI1058" s="266"/>
      <c r="DJ1058" s="266"/>
      <c r="DK1058" s="266"/>
      <c r="DL1058" s="266"/>
      <c r="DM1058" s="266"/>
      <c r="DN1058" s="266"/>
      <c r="DO1058" s="266"/>
      <c r="DP1058" s="266"/>
      <c r="DQ1058" s="266"/>
      <c r="DR1058" s="266"/>
      <c r="DS1058" s="266"/>
    </row>
    <row r="1059" spans="11:123">
      <c r="K1059" s="266"/>
      <c r="L1059" s="266"/>
      <c r="M1059" s="266"/>
      <c r="N1059" s="266"/>
      <c r="O1059" s="266"/>
      <c r="P1059" s="266"/>
      <c r="Q1059" s="266"/>
      <c r="BR1059" s="266"/>
      <c r="BS1059" s="266"/>
      <c r="BT1059" s="266"/>
      <c r="BU1059" s="266"/>
      <c r="BV1059" s="266"/>
      <c r="CJ1059" s="266"/>
      <c r="CO1059" s="266"/>
      <c r="CP1059" s="266"/>
      <c r="CQ1059" s="266"/>
      <c r="CR1059" s="266"/>
      <c r="CS1059" s="266"/>
      <c r="CT1059" s="266"/>
      <c r="CU1059" s="266"/>
      <c r="CV1059" s="266"/>
      <c r="CW1059" s="266"/>
      <c r="CX1059" s="266"/>
      <c r="CY1059" s="266"/>
      <c r="CZ1059" s="266"/>
      <c r="DA1059" s="266"/>
      <c r="DB1059" s="266"/>
      <c r="DC1059" s="266"/>
      <c r="DD1059" s="266"/>
      <c r="DE1059" s="266"/>
      <c r="DF1059" s="266"/>
      <c r="DG1059" s="266"/>
      <c r="DH1059" s="266"/>
      <c r="DI1059" s="266"/>
      <c r="DJ1059" s="266"/>
      <c r="DK1059" s="266"/>
      <c r="DL1059" s="266"/>
      <c r="DM1059" s="266"/>
      <c r="DN1059" s="266"/>
      <c r="DO1059" s="266"/>
      <c r="DP1059" s="266"/>
      <c r="DQ1059" s="266"/>
      <c r="DR1059" s="266"/>
      <c r="DS1059" s="266"/>
    </row>
    <row r="1060" spans="11:123">
      <c r="K1060" s="266"/>
      <c r="L1060" s="266"/>
      <c r="M1060" s="266"/>
      <c r="N1060" s="266"/>
      <c r="O1060" s="266"/>
      <c r="P1060" s="266"/>
      <c r="Q1060" s="266"/>
      <c r="BR1060" s="266"/>
      <c r="BS1060" s="266"/>
      <c r="BT1060" s="266"/>
      <c r="BU1060" s="266"/>
      <c r="BV1060" s="266"/>
      <c r="CJ1060" s="266"/>
      <c r="CO1060" s="266"/>
      <c r="CP1060" s="266"/>
      <c r="CQ1060" s="266"/>
      <c r="CR1060" s="266"/>
      <c r="CS1060" s="266"/>
      <c r="CT1060" s="266"/>
      <c r="CU1060" s="266"/>
      <c r="CV1060" s="266"/>
      <c r="CW1060" s="266"/>
      <c r="CX1060" s="266"/>
      <c r="CY1060" s="266"/>
      <c r="CZ1060" s="266"/>
      <c r="DA1060" s="266"/>
      <c r="DB1060" s="266"/>
      <c r="DC1060" s="266"/>
      <c r="DD1060" s="266"/>
      <c r="DE1060" s="266"/>
      <c r="DF1060" s="266"/>
      <c r="DG1060" s="266"/>
      <c r="DH1060" s="266"/>
      <c r="DI1060" s="266"/>
      <c r="DJ1060" s="266"/>
      <c r="DK1060" s="266"/>
      <c r="DL1060" s="266"/>
      <c r="DM1060" s="266"/>
      <c r="DN1060" s="266"/>
      <c r="DO1060" s="266"/>
      <c r="DP1060" s="266"/>
      <c r="DQ1060" s="266"/>
      <c r="DR1060" s="266"/>
      <c r="DS1060" s="266"/>
    </row>
    <row r="1061" spans="11:123">
      <c r="K1061" s="266"/>
      <c r="L1061" s="266"/>
      <c r="M1061" s="266"/>
      <c r="N1061" s="266"/>
      <c r="O1061" s="266"/>
      <c r="P1061" s="266"/>
      <c r="Q1061" s="266"/>
      <c r="BR1061" s="266"/>
      <c r="BS1061" s="266"/>
      <c r="BT1061" s="266"/>
      <c r="BU1061" s="266"/>
      <c r="BV1061" s="266"/>
      <c r="CJ1061" s="266"/>
      <c r="CO1061" s="266"/>
      <c r="CP1061" s="266"/>
      <c r="CQ1061" s="266"/>
      <c r="CR1061" s="266"/>
      <c r="CS1061" s="266"/>
      <c r="CT1061" s="266"/>
      <c r="CU1061" s="266"/>
      <c r="CV1061" s="266"/>
      <c r="CW1061" s="266"/>
      <c r="CX1061" s="266"/>
      <c r="CY1061" s="266"/>
      <c r="CZ1061" s="266"/>
      <c r="DA1061" s="266"/>
      <c r="DB1061" s="266"/>
      <c r="DC1061" s="266"/>
      <c r="DD1061" s="266"/>
      <c r="DE1061" s="266"/>
      <c r="DF1061" s="266"/>
      <c r="DG1061" s="266"/>
      <c r="DH1061" s="266"/>
      <c r="DI1061" s="266"/>
      <c r="DJ1061" s="266"/>
      <c r="DK1061" s="266"/>
      <c r="DL1061" s="266"/>
      <c r="DM1061" s="266"/>
      <c r="DN1061" s="266"/>
      <c r="DO1061" s="266"/>
      <c r="DP1061" s="266"/>
      <c r="DQ1061" s="266"/>
      <c r="DR1061" s="266"/>
      <c r="DS1061" s="266"/>
    </row>
    <row r="1062" spans="11:123">
      <c r="K1062" s="266"/>
      <c r="L1062" s="266"/>
      <c r="M1062" s="266"/>
      <c r="N1062" s="266"/>
      <c r="O1062" s="266"/>
      <c r="P1062" s="266"/>
      <c r="Q1062" s="266"/>
      <c r="BR1062" s="266"/>
      <c r="BS1062" s="266"/>
      <c r="BT1062" s="266"/>
      <c r="BU1062" s="266"/>
      <c r="BV1062" s="266"/>
      <c r="CJ1062" s="266"/>
      <c r="CO1062" s="266"/>
      <c r="CP1062" s="266"/>
      <c r="CQ1062" s="266"/>
      <c r="CR1062" s="266"/>
      <c r="CS1062" s="266"/>
      <c r="CT1062" s="266"/>
      <c r="CU1062" s="266"/>
      <c r="CV1062" s="266"/>
      <c r="CW1062" s="266"/>
      <c r="CX1062" s="266"/>
      <c r="CY1062" s="266"/>
      <c r="CZ1062" s="266"/>
      <c r="DA1062" s="266"/>
      <c r="DB1062" s="266"/>
      <c r="DC1062" s="266"/>
      <c r="DD1062" s="266"/>
      <c r="DE1062" s="266"/>
      <c r="DF1062" s="266"/>
      <c r="DG1062" s="266"/>
      <c r="DH1062" s="266"/>
      <c r="DI1062" s="266"/>
      <c r="DJ1062" s="266"/>
      <c r="DK1062" s="266"/>
      <c r="DL1062" s="266"/>
      <c r="DM1062" s="266"/>
      <c r="DN1062" s="266"/>
      <c r="DO1062" s="266"/>
      <c r="DP1062" s="266"/>
      <c r="DQ1062" s="266"/>
      <c r="DR1062" s="266"/>
      <c r="DS1062" s="266"/>
    </row>
    <row r="1063" spans="11:123">
      <c r="K1063" s="266"/>
      <c r="L1063" s="266"/>
      <c r="M1063" s="266"/>
      <c r="N1063" s="266"/>
      <c r="O1063" s="266"/>
      <c r="P1063" s="266"/>
      <c r="Q1063" s="266"/>
      <c r="BR1063" s="266"/>
      <c r="BS1063" s="266"/>
      <c r="BT1063" s="266"/>
      <c r="BU1063" s="266"/>
      <c r="BV1063" s="266"/>
      <c r="CJ1063" s="266"/>
      <c r="CO1063" s="266"/>
      <c r="CP1063" s="266"/>
      <c r="CQ1063" s="266"/>
      <c r="CR1063" s="266"/>
      <c r="CS1063" s="266"/>
      <c r="CT1063" s="266"/>
      <c r="CU1063" s="266"/>
      <c r="CV1063" s="266"/>
      <c r="CW1063" s="266"/>
      <c r="CX1063" s="266"/>
      <c r="CY1063" s="266"/>
      <c r="CZ1063" s="266"/>
      <c r="DA1063" s="266"/>
      <c r="DB1063" s="266"/>
      <c r="DC1063" s="266"/>
      <c r="DD1063" s="266"/>
      <c r="DE1063" s="266"/>
      <c r="DF1063" s="266"/>
      <c r="DG1063" s="266"/>
      <c r="DH1063" s="266"/>
      <c r="DI1063" s="266"/>
      <c r="DJ1063" s="266"/>
      <c r="DK1063" s="266"/>
      <c r="DL1063" s="266"/>
      <c r="DM1063" s="266"/>
      <c r="DN1063" s="266"/>
      <c r="DO1063" s="266"/>
      <c r="DP1063" s="266"/>
      <c r="DQ1063" s="266"/>
      <c r="DR1063" s="266"/>
      <c r="DS1063" s="266"/>
    </row>
    <row r="1064" spans="11:123">
      <c r="K1064" s="266"/>
      <c r="L1064" s="266"/>
      <c r="M1064" s="266"/>
      <c r="N1064" s="266"/>
      <c r="O1064" s="266"/>
      <c r="P1064" s="266"/>
      <c r="Q1064" s="266"/>
      <c r="BR1064" s="266"/>
      <c r="BS1064" s="266"/>
      <c r="BT1064" s="266"/>
      <c r="BU1064" s="266"/>
      <c r="BV1064" s="266"/>
      <c r="CJ1064" s="266"/>
      <c r="CO1064" s="266"/>
      <c r="CP1064" s="266"/>
      <c r="CQ1064" s="266"/>
      <c r="CR1064" s="266"/>
      <c r="CS1064" s="266"/>
      <c r="CT1064" s="266"/>
      <c r="CU1064" s="266"/>
      <c r="CV1064" s="266"/>
      <c r="CW1064" s="266"/>
      <c r="CX1064" s="266"/>
      <c r="CY1064" s="266"/>
      <c r="CZ1064" s="266"/>
      <c r="DA1064" s="266"/>
      <c r="DB1064" s="266"/>
      <c r="DC1064" s="266"/>
      <c r="DD1064" s="266"/>
      <c r="DE1064" s="266"/>
      <c r="DF1064" s="266"/>
      <c r="DG1064" s="266"/>
      <c r="DH1064" s="266"/>
      <c r="DI1064" s="266"/>
      <c r="DJ1064" s="266"/>
      <c r="DK1064" s="266"/>
      <c r="DL1064" s="266"/>
      <c r="DM1064" s="266"/>
      <c r="DN1064" s="266"/>
      <c r="DO1064" s="266"/>
      <c r="DP1064" s="266"/>
      <c r="DQ1064" s="266"/>
      <c r="DR1064" s="266"/>
      <c r="DS1064" s="266"/>
    </row>
    <row r="1065" spans="11:123">
      <c r="K1065" s="266"/>
      <c r="L1065" s="266"/>
      <c r="M1065" s="266"/>
      <c r="N1065" s="266"/>
      <c r="O1065" s="266"/>
      <c r="P1065" s="266"/>
      <c r="Q1065" s="266"/>
      <c r="BR1065" s="266"/>
      <c r="BS1065" s="266"/>
      <c r="BT1065" s="266"/>
      <c r="BU1065" s="266"/>
      <c r="BV1065" s="266"/>
      <c r="CJ1065" s="266"/>
      <c r="CO1065" s="266"/>
      <c r="CP1065" s="266"/>
      <c r="CQ1065" s="266"/>
      <c r="CR1065" s="266"/>
      <c r="CS1065" s="266"/>
      <c r="CT1065" s="266"/>
      <c r="CU1065" s="266"/>
      <c r="CV1065" s="266"/>
      <c r="CW1065" s="266"/>
      <c r="CX1065" s="266"/>
      <c r="CY1065" s="266"/>
      <c r="CZ1065" s="266"/>
      <c r="DA1065" s="266"/>
      <c r="DB1065" s="266"/>
      <c r="DC1065" s="266"/>
      <c r="DD1065" s="266"/>
      <c r="DE1065" s="266"/>
      <c r="DF1065" s="266"/>
      <c r="DG1065" s="266"/>
      <c r="DH1065" s="266"/>
      <c r="DI1065" s="266"/>
      <c r="DJ1065" s="266"/>
      <c r="DK1065" s="266"/>
      <c r="DL1065" s="266"/>
      <c r="DM1065" s="266"/>
      <c r="DN1065" s="266"/>
      <c r="DO1065" s="266"/>
      <c r="DP1065" s="266"/>
      <c r="DQ1065" s="266"/>
      <c r="DR1065" s="266"/>
      <c r="DS1065" s="266"/>
    </row>
    <row r="1066" spans="11:123">
      <c r="K1066" s="266"/>
      <c r="L1066" s="266"/>
      <c r="M1066" s="266"/>
      <c r="N1066" s="266"/>
      <c r="O1066" s="266"/>
      <c r="P1066" s="266"/>
      <c r="Q1066" s="266"/>
      <c r="BR1066" s="266"/>
      <c r="BS1066" s="266"/>
      <c r="BT1066" s="266"/>
      <c r="BU1066" s="266"/>
      <c r="BV1066" s="266"/>
      <c r="CJ1066" s="266"/>
      <c r="CO1066" s="266"/>
      <c r="CP1066" s="266"/>
      <c r="CQ1066" s="266"/>
      <c r="CR1066" s="266"/>
      <c r="CS1066" s="266"/>
      <c r="CT1066" s="266"/>
      <c r="CU1066" s="266"/>
      <c r="CV1066" s="266"/>
      <c r="CW1066" s="266"/>
      <c r="CX1066" s="266"/>
      <c r="CY1066" s="266"/>
      <c r="CZ1066" s="266"/>
      <c r="DA1066" s="266"/>
      <c r="DB1066" s="266"/>
      <c r="DC1066" s="266"/>
      <c r="DD1066" s="266"/>
      <c r="DE1066" s="266"/>
      <c r="DF1066" s="266"/>
      <c r="DG1066" s="266"/>
      <c r="DH1066" s="266"/>
      <c r="DI1066" s="266"/>
      <c r="DJ1066" s="266"/>
      <c r="DK1066" s="266"/>
      <c r="DL1066" s="266"/>
      <c r="DM1066" s="266"/>
      <c r="DN1066" s="266"/>
      <c r="DO1066" s="266"/>
      <c r="DP1066" s="266"/>
      <c r="DQ1066" s="266"/>
      <c r="DR1066" s="266"/>
      <c r="DS1066" s="266"/>
    </row>
    <row r="1067" spans="11:123">
      <c r="K1067" s="266"/>
      <c r="L1067" s="266"/>
      <c r="M1067" s="266"/>
      <c r="N1067" s="266"/>
      <c r="O1067" s="266"/>
      <c r="P1067" s="266"/>
      <c r="Q1067" s="266"/>
      <c r="BR1067" s="266"/>
      <c r="BS1067" s="266"/>
      <c r="BT1067" s="266"/>
      <c r="BU1067" s="266"/>
      <c r="BV1067" s="266"/>
      <c r="CJ1067" s="266"/>
      <c r="CO1067" s="266"/>
      <c r="CP1067" s="266"/>
      <c r="CQ1067" s="266"/>
      <c r="CR1067" s="266"/>
      <c r="CS1067" s="266"/>
      <c r="CT1067" s="266"/>
      <c r="CU1067" s="266"/>
      <c r="CV1067" s="266"/>
      <c r="CW1067" s="266"/>
      <c r="CX1067" s="266"/>
      <c r="CY1067" s="266"/>
      <c r="CZ1067" s="266"/>
      <c r="DA1067" s="266"/>
      <c r="DB1067" s="266"/>
      <c r="DC1067" s="266"/>
      <c r="DD1067" s="266"/>
      <c r="DE1067" s="266"/>
      <c r="DF1067" s="266"/>
      <c r="DG1067" s="266"/>
      <c r="DH1067" s="266"/>
      <c r="DI1067" s="266"/>
      <c r="DJ1067" s="266"/>
      <c r="DK1067" s="266"/>
      <c r="DL1067" s="266"/>
      <c r="DM1067" s="266"/>
      <c r="DN1067" s="266"/>
      <c r="DO1067" s="266"/>
      <c r="DP1067" s="266"/>
      <c r="DQ1067" s="266"/>
      <c r="DR1067" s="266"/>
      <c r="DS1067" s="266"/>
    </row>
    <row r="1068" spans="11:123">
      <c r="K1068" s="266"/>
      <c r="L1068" s="266"/>
      <c r="M1068" s="266"/>
      <c r="N1068" s="266"/>
      <c r="O1068" s="266"/>
      <c r="P1068" s="266"/>
      <c r="Q1068" s="266"/>
      <c r="BR1068" s="266"/>
      <c r="BS1068" s="266"/>
      <c r="BT1068" s="266"/>
      <c r="BU1068" s="266"/>
      <c r="BV1068" s="266"/>
      <c r="CJ1068" s="266"/>
      <c r="CO1068" s="266"/>
      <c r="CP1068" s="266"/>
      <c r="CQ1068" s="266"/>
      <c r="CR1068" s="266"/>
      <c r="CS1068" s="266"/>
      <c r="CT1068" s="266"/>
      <c r="CU1068" s="266"/>
      <c r="CV1068" s="266"/>
      <c r="CW1068" s="266"/>
      <c r="CX1068" s="266"/>
      <c r="CY1068" s="266"/>
      <c r="CZ1068" s="266"/>
      <c r="DA1068" s="266"/>
      <c r="DB1068" s="266"/>
      <c r="DC1068" s="266"/>
      <c r="DD1068" s="266"/>
      <c r="DE1068" s="266"/>
      <c r="DF1068" s="266"/>
      <c r="DG1068" s="266"/>
      <c r="DH1068" s="266"/>
      <c r="DI1068" s="266"/>
      <c r="DJ1068" s="266"/>
      <c r="DK1068" s="266"/>
      <c r="DL1068" s="266"/>
      <c r="DM1068" s="266"/>
      <c r="DN1068" s="266"/>
      <c r="DO1068" s="266"/>
      <c r="DP1068" s="266"/>
      <c r="DQ1068" s="266"/>
      <c r="DR1068" s="266"/>
      <c r="DS1068" s="266"/>
    </row>
    <row r="1069" spans="11:123">
      <c r="K1069" s="266"/>
      <c r="L1069" s="266"/>
      <c r="M1069" s="266"/>
      <c r="N1069" s="266"/>
      <c r="O1069" s="266"/>
      <c r="P1069" s="266"/>
      <c r="Q1069" s="266"/>
      <c r="BR1069" s="266"/>
      <c r="BS1069" s="266"/>
      <c r="BT1069" s="266"/>
      <c r="BU1069" s="266"/>
      <c r="BV1069" s="266"/>
      <c r="CJ1069" s="266"/>
      <c r="CO1069" s="266"/>
      <c r="CP1069" s="266"/>
      <c r="CQ1069" s="266"/>
      <c r="CR1069" s="266"/>
      <c r="CS1069" s="266"/>
      <c r="CT1069" s="266"/>
      <c r="CU1069" s="266"/>
      <c r="CV1069" s="266"/>
      <c r="CW1069" s="266"/>
      <c r="CX1069" s="266"/>
      <c r="CY1069" s="266"/>
      <c r="CZ1069" s="266"/>
      <c r="DA1069" s="266"/>
      <c r="DB1069" s="266"/>
      <c r="DC1069" s="266"/>
      <c r="DD1069" s="266"/>
      <c r="DE1069" s="266"/>
      <c r="DF1069" s="266"/>
      <c r="DG1069" s="266"/>
      <c r="DH1069" s="266"/>
      <c r="DI1069" s="266"/>
      <c r="DJ1069" s="266"/>
      <c r="DK1069" s="266"/>
      <c r="DL1069" s="266"/>
      <c r="DM1069" s="266"/>
      <c r="DN1069" s="266"/>
      <c r="DO1069" s="266"/>
      <c r="DP1069" s="266"/>
      <c r="DQ1069" s="266"/>
      <c r="DR1069" s="266"/>
      <c r="DS1069" s="266"/>
    </row>
    <row r="1070" spans="11:123">
      <c r="K1070" s="266"/>
      <c r="L1070" s="266"/>
      <c r="M1070" s="266"/>
      <c r="N1070" s="266"/>
      <c r="O1070" s="266"/>
      <c r="P1070" s="266"/>
      <c r="Q1070" s="266"/>
      <c r="BR1070" s="266"/>
      <c r="BS1070" s="266"/>
      <c r="BT1070" s="266"/>
      <c r="BU1070" s="266"/>
      <c r="BV1070" s="266"/>
      <c r="CJ1070" s="266"/>
      <c r="CO1070" s="266"/>
      <c r="CP1070" s="266"/>
      <c r="CQ1070" s="266"/>
      <c r="CR1070" s="266"/>
      <c r="CS1070" s="266"/>
      <c r="CT1070" s="266"/>
      <c r="CU1070" s="266"/>
      <c r="CV1070" s="266"/>
      <c r="CW1070" s="266"/>
      <c r="CX1070" s="266"/>
      <c r="CY1070" s="266"/>
      <c r="CZ1070" s="266"/>
      <c r="DA1070" s="266"/>
      <c r="DB1070" s="266"/>
      <c r="DC1070" s="266"/>
      <c r="DD1070" s="266"/>
      <c r="DE1070" s="266"/>
      <c r="DF1070" s="266"/>
      <c r="DG1070" s="266"/>
      <c r="DH1070" s="266"/>
      <c r="DI1070" s="266"/>
      <c r="DJ1070" s="266"/>
      <c r="DK1070" s="266"/>
      <c r="DL1070" s="266"/>
      <c r="DM1070" s="266"/>
      <c r="DN1070" s="266"/>
      <c r="DO1070" s="266"/>
      <c r="DP1070" s="266"/>
      <c r="DQ1070" s="266"/>
      <c r="DR1070" s="266"/>
      <c r="DS1070" s="266"/>
    </row>
    <row r="1071" spans="11:123">
      <c r="K1071" s="266"/>
      <c r="L1071" s="266"/>
      <c r="M1071" s="266"/>
      <c r="N1071" s="266"/>
      <c r="O1071" s="266"/>
      <c r="P1071" s="266"/>
      <c r="Q1071" s="266"/>
      <c r="BR1071" s="266"/>
      <c r="BS1071" s="266"/>
      <c r="BT1071" s="266"/>
      <c r="BU1071" s="266"/>
      <c r="BV1071" s="266"/>
      <c r="CJ1071" s="266"/>
      <c r="CO1071" s="266"/>
      <c r="CP1071" s="266"/>
      <c r="CQ1071" s="266"/>
      <c r="CR1071" s="266"/>
      <c r="CS1071" s="266"/>
      <c r="CT1071" s="266"/>
      <c r="CU1071" s="266"/>
      <c r="CV1071" s="266"/>
      <c r="CW1071" s="266"/>
      <c r="CX1071" s="266"/>
      <c r="CY1071" s="266"/>
      <c r="CZ1071" s="266"/>
      <c r="DA1071" s="266"/>
      <c r="DB1071" s="266"/>
      <c r="DC1071" s="266"/>
      <c r="DD1071" s="266"/>
      <c r="DE1071" s="266"/>
      <c r="DF1071" s="266"/>
      <c r="DG1071" s="266"/>
      <c r="DH1071" s="266"/>
      <c r="DI1071" s="266"/>
      <c r="DJ1071" s="266"/>
      <c r="DK1071" s="266"/>
      <c r="DL1071" s="266"/>
      <c r="DM1071" s="266"/>
      <c r="DN1071" s="266"/>
      <c r="DO1071" s="266"/>
      <c r="DP1071" s="266"/>
      <c r="DQ1071" s="266"/>
      <c r="DR1071" s="266"/>
      <c r="DS1071" s="266"/>
    </row>
    <row r="1072" spans="11:123">
      <c r="K1072" s="266"/>
      <c r="L1072" s="266"/>
      <c r="M1072" s="266"/>
      <c r="N1072" s="266"/>
      <c r="O1072" s="266"/>
      <c r="P1072" s="266"/>
      <c r="Q1072" s="266"/>
      <c r="BR1072" s="266"/>
      <c r="BS1072" s="266"/>
      <c r="BT1072" s="266"/>
      <c r="BU1072" s="266"/>
      <c r="BV1072" s="266"/>
      <c r="CJ1072" s="266"/>
      <c r="CO1072" s="266"/>
      <c r="CP1072" s="266"/>
      <c r="CQ1072" s="266"/>
      <c r="CR1072" s="266"/>
      <c r="CS1072" s="266"/>
      <c r="CT1072" s="266"/>
      <c r="CU1072" s="266"/>
      <c r="CV1072" s="266"/>
      <c r="CW1072" s="266"/>
      <c r="CX1072" s="266"/>
      <c r="CY1072" s="266"/>
      <c r="CZ1072" s="266"/>
      <c r="DA1072" s="266"/>
      <c r="DB1072" s="266"/>
      <c r="DC1072" s="266"/>
      <c r="DD1072" s="266"/>
      <c r="DE1072" s="266"/>
      <c r="DF1072" s="266"/>
      <c r="DG1072" s="266"/>
      <c r="DH1072" s="266"/>
      <c r="DI1072" s="266"/>
      <c r="DJ1072" s="266"/>
      <c r="DK1072" s="266"/>
      <c r="DL1072" s="266"/>
      <c r="DM1072" s="266"/>
      <c r="DN1072" s="266"/>
      <c r="DO1072" s="266"/>
      <c r="DP1072" s="266"/>
      <c r="DQ1072" s="266"/>
      <c r="DR1072" s="266"/>
      <c r="DS1072" s="266"/>
    </row>
    <row r="1073" spans="11:123">
      <c r="K1073" s="266"/>
      <c r="L1073" s="266"/>
      <c r="M1073" s="266"/>
      <c r="N1073" s="266"/>
      <c r="O1073" s="266"/>
      <c r="P1073" s="266"/>
      <c r="Q1073" s="266"/>
      <c r="BR1073" s="266"/>
      <c r="BS1073" s="266"/>
      <c r="BT1073" s="266"/>
      <c r="BU1073" s="266"/>
      <c r="BV1073" s="266"/>
      <c r="CJ1073" s="266"/>
      <c r="CO1073" s="266"/>
      <c r="CP1073" s="266"/>
      <c r="CQ1073" s="266"/>
      <c r="CR1073" s="266"/>
      <c r="CS1073" s="266"/>
      <c r="CT1073" s="266"/>
      <c r="CU1073" s="266"/>
      <c r="CV1073" s="266"/>
      <c r="CW1073" s="266"/>
      <c r="CX1073" s="266"/>
      <c r="CY1073" s="266"/>
      <c r="CZ1073" s="266"/>
      <c r="DA1073" s="266"/>
      <c r="DB1073" s="266"/>
      <c r="DC1073" s="266"/>
      <c r="DD1073" s="266"/>
      <c r="DE1073" s="266"/>
      <c r="DF1073" s="266"/>
      <c r="DG1073" s="266"/>
      <c r="DH1073" s="266"/>
      <c r="DI1073" s="266"/>
      <c r="DJ1073" s="266"/>
      <c r="DK1073" s="266"/>
      <c r="DL1073" s="266"/>
      <c r="DM1073" s="266"/>
      <c r="DN1073" s="266"/>
      <c r="DO1073" s="266"/>
      <c r="DP1073" s="266"/>
      <c r="DQ1073" s="266"/>
      <c r="DR1073" s="266"/>
      <c r="DS1073" s="266"/>
    </row>
    <row r="1074" spans="11:123">
      <c r="K1074" s="266"/>
      <c r="L1074" s="266"/>
      <c r="M1074" s="266"/>
      <c r="N1074" s="266"/>
      <c r="O1074" s="266"/>
      <c r="P1074" s="266"/>
      <c r="Q1074" s="266"/>
      <c r="BR1074" s="266"/>
      <c r="BS1074" s="266"/>
      <c r="BT1074" s="266"/>
      <c r="BU1074" s="266"/>
      <c r="BV1074" s="266"/>
      <c r="CJ1074" s="266"/>
      <c r="CO1074" s="266"/>
      <c r="CP1074" s="266"/>
      <c r="CQ1074" s="266"/>
      <c r="CR1074" s="266"/>
      <c r="CS1074" s="266"/>
      <c r="CT1074" s="266"/>
      <c r="CU1074" s="266"/>
      <c r="CV1074" s="266"/>
      <c r="CW1074" s="266"/>
      <c r="CX1074" s="266"/>
      <c r="CY1074" s="266"/>
      <c r="CZ1074" s="266"/>
      <c r="DA1074" s="266"/>
      <c r="DB1074" s="266"/>
      <c r="DC1074" s="266"/>
      <c r="DD1074" s="266"/>
      <c r="DE1074" s="266"/>
      <c r="DF1074" s="266"/>
      <c r="DG1074" s="266"/>
      <c r="DH1074" s="266"/>
      <c r="DI1074" s="266"/>
      <c r="DJ1074" s="266"/>
      <c r="DK1074" s="266"/>
      <c r="DL1074" s="266"/>
      <c r="DM1074" s="266"/>
      <c r="DN1074" s="266"/>
      <c r="DO1074" s="266"/>
      <c r="DP1074" s="266"/>
      <c r="DQ1074" s="266"/>
      <c r="DR1074" s="266"/>
      <c r="DS1074" s="266"/>
    </row>
    <row r="1075" spans="11:123">
      <c r="K1075" s="266"/>
      <c r="L1075" s="266"/>
      <c r="M1075" s="266"/>
      <c r="N1075" s="266"/>
      <c r="O1075" s="266"/>
      <c r="P1075" s="266"/>
      <c r="Q1075" s="266"/>
      <c r="BR1075" s="266"/>
      <c r="BS1075" s="266"/>
      <c r="BT1075" s="266"/>
      <c r="BU1075" s="266"/>
      <c r="BV1075" s="266"/>
      <c r="CJ1075" s="266"/>
      <c r="CO1075" s="266"/>
      <c r="CP1075" s="266"/>
      <c r="CQ1075" s="266"/>
      <c r="CR1075" s="266"/>
      <c r="CS1075" s="266"/>
      <c r="CT1075" s="266"/>
      <c r="CU1075" s="266"/>
      <c r="CV1075" s="266"/>
      <c r="CW1075" s="266"/>
      <c r="CX1075" s="266"/>
      <c r="CY1075" s="266"/>
      <c r="CZ1075" s="266"/>
      <c r="DA1075" s="266"/>
      <c r="DB1075" s="266"/>
      <c r="DC1075" s="266"/>
      <c r="DD1075" s="266"/>
      <c r="DE1075" s="266"/>
      <c r="DF1075" s="266"/>
      <c r="DG1075" s="266"/>
      <c r="DH1075" s="266"/>
      <c r="DI1075" s="266"/>
      <c r="DJ1075" s="266"/>
      <c r="DK1075" s="266"/>
      <c r="DL1075" s="266"/>
      <c r="DM1075" s="266"/>
      <c r="DN1075" s="266"/>
      <c r="DO1075" s="266"/>
      <c r="DP1075" s="266"/>
      <c r="DQ1075" s="266"/>
      <c r="DR1075" s="266"/>
      <c r="DS1075" s="266"/>
    </row>
    <row r="1076" spans="11:123">
      <c r="K1076" s="266"/>
      <c r="L1076" s="266"/>
      <c r="M1076" s="266"/>
      <c r="N1076" s="266"/>
      <c r="O1076" s="266"/>
      <c r="P1076" s="266"/>
      <c r="Q1076" s="266"/>
      <c r="BR1076" s="266"/>
      <c r="BS1076" s="266"/>
      <c r="BT1076" s="266"/>
      <c r="BU1076" s="266"/>
      <c r="BV1076" s="266"/>
      <c r="CJ1076" s="266"/>
      <c r="CO1076" s="266"/>
      <c r="CP1076" s="266"/>
      <c r="CQ1076" s="266"/>
      <c r="CR1076" s="266"/>
      <c r="CS1076" s="266"/>
      <c r="CT1076" s="266"/>
      <c r="CU1076" s="266"/>
      <c r="CV1076" s="266"/>
      <c r="CW1076" s="266"/>
      <c r="CX1076" s="266"/>
      <c r="CY1076" s="266"/>
      <c r="CZ1076" s="266"/>
      <c r="DA1076" s="266"/>
      <c r="DB1076" s="266"/>
      <c r="DC1076" s="266"/>
      <c r="DD1076" s="266"/>
      <c r="DE1076" s="266"/>
      <c r="DF1076" s="266"/>
      <c r="DG1076" s="266"/>
      <c r="DH1076" s="266"/>
      <c r="DI1076" s="266"/>
      <c r="DJ1076" s="266"/>
      <c r="DK1076" s="266"/>
      <c r="DL1076" s="266"/>
      <c r="DM1076" s="266"/>
      <c r="DN1076" s="266"/>
      <c r="DO1076" s="266"/>
      <c r="DP1076" s="266"/>
      <c r="DQ1076" s="266"/>
      <c r="DR1076" s="266"/>
      <c r="DS1076" s="266"/>
    </row>
    <row r="1077" spans="11:123">
      <c r="K1077" s="266"/>
      <c r="L1077" s="266"/>
      <c r="M1077" s="266"/>
      <c r="N1077" s="266"/>
      <c r="O1077" s="266"/>
      <c r="P1077" s="266"/>
      <c r="Q1077" s="266"/>
      <c r="BR1077" s="266"/>
      <c r="BS1077" s="266"/>
      <c r="BT1077" s="266"/>
      <c r="BU1077" s="266"/>
      <c r="BV1077" s="266"/>
      <c r="CJ1077" s="266"/>
      <c r="CO1077" s="266"/>
      <c r="CP1077" s="266"/>
      <c r="CQ1077" s="266"/>
      <c r="CR1077" s="266"/>
      <c r="CS1077" s="266"/>
      <c r="CT1077" s="266"/>
      <c r="CU1077" s="266"/>
      <c r="CV1077" s="266"/>
      <c r="CW1077" s="266"/>
      <c r="CX1077" s="266"/>
      <c r="CY1077" s="266"/>
      <c r="CZ1077" s="266"/>
      <c r="DA1077" s="266"/>
      <c r="DB1077" s="266"/>
      <c r="DC1077" s="266"/>
      <c r="DD1077" s="266"/>
      <c r="DE1077" s="266"/>
      <c r="DF1077" s="266"/>
      <c r="DG1077" s="266"/>
      <c r="DH1077" s="266"/>
      <c r="DI1077" s="266"/>
      <c r="DJ1077" s="266"/>
      <c r="DK1077" s="266"/>
      <c r="DL1077" s="266"/>
      <c r="DM1077" s="266"/>
      <c r="DN1077" s="266"/>
      <c r="DO1077" s="266"/>
      <c r="DP1077" s="266"/>
      <c r="DQ1077" s="266"/>
      <c r="DR1077" s="266"/>
      <c r="DS1077" s="266"/>
    </row>
    <row r="1078" spans="11:123">
      <c r="K1078" s="266"/>
      <c r="L1078" s="266"/>
      <c r="M1078" s="266"/>
      <c r="N1078" s="266"/>
      <c r="O1078" s="266"/>
      <c r="P1078" s="266"/>
      <c r="Q1078" s="266"/>
      <c r="BR1078" s="266"/>
      <c r="BS1078" s="266"/>
      <c r="BT1078" s="266"/>
      <c r="BU1078" s="266"/>
      <c r="BV1078" s="266"/>
      <c r="CJ1078" s="266"/>
      <c r="CO1078" s="266"/>
      <c r="CP1078" s="266"/>
      <c r="CQ1078" s="266"/>
      <c r="CR1078" s="266"/>
      <c r="CS1078" s="266"/>
      <c r="CT1078" s="266"/>
      <c r="CU1078" s="266"/>
      <c r="CV1078" s="266"/>
      <c r="CW1078" s="266"/>
      <c r="CX1078" s="266"/>
      <c r="CY1078" s="266"/>
      <c r="CZ1078" s="266"/>
      <c r="DA1078" s="266"/>
      <c r="DB1078" s="266"/>
      <c r="DC1078" s="266"/>
      <c r="DD1078" s="266"/>
      <c r="DE1078" s="266"/>
      <c r="DF1078" s="266"/>
      <c r="DG1078" s="266"/>
      <c r="DH1078" s="266"/>
      <c r="DI1078" s="266"/>
      <c r="DJ1078" s="266"/>
      <c r="DK1078" s="266"/>
      <c r="DL1078" s="266"/>
      <c r="DM1078" s="266"/>
      <c r="DN1078" s="266"/>
      <c r="DO1078" s="266"/>
      <c r="DP1078" s="266"/>
      <c r="DQ1078" s="266"/>
      <c r="DR1078" s="266"/>
      <c r="DS1078" s="266"/>
    </row>
    <row r="1079" spans="11:123">
      <c r="K1079" s="266"/>
      <c r="L1079" s="266"/>
      <c r="M1079" s="266"/>
      <c r="N1079" s="266"/>
      <c r="O1079" s="266"/>
      <c r="P1079" s="266"/>
      <c r="Q1079" s="266"/>
      <c r="BR1079" s="266"/>
      <c r="BS1079" s="266"/>
      <c r="BT1079" s="266"/>
      <c r="BU1079" s="266"/>
      <c r="BV1079" s="266"/>
      <c r="CJ1079" s="266"/>
      <c r="CO1079" s="266"/>
      <c r="CP1079" s="266"/>
      <c r="CQ1079" s="266"/>
      <c r="CR1079" s="266"/>
      <c r="CS1079" s="266"/>
      <c r="CT1079" s="266"/>
      <c r="CU1079" s="266"/>
      <c r="CV1079" s="266"/>
      <c r="CW1079" s="266"/>
      <c r="CX1079" s="266"/>
      <c r="CY1079" s="266"/>
      <c r="CZ1079" s="266"/>
      <c r="DA1079" s="266"/>
      <c r="DB1079" s="266"/>
      <c r="DC1079" s="266"/>
      <c r="DD1079" s="266"/>
      <c r="DE1079" s="266"/>
      <c r="DF1079" s="266"/>
      <c r="DG1079" s="266"/>
      <c r="DH1079" s="266"/>
      <c r="DI1079" s="266"/>
      <c r="DJ1079" s="266"/>
      <c r="DK1079" s="266"/>
      <c r="DL1079" s="266"/>
      <c r="DM1079" s="266"/>
      <c r="DN1079" s="266"/>
      <c r="DO1079" s="266"/>
      <c r="DP1079" s="266"/>
      <c r="DQ1079" s="266"/>
      <c r="DR1079" s="266"/>
      <c r="DS1079" s="266"/>
    </row>
    <row r="1080" spans="11:123">
      <c r="K1080" s="266"/>
      <c r="L1080" s="266"/>
      <c r="M1080" s="266"/>
      <c r="N1080" s="266"/>
      <c r="O1080" s="266"/>
      <c r="P1080" s="266"/>
      <c r="Q1080" s="266"/>
      <c r="BR1080" s="266"/>
      <c r="BS1080" s="266"/>
      <c r="BT1080" s="266"/>
      <c r="BU1080" s="266"/>
      <c r="BV1080" s="266"/>
      <c r="CJ1080" s="266"/>
      <c r="CO1080" s="266"/>
      <c r="CP1080" s="266"/>
      <c r="CQ1080" s="266"/>
      <c r="CR1080" s="266"/>
      <c r="CS1080" s="266"/>
      <c r="CT1080" s="266"/>
      <c r="CU1080" s="266"/>
      <c r="CV1080" s="266"/>
      <c r="CW1080" s="266"/>
      <c r="CX1080" s="266"/>
      <c r="CY1080" s="266"/>
      <c r="CZ1080" s="266"/>
      <c r="DA1080" s="266"/>
      <c r="DB1080" s="266"/>
      <c r="DC1080" s="266"/>
      <c r="DD1080" s="266"/>
      <c r="DE1080" s="266"/>
      <c r="DF1080" s="266"/>
      <c r="DG1080" s="266"/>
      <c r="DH1080" s="266"/>
      <c r="DI1080" s="266"/>
      <c r="DJ1080" s="266"/>
      <c r="DK1080" s="266"/>
      <c r="DL1080" s="266"/>
      <c r="DM1080" s="266"/>
      <c r="DN1080" s="266"/>
      <c r="DO1080" s="266"/>
      <c r="DP1080" s="266"/>
      <c r="DQ1080" s="266"/>
      <c r="DR1080" s="266"/>
      <c r="DS1080" s="266"/>
    </row>
    <row r="1081" spans="11:123">
      <c r="K1081" s="266"/>
      <c r="L1081" s="266"/>
      <c r="M1081" s="266"/>
      <c r="N1081" s="266"/>
      <c r="O1081" s="266"/>
      <c r="P1081" s="266"/>
      <c r="Q1081" s="266"/>
      <c r="BR1081" s="266"/>
      <c r="BS1081" s="266"/>
      <c r="BT1081" s="266"/>
      <c r="BU1081" s="266"/>
      <c r="BV1081" s="266"/>
      <c r="CJ1081" s="266"/>
      <c r="CO1081" s="266"/>
      <c r="CP1081" s="266"/>
      <c r="CQ1081" s="266"/>
      <c r="CR1081" s="266"/>
      <c r="CS1081" s="266"/>
      <c r="CT1081" s="266"/>
      <c r="CU1081" s="266"/>
      <c r="CV1081" s="266"/>
      <c r="CW1081" s="266"/>
      <c r="CX1081" s="266"/>
      <c r="CY1081" s="266"/>
      <c r="CZ1081" s="266"/>
      <c r="DA1081" s="266"/>
      <c r="DB1081" s="266"/>
      <c r="DC1081" s="266"/>
      <c r="DD1081" s="266"/>
      <c r="DE1081" s="266"/>
      <c r="DF1081" s="266"/>
      <c r="DG1081" s="266"/>
      <c r="DH1081" s="266"/>
      <c r="DI1081" s="266"/>
      <c r="DJ1081" s="266"/>
      <c r="DK1081" s="266"/>
      <c r="DL1081" s="266"/>
      <c r="DM1081" s="266"/>
      <c r="DN1081" s="266"/>
      <c r="DO1081" s="266"/>
      <c r="DP1081" s="266"/>
      <c r="DQ1081" s="266"/>
      <c r="DR1081" s="266"/>
      <c r="DS1081" s="266"/>
    </row>
    <row r="1082" spans="11:123">
      <c r="K1082" s="266"/>
      <c r="L1082" s="266"/>
      <c r="M1082" s="266"/>
      <c r="N1082" s="266"/>
      <c r="O1082" s="266"/>
      <c r="P1082" s="266"/>
      <c r="Q1082" s="266"/>
      <c r="BR1082" s="266"/>
      <c r="BS1082" s="266"/>
      <c r="BT1082" s="266"/>
      <c r="BU1082" s="266"/>
      <c r="BV1082" s="266"/>
      <c r="CJ1082" s="266"/>
      <c r="CO1082" s="266"/>
      <c r="CP1082" s="266"/>
      <c r="CQ1082" s="266"/>
      <c r="CR1082" s="266"/>
      <c r="CS1082" s="266"/>
      <c r="CT1082" s="266"/>
      <c r="CU1082" s="266"/>
      <c r="CV1082" s="266"/>
      <c r="CW1082" s="266"/>
      <c r="CX1082" s="266"/>
      <c r="CY1082" s="266"/>
      <c r="CZ1082" s="266"/>
      <c r="DA1082" s="266"/>
      <c r="DB1082" s="266"/>
      <c r="DC1082" s="266"/>
      <c r="DD1082" s="266"/>
      <c r="DE1082" s="266"/>
      <c r="DF1082" s="266"/>
      <c r="DG1082" s="266"/>
      <c r="DH1082" s="266"/>
      <c r="DI1082" s="266"/>
      <c r="DJ1082" s="266"/>
      <c r="DK1082" s="266"/>
      <c r="DL1082" s="266"/>
      <c r="DM1082" s="266"/>
      <c r="DN1082" s="266"/>
      <c r="DO1082" s="266"/>
      <c r="DP1082" s="266"/>
      <c r="DQ1082" s="266"/>
      <c r="DR1082" s="266"/>
      <c r="DS1082" s="266"/>
    </row>
    <row r="1083" spans="11:123">
      <c r="K1083" s="266"/>
      <c r="L1083" s="266"/>
      <c r="M1083" s="266"/>
      <c r="N1083" s="266"/>
      <c r="O1083" s="266"/>
      <c r="P1083" s="266"/>
      <c r="Q1083" s="266"/>
      <c r="BR1083" s="266"/>
      <c r="BS1083" s="266"/>
      <c r="BT1083" s="266"/>
      <c r="BU1083" s="266"/>
      <c r="BV1083" s="266"/>
      <c r="CJ1083" s="266"/>
      <c r="CO1083" s="266"/>
      <c r="CP1083" s="266"/>
      <c r="CQ1083" s="266"/>
      <c r="CR1083" s="266"/>
      <c r="CS1083" s="266"/>
      <c r="CT1083" s="266"/>
      <c r="CU1083" s="266"/>
      <c r="CV1083" s="266"/>
      <c r="CW1083" s="266"/>
      <c r="CX1083" s="266"/>
      <c r="CY1083" s="266"/>
      <c r="CZ1083" s="266"/>
      <c r="DA1083" s="266"/>
      <c r="DB1083" s="266"/>
      <c r="DC1083" s="266"/>
      <c r="DD1083" s="266"/>
      <c r="DE1083" s="266"/>
      <c r="DF1083" s="266"/>
      <c r="DG1083" s="266"/>
      <c r="DH1083" s="266"/>
      <c r="DI1083" s="266"/>
      <c r="DJ1083" s="266"/>
      <c r="DK1083" s="266"/>
      <c r="DL1083" s="266"/>
      <c r="DM1083" s="266"/>
      <c r="DN1083" s="266"/>
      <c r="DO1083" s="266"/>
      <c r="DP1083" s="266"/>
      <c r="DQ1083" s="266"/>
      <c r="DR1083" s="266"/>
      <c r="DS1083" s="266"/>
    </row>
    <row r="1084" spans="11:123">
      <c r="K1084" s="266"/>
      <c r="L1084" s="266"/>
      <c r="M1084" s="266"/>
      <c r="N1084" s="266"/>
      <c r="O1084" s="266"/>
      <c r="P1084" s="266"/>
      <c r="Q1084" s="266"/>
      <c r="BR1084" s="266"/>
      <c r="BS1084" s="266"/>
      <c r="BT1084" s="266"/>
      <c r="BU1084" s="266"/>
      <c r="BV1084" s="266"/>
      <c r="CJ1084" s="266"/>
      <c r="CO1084" s="266"/>
      <c r="CP1084" s="266"/>
      <c r="CQ1084" s="266"/>
      <c r="CR1084" s="266"/>
      <c r="CS1084" s="266"/>
      <c r="CT1084" s="266"/>
      <c r="CU1084" s="266"/>
      <c r="CV1084" s="266"/>
      <c r="CW1084" s="266"/>
      <c r="CX1084" s="266"/>
      <c r="CY1084" s="266"/>
      <c r="CZ1084" s="266"/>
      <c r="DA1084" s="266"/>
      <c r="DB1084" s="266"/>
      <c r="DC1084" s="266"/>
      <c r="DD1084" s="266"/>
      <c r="DE1084" s="266"/>
      <c r="DF1084" s="266"/>
      <c r="DG1084" s="266"/>
      <c r="DH1084" s="266"/>
      <c r="DI1084" s="266"/>
      <c r="DJ1084" s="266"/>
      <c r="DK1084" s="266"/>
      <c r="DL1084" s="266"/>
      <c r="DM1084" s="266"/>
      <c r="DN1084" s="266"/>
      <c r="DO1084" s="266"/>
      <c r="DP1084" s="266"/>
      <c r="DQ1084" s="266"/>
      <c r="DR1084" s="266"/>
      <c r="DS1084" s="266"/>
    </row>
    <row r="1085" spans="11:123">
      <c r="K1085" s="266"/>
      <c r="L1085" s="266"/>
      <c r="M1085" s="266"/>
      <c r="N1085" s="266"/>
      <c r="O1085" s="266"/>
      <c r="P1085" s="266"/>
      <c r="Q1085" s="266"/>
      <c r="BR1085" s="266"/>
      <c r="BS1085" s="266"/>
      <c r="BT1085" s="266"/>
      <c r="BU1085" s="266"/>
      <c r="BV1085" s="266"/>
      <c r="CJ1085" s="266"/>
      <c r="CO1085" s="266"/>
      <c r="CP1085" s="266"/>
      <c r="CQ1085" s="266"/>
      <c r="CR1085" s="266"/>
      <c r="CS1085" s="266"/>
      <c r="CT1085" s="266"/>
      <c r="CU1085" s="266"/>
      <c r="CV1085" s="266"/>
      <c r="CW1085" s="266"/>
      <c r="CX1085" s="266"/>
      <c r="CY1085" s="266"/>
      <c r="CZ1085" s="266"/>
      <c r="DA1085" s="266"/>
      <c r="DB1085" s="266"/>
      <c r="DC1085" s="266"/>
      <c r="DD1085" s="266"/>
      <c r="DE1085" s="266"/>
      <c r="DF1085" s="266"/>
      <c r="DG1085" s="266"/>
      <c r="DH1085" s="266"/>
      <c r="DI1085" s="266"/>
      <c r="DJ1085" s="266"/>
      <c r="DK1085" s="266"/>
      <c r="DL1085" s="266"/>
      <c r="DM1085" s="266"/>
      <c r="DN1085" s="266"/>
      <c r="DO1085" s="266"/>
      <c r="DP1085" s="266"/>
      <c r="DQ1085" s="266"/>
      <c r="DR1085" s="266"/>
      <c r="DS1085" s="266"/>
    </row>
    <row r="1086" spans="11:123">
      <c r="K1086" s="266"/>
      <c r="L1086" s="266"/>
      <c r="M1086" s="266"/>
      <c r="N1086" s="266"/>
      <c r="O1086" s="266"/>
      <c r="P1086" s="266"/>
      <c r="Q1086" s="266"/>
      <c r="BR1086" s="266"/>
      <c r="BS1086" s="266"/>
      <c r="BT1086" s="266"/>
      <c r="BU1086" s="266"/>
      <c r="BV1086" s="266"/>
      <c r="CJ1086" s="266"/>
      <c r="CO1086" s="266"/>
      <c r="CP1086" s="266"/>
      <c r="CQ1086" s="266"/>
      <c r="CR1086" s="266"/>
      <c r="CS1086" s="266"/>
      <c r="CT1086" s="266"/>
      <c r="CU1086" s="266"/>
      <c r="CV1086" s="266"/>
      <c r="CW1086" s="266"/>
      <c r="CX1086" s="266"/>
      <c r="CY1086" s="266"/>
      <c r="CZ1086" s="266"/>
      <c r="DA1086" s="266"/>
      <c r="DB1086" s="266"/>
      <c r="DC1086" s="266"/>
      <c r="DD1086" s="266"/>
      <c r="DE1086" s="266"/>
      <c r="DF1086" s="266"/>
      <c r="DG1086" s="266"/>
      <c r="DH1086" s="266"/>
      <c r="DI1086" s="266"/>
      <c r="DJ1086" s="266"/>
      <c r="DK1086" s="266"/>
      <c r="DL1086" s="266"/>
      <c r="DM1086" s="266"/>
      <c r="DN1086" s="266"/>
      <c r="DO1086" s="266"/>
      <c r="DP1086" s="266"/>
      <c r="DQ1086" s="266"/>
      <c r="DR1086" s="266"/>
      <c r="DS1086" s="266"/>
    </row>
    <row r="1087" spans="11:123">
      <c r="K1087" s="266"/>
      <c r="L1087" s="266"/>
      <c r="M1087" s="266"/>
      <c r="N1087" s="266"/>
      <c r="O1087" s="266"/>
      <c r="P1087" s="266"/>
      <c r="Q1087" s="266"/>
      <c r="BR1087" s="266"/>
      <c r="BS1087" s="266"/>
      <c r="BT1087" s="266"/>
      <c r="BU1087" s="266"/>
      <c r="BV1087" s="266"/>
      <c r="CJ1087" s="266"/>
      <c r="CO1087" s="266"/>
      <c r="CP1087" s="266"/>
      <c r="CQ1087" s="266"/>
      <c r="CR1087" s="266"/>
      <c r="CS1087" s="266"/>
      <c r="CT1087" s="266"/>
      <c r="CU1087" s="266"/>
      <c r="CV1087" s="266"/>
      <c r="CW1087" s="266"/>
      <c r="CX1087" s="266"/>
      <c r="CY1087" s="266"/>
      <c r="CZ1087" s="266"/>
      <c r="DA1087" s="266"/>
      <c r="DB1087" s="266"/>
      <c r="DC1087" s="266"/>
      <c r="DD1087" s="266"/>
      <c r="DE1087" s="266"/>
      <c r="DF1087" s="266"/>
      <c r="DG1087" s="266"/>
      <c r="DH1087" s="266"/>
      <c r="DI1087" s="266"/>
      <c r="DJ1087" s="266"/>
      <c r="DK1087" s="266"/>
      <c r="DL1087" s="266"/>
      <c r="DM1087" s="266"/>
      <c r="DN1087" s="266"/>
      <c r="DO1087" s="266"/>
      <c r="DP1087" s="266"/>
      <c r="DQ1087" s="266"/>
      <c r="DR1087" s="266"/>
      <c r="DS1087" s="266"/>
    </row>
    <row r="1088" spans="11:123">
      <c r="K1088" s="266"/>
      <c r="L1088" s="266"/>
      <c r="M1088" s="266"/>
      <c r="N1088" s="266"/>
      <c r="O1088" s="266"/>
      <c r="P1088" s="266"/>
      <c r="Q1088" s="266"/>
      <c r="BR1088" s="266"/>
      <c r="BS1088" s="266"/>
      <c r="BT1088" s="266"/>
      <c r="BU1088" s="266"/>
      <c r="BV1088" s="266"/>
      <c r="CJ1088" s="266"/>
      <c r="CO1088" s="266"/>
      <c r="CP1088" s="266"/>
      <c r="CQ1088" s="266"/>
      <c r="CR1088" s="266"/>
      <c r="CS1088" s="266"/>
      <c r="CT1088" s="266"/>
      <c r="CU1088" s="266"/>
      <c r="CV1088" s="266"/>
      <c r="CW1088" s="266"/>
      <c r="CX1088" s="266"/>
      <c r="CY1088" s="266"/>
      <c r="CZ1088" s="266"/>
      <c r="DA1088" s="266"/>
      <c r="DB1088" s="266"/>
      <c r="DC1088" s="266"/>
      <c r="DD1088" s="266"/>
      <c r="DE1088" s="266"/>
      <c r="DF1088" s="266"/>
      <c r="DG1088" s="266"/>
      <c r="DH1088" s="266"/>
      <c r="DI1088" s="266"/>
      <c r="DJ1088" s="266"/>
      <c r="DK1088" s="266"/>
      <c r="DL1088" s="266"/>
      <c r="DM1088" s="266"/>
      <c r="DN1088" s="266"/>
      <c r="DO1088" s="266"/>
      <c r="DP1088" s="266"/>
      <c r="DQ1088" s="266"/>
      <c r="DR1088" s="266"/>
      <c r="DS1088" s="266"/>
    </row>
    <row r="1089" spans="11:123">
      <c r="K1089" s="266"/>
      <c r="L1089" s="266"/>
      <c r="M1089" s="266"/>
      <c r="N1089" s="266"/>
      <c r="O1089" s="266"/>
      <c r="P1089" s="266"/>
      <c r="Q1089" s="266"/>
      <c r="BR1089" s="266"/>
      <c r="BS1089" s="266"/>
      <c r="BT1089" s="266"/>
      <c r="BU1089" s="266"/>
      <c r="BV1089" s="266"/>
      <c r="CJ1089" s="266"/>
      <c r="CO1089" s="266"/>
      <c r="CP1089" s="266"/>
      <c r="CQ1089" s="266"/>
      <c r="CR1089" s="266"/>
      <c r="CS1089" s="266"/>
      <c r="CT1089" s="266"/>
      <c r="CU1089" s="266"/>
      <c r="CV1089" s="266"/>
      <c r="CW1089" s="266"/>
      <c r="CX1089" s="266"/>
      <c r="CY1089" s="266"/>
      <c r="CZ1089" s="266"/>
      <c r="DA1089" s="266"/>
      <c r="DB1089" s="266"/>
      <c r="DC1089" s="266"/>
      <c r="DD1089" s="266"/>
      <c r="DE1089" s="266"/>
      <c r="DF1089" s="266"/>
      <c r="DG1089" s="266"/>
      <c r="DH1089" s="266"/>
      <c r="DI1089" s="266"/>
      <c r="DJ1089" s="266"/>
      <c r="DK1089" s="266"/>
      <c r="DL1089" s="266"/>
      <c r="DM1089" s="266"/>
      <c r="DN1089" s="266"/>
      <c r="DO1089" s="266"/>
      <c r="DP1089" s="266"/>
      <c r="DQ1089" s="266"/>
      <c r="DR1089" s="266"/>
      <c r="DS1089" s="266"/>
    </row>
    <row r="1090" spans="11:123">
      <c r="K1090" s="266"/>
      <c r="L1090" s="266"/>
      <c r="M1090" s="266"/>
      <c r="N1090" s="266"/>
      <c r="O1090" s="266"/>
      <c r="P1090" s="266"/>
      <c r="Q1090" s="266"/>
      <c r="BR1090" s="266"/>
      <c r="BS1090" s="266"/>
      <c r="BT1090" s="266"/>
      <c r="BU1090" s="266"/>
      <c r="BV1090" s="266"/>
      <c r="CJ1090" s="266"/>
      <c r="CO1090" s="266"/>
      <c r="CP1090" s="266"/>
      <c r="CQ1090" s="266"/>
      <c r="CR1090" s="266"/>
      <c r="CS1090" s="266"/>
      <c r="CT1090" s="266"/>
      <c r="CU1090" s="266"/>
      <c r="CV1090" s="266"/>
      <c r="CW1090" s="266"/>
      <c r="CX1090" s="266"/>
      <c r="CY1090" s="266"/>
      <c r="CZ1090" s="266"/>
      <c r="DA1090" s="266"/>
      <c r="DB1090" s="266"/>
      <c r="DC1090" s="266"/>
      <c r="DD1090" s="266"/>
      <c r="DE1090" s="266"/>
      <c r="DF1090" s="266"/>
      <c r="DG1090" s="266"/>
      <c r="DH1090" s="266"/>
      <c r="DI1090" s="266"/>
      <c r="DJ1090" s="266"/>
      <c r="DK1090" s="266"/>
      <c r="DL1090" s="266"/>
      <c r="DM1090" s="266"/>
      <c r="DN1090" s="266"/>
      <c r="DO1090" s="266"/>
      <c r="DP1090" s="266"/>
      <c r="DQ1090" s="266"/>
      <c r="DR1090" s="266"/>
      <c r="DS1090" s="266"/>
    </row>
    <row r="1091" spans="11:123">
      <c r="K1091" s="266"/>
      <c r="L1091" s="266"/>
      <c r="M1091" s="266"/>
      <c r="N1091" s="266"/>
      <c r="O1091" s="266"/>
      <c r="P1091" s="266"/>
      <c r="Q1091" s="266"/>
      <c r="BR1091" s="266"/>
      <c r="BS1091" s="266"/>
      <c r="BT1091" s="266"/>
      <c r="BU1091" s="266"/>
      <c r="BV1091" s="266"/>
      <c r="CJ1091" s="266"/>
      <c r="CO1091" s="266"/>
      <c r="CP1091" s="266"/>
      <c r="CQ1091" s="266"/>
      <c r="CR1091" s="266"/>
      <c r="CS1091" s="266"/>
      <c r="CT1091" s="266"/>
      <c r="CU1091" s="266"/>
      <c r="CV1091" s="266"/>
      <c r="CW1091" s="266"/>
      <c r="CX1091" s="266"/>
      <c r="CY1091" s="266"/>
      <c r="CZ1091" s="266"/>
      <c r="DA1091" s="266"/>
      <c r="DB1091" s="266"/>
      <c r="DC1091" s="266"/>
      <c r="DD1091" s="266"/>
      <c r="DE1091" s="266"/>
      <c r="DF1091" s="266"/>
      <c r="DG1091" s="266"/>
      <c r="DH1091" s="266"/>
      <c r="DI1091" s="266"/>
      <c r="DJ1091" s="266"/>
      <c r="DK1091" s="266"/>
      <c r="DL1091" s="266"/>
      <c r="DM1091" s="266"/>
      <c r="DN1091" s="266"/>
      <c r="DO1091" s="266"/>
      <c r="DP1091" s="266"/>
      <c r="DQ1091" s="266"/>
      <c r="DR1091" s="266"/>
      <c r="DS1091" s="266"/>
    </row>
    <row r="1092" spans="11:123">
      <c r="K1092" s="266"/>
      <c r="L1092" s="266"/>
      <c r="M1092" s="266"/>
      <c r="N1092" s="266"/>
      <c r="O1092" s="266"/>
      <c r="P1092" s="266"/>
      <c r="Q1092" s="266"/>
      <c r="BR1092" s="266"/>
      <c r="BS1092" s="266"/>
      <c r="BT1092" s="266"/>
      <c r="BU1092" s="266"/>
      <c r="BV1092" s="266"/>
      <c r="CJ1092" s="266"/>
      <c r="CO1092" s="266"/>
      <c r="CP1092" s="266"/>
      <c r="CQ1092" s="266"/>
      <c r="CR1092" s="266"/>
      <c r="CS1092" s="266"/>
      <c r="CT1092" s="266"/>
      <c r="CU1092" s="266"/>
      <c r="CV1092" s="266"/>
      <c r="CW1092" s="266"/>
      <c r="CX1092" s="266"/>
      <c r="CY1092" s="266"/>
      <c r="CZ1092" s="266"/>
      <c r="DA1092" s="266"/>
      <c r="DB1092" s="266"/>
      <c r="DC1092" s="266"/>
      <c r="DD1092" s="266"/>
      <c r="DE1092" s="266"/>
      <c r="DF1092" s="266"/>
      <c r="DG1092" s="266"/>
      <c r="DH1092" s="266"/>
      <c r="DI1092" s="266"/>
      <c r="DJ1092" s="266"/>
      <c r="DK1092" s="266"/>
      <c r="DL1092" s="266"/>
      <c r="DM1092" s="266"/>
      <c r="DN1092" s="266"/>
      <c r="DO1092" s="266"/>
      <c r="DP1092" s="266"/>
      <c r="DQ1092" s="266"/>
      <c r="DR1092" s="266"/>
      <c r="DS1092" s="266"/>
    </row>
    <row r="1093" spans="11:123">
      <c r="K1093" s="266"/>
      <c r="L1093" s="266"/>
      <c r="M1093" s="266"/>
      <c r="N1093" s="266"/>
      <c r="O1093" s="266"/>
      <c r="P1093" s="266"/>
      <c r="Q1093" s="266"/>
      <c r="BR1093" s="266"/>
      <c r="BS1093" s="266"/>
      <c r="BT1093" s="266"/>
      <c r="BU1093" s="266"/>
      <c r="BV1093" s="266"/>
      <c r="CJ1093" s="266"/>
      <c r="CO1093" s="266"/>
      <c r="CP1093" s="266"/>
      <c r="CQ1093" s="266"/>
      <c r="CR1093" s="266"/>
      <c r="CS1093" s="266"/>
      <c r="CT1093" s="266"/>
      <c r="CU1093" s="266"/>
      <c r="CV1093" s="266"/>
      <c r="CW1093" s="266"/>
      <c r="CX1093" s="266"/>
      <c r="CY1093" s="266"/>
      <c r="CZ1093" s="266"/>
      <c r="DA1093" s="266"/>
      <c r="DB1093" s="266"/>
      <c r="DC1093" s="266"/>
      <c r="DD1093" s="266"/>
      <c r="DE1093" s="266"/>
      <c r="DF1093" s="266"/>
      <c r="DG1093" s="266"/>
      <c r="DH1093" s="266"/>
      <c r="DI1093" s="266"/>
      <c r="DJ1093" s="266"/>
      <c r="DK1093" s="266"/>
      <c r="DL1093" s="266"/>
      <c r="DM1093" s="266"/>
      <c r="DN1093" s="266"/>
      <c r="DO1093" s="266"/>
      <c r="DP1093" s="266"/>
      <c r="DQ1093" s="266"/>
      <c r="DR1093" s="266"/>
      <c r="DS1093" s="266"/>
    </row>
    <row r="1094" spans="11:123">
      <c r="K1094" s="266"/>
      <c r="L1094" s="266"/>
      <c r="M1094" s="266"/>
      <c r="N1094" s="266"/>
      <c r="O1094" s="266"/>
      <c r="P1094" s="266"/>
      <c r="Q1094" s="266"/>
      <c r="BR1094" s="266"/>
      <c r="BS1094" s="266"/>
      <c r="BT1094" s="266"/>
      <c r="BU1094" s="266"/>
      <c r="BV1094" s="266"/>
      <c r="CJ1094" s="266"/>
      <c r="CO1094" s="266"/>
      <c r="CP1094" s="266"/>
      <c r="CQ1094" s="266"/>
      <c r="CR1094" s="266"/>
      <c r="CS1094" s="266"/>
      <c r="CT1094" s="266"/>
      <c r="CU1094" s="266"/>
      <c r="CV1094" s="266"/>
      <c r="CW1094" s="266"/>
      <c r="CX1094" s="266"/>
      <c r="CY1094" s="266"/>
      <c r="CZ1094" s="266"/>
      <c r="DA1094" s="266"/>
      <c r="DB1094" s="266"/>
      <c r="DC1094" s="266"/>
      <c r="DD1094" s="266"/>
      <c r="DE1094" s="266"/>
      <c r="DF1094" s="266"/>
      <c r="DG1094" s="266"/>
      <c r="DH1094" s="266"/>
      <c r="DI1094" s="266"/>
      <c r="DJ1094" s="266"/>
      <c r="DK1094" s="266"/>
      <c r="DL1094" s="266"/>
      <c r="DM1094" s="266"/>
      <c r="DN1094" s="266"/>
      <c r="DO1094" s="266"/>
      <c r="DP1094" s="266"/>
      <c r="DQ1094" s="266"/>
      <c r="DR1094" s="266"/>
      <c r="DS1094" s="266"/>
    </row>
    <row r="1095" spans="11:123">
      <c r="K1095" s="266"/>
      <c r="L1095" s="266"/>
      <c r="M1095" s="266"/>
      <c r="N1095" s="266"/>
      <c r="O1095" s="266"/>
      <c r="P1095" s="266"/>
      <c r="Q1095" s="266"/>
      <c r="BR1095" s="266"/>
      <c r="BS1095" s="266"/>
      <c r="BT1095" s="266"/>
      <c r="BU1095" s="266"/>
      <c r="BV1095" s="266"/>
      <c r="CJ1095" s="266"/>
      <c r="CO1095" s="266"/>
      <c r="CP1095" s="266"/>
      <c r="CQ1095" s="266"/>
      <c r="CR1095" s="266"/>
      <c r="CS1095" s="266"/>
      <c r="CT1095" s="266"/>
      <c r="CU1095" s="266"/>
      <c r="CV1095" s="266"/>
      <c r="CW1095" s="266"/>
      <c r="CX1095" s="266"/>
      <c r="CY1095" s="266"/>
      <c r="CZ1095" s="266"/>
      <c r="DA1095" s="266"/>
      <c r="DB1095" s="266"/>
      <c r="DC1095" s="266"/>
      <c r="DD1095" s="266"/>
      <c r="DE1095" s="266"/>
      <c r="DF1095" s="266"/>
      <c r="DG1095" s="266"/>
      <c r="DH1095" s="266"/>
      <c r="DI1095" s="266"/>
      <c r="DJ1095" s="266"/>
      <c r="DK1095" s="266"/>
      <c r="DL1095" s="266"/>
      <c r="DM1095" s="266"/>
      <c r="DN1095" s="266"/>
      <c r="DO1095" s="266"/>
      <c r="DP1095" s="266"/>
      <c r="DQ1095" s="266"/>
      <c r="DR1095" s="266"/>
      <c r="DS1095" s="266"/>
    </row>
    <row r="1096" spans="11:123">
      <c r="K1096" s="266"/>
      <c r="L1096" s="266"/>
      <c r="M1096" s="266"/>
      <c r="N1096" s="266"/>
      <c r="O1096" s="266"/>
      <c r="P1096" s="266"/>
      <c r="Q1096" s="266"/>
      <c r="BR1096" s="266"/>
      <c r="BS1096" s="266"/>
      <c r="BT1096" s="266"/>
      <c r="BU1096" s="266"/>
      <c r="BV1096" s="266"/>
      <c r="CJ1096" s="266"/>
      <c r="CO1096" s="266"/>
      <c r="CP1096" s="266"/>
      <c r="CQ1096" s="266"/>
      <c r="CR1096" s="266"/>
      <c r="CS1096" s="266"/>
      <c r="CT1096" s="266"/>
      <c r="CU1096" s="266"/>
      <c r="CV1096" s="266"/>
      <c r="CW1096" s="266"/>
      <c r="CX1096" s="266"/>
      <c r="CY1096" s="266"/>
      <c r="CZ1096" s="266"/>
      <c r="DA1096" s="266"/>
      <c r="DB1096" s="266"/>
      <c r="DC1096" s="266"/>
      <c r="DD1096" s="266"/>
      <c r="DE1096" s="266"/>
      <c r="DF1096" s="266"/>
      <c r="DG1096" s="266"/>
      <c r="DH1096" s="266"/>
      <c r="DI1096" s="266"/>
      <c r="DJ1096" s="266"/>
      <c r="DK1096" s="266"/>
      <c r="DL1096" s="266"/>
      <c r="DM1096" s="266"/>
      <c r="DN1096" s="266"/>
      <c r="DO1096" s="266"/>
      <c r="DP1096" s="266"/>
      <c r="DQ1096" s="266"/>
      <c r="DR1096" s="266"/>
      <c r="DS1096" s="266"/>
    </row>
    <row r="1097" spans="11:123">
      <c r="K1097" s="266"/>
      <c r="L1097" s="266"/>
      <c r="M1097" s="266"/>
      <c r="N1097" s="266"/>
      <c r="O1097" s="266"/>
      <c r="P1097" s="266"/>
      <c r="Q1097" s="266"/>
      <c r="BR1097" s="266"/>
      <c r="BS1097" s="266"/>
      <c r="BT1097" s="266"/>
      <c r="BU1097" s="266"/>
      <c r="BV1097" s="266"/>
      <c r="CJ1097" s="266"/>
      <c r="CO1097" s="266"/>
      <c r="CP1097" s="266"/>
      <c r="CQ1097" s="266"/>
      <c r="CR1097" s="266"/>
      <c r="CS1097" s="266"/>
      <c r="CT1097" s="266"/>
      <c r="CU1097" s="266"/>
      <c r="CV1097" s="266"/>
      <c r="CW1097" s="266"/>
      <c r="CX1097" s="266"/>
      <c r="CY1097" s="266"/>
      <c r="CZ1097" s="266"/>
      <c r="DA1097" s="266"/>
      <c r="DB1097" s="266"/>
      <c r="DC1097" s="266"/>
      <c r="DD1097" s="266"/>
      <c r="DE1097" s="266"/>
      <c r="DF1097" s="266"/>
      <c r="DG1097" s="266"/>
      <c r="DH1097" s="266"/>
      <c r="DI1097" s="266"/>
      <c r="DJ1097" s="266"/>
      <c r="DK1097" s="266"/>
      <c r="DL1097" s="266"/>
      <c r="DM1097" s="266"/>
      <c r="DN1097" s="266"/>
      <c r="DO1097" s="266"/>
      <c r="DP1097" s="266"/>
      <c r="DQ1097" s="266"/>
      <c r="DR1097" s="266"/>
      <c r="DS1097" s="266"/>
    </row>
    <row r="1098" spans="11:123">
      <c r="K1098" s="266"/>
      <c r="L1098" s="266"/>
      <c r="M1098" s="266"/>
      <c r="N1098" s="266"/>
      <c r="O1098" s="266"/>
      <c r="P1098" s="266"/>
      <c r="Q1098" s="266"/>
      <c r="BR1098" s="266"/>
      <c r="BS1098" s="266"/>
      <c r="BT1098" s="266"/>
      <c r="BU1098" s="266"/>
      <c r="BV1098" s="266"/>
      <c r="CJ1098" s="266"/>
      <c r="CO1098" s="266"/>
      <c r="CP1098" s="266"/>
      <c r="CQ1098" s="266"/>
      <c r="CR1098" s="266"/>
      <c r="CS1098" s="266"/>
      <c r="CT1098" s="266"/>
      <c r="CU1098" s="266"/>
      <c r="CV1098" s="266"/>
      <c r="CW1098" s="266"/>
      <c r="CX1098" s="266"/>
      <c r="CY1098" s="266"/>
      <c r="CZ1098" s="266"/>
      <c r="DA1098" s="266"/>
      <c r="DB1098" s="266"/>
      <c r="DC1098" s="266"/>
      <c r="DD1098" s="266"/>
      <c r="DE1098" s="266"/>
      <c r="DF1098" s="266"/>
      <c r="DG1098" s="266"/>
      <c r="DH1098" s="266"/>
      <c r="DI1098" s="266"/>
      <c r="DJ1098" s="266"/>
      <c r="DK1098" s="266"/>
      <c r="DL1098" s="266"/>
      <c r="DM1098" s="266"/>
      <c r="DN1098" s="266"/>
      <c r="DO1098" s="266"/>
      <c r="DP1098" s="266"/>
      <c r="DQ1098" s="266"/>
      <c r="DR1098" s="266"/>
      <c r="DS1098" s="266"/>
    </row>
    <row r="1099" spans="11:123">
      <c r="K1099" s="266"/>
      <c r="L1099" s="266"/>
      <c r="M1099" s="266"/>
      <c r="N1099" s="266"/>
      <c r="O1099" s="266"/>
      <c r="P1099" s="266"/>
      <c r="Q1099" s="266"/>
      <c r="BR1099" s="266"/>
      <c r="BS1099" s="266"/>
      <c r="BT1099" s="266"/>
      <c r="BU1099" s="266"/>
      <c r="BV1099" s="266"/>
      <c r="CJ1099" s="266"/>
      <c r="CO1099" s="266"/>
      <c r="CP1099" s="266"/>
      <c r="CQ1099" s="266"/>
      <c r="CR1099" s="266"/>
      <c r="CS1099" s="266"/>
      <c r="CT1099" s="266"/>
      <c r="CU1099" s="266"/>
      <c r="CV1099" s="266"/>
      <c r="CW1099" s="266"/>
      <c r="CX1099" s="266"/>
      <c r="CY1099" s="266"/>
      <c r="CZ1099" s="266"/>
      <c r="DA1099" s="266"/>
      <c r="DB1099" s="266"/>
      <c r="DC1099" s="266"/>
      <c r="DD1099" s="266"/>
      <c r="DE1099" s="266"/>
      <c r="DF1099" s="266"/>
      <c r="DG1099" s="266"/>
      <c r="DH1099" s="266"/>
      <c r="DI1099" s="266"/>
      <c r="DJ1099" s="266"/>
      <c r="DK1099" s="266"/>
      <c r="DL1099" s="266"/>
      <c r="DM1099" s="266"/>
      <c r="DN1099" s="266"/>
      <c r="DO1099" s="266"/>
      <c r="DP1099" s="266"/>
      <c r="DQ1099" s="266"/>
      <c r="DR1099" s="266"/>
      <c r="DS1099" s="266"/>
    </row>
    <row r="1100" spans="11:123">
      <c r="K1100" s="266"/>
      <c r="L1100" s="266"/>
      <c r="M1100" s="266"/>
      <c r="N1100" s="266"/>
      <c r="O1100" s="266"/>
      <c r="P1100" s="266"/>
      <c r="Q1100" s="266"/>
      <c r="BR1100" s="266"/>
      <c r="BS1100" s="266"/>
      <c r="BT1100" s="266"/>
      <c r="BU1100" s="266"/>
      <c r="BV1100" s="266"/>
      <c r="CJ1100" s="266"/>
      <c r="CO1100" s="266"/>
      <c r="CP1100" s="266"/>
      <c r="CQ1100" s="266"/>
      <c r="CR1100" s="266"/>
      <c r="CS1100" s="266"/>
      <c r="CT1100" s="266"/>
      <c r="CU1100" s="266"/>
      <c r="CV1100" s="266"/>
      <c r="CW1100" s="266"/>
      <c r="CX1100" s="266"/>
      <c r="CY1100" s="266"/>
      <c r="CZ1100" s="266"/>
      <c r="DA1100" s="266"/>
      <c r="DB1100" s="266"/>
      <c r="DC1100" s="266"/>
      <c r="DD1100" s="266"/>
      <c r="DE1100" s="266"/>
      <c r="DF1100" s="266"/>
      <c r="DG1100" s="266"/>
      <c r="DH1100" s="266"/>
      <c r="DI1100" s="266"/>
      <c r="DJ1100" s="266"/>
      <c r="DK1100" s="266"/>
      <c r="DL1100" s="266"/>
      <c r="DM1100" s="266"/>
      <c r="DN1100" s="266"/>
      <c r="DO1100" s="266"/>
      <c r="DP1100" s="266"/>
      <c r="DQ1100" s="266"/>
      <c r="DR1100" s="266"/>
      <c r="DS1100" s="266"/>
    </row>
    <row r="1101" spans="11:123">
      <c r="K1101" s="266"/>
      <c r="L1101" s="266"/>
      <c r="M1101" s="266"/>
      <c r="N1101" s="266"/>
      <c r="O1101" s="266"/>
      <c r="P1101" s="266"/>
      <c r="Q1101" s="266"/>
      <c r="BR1101" s="266"/>
      <c r="BS1101" s="266"/>
      <c r="BT1101" s="266"/>
      <c r="BU1101" s="266"/>
      <c r="BV1101" s="266"/>
      <c r="CJ1101" s="266"/>
      <c r="CO1101" s="266"/>
      <c r="CP1101" s="266"/>
      <c r="CQ1101" s="266"/>
      <c r="CR1101" s="266"/>
      <c r="CS1101" s="266"/>
      <c r="CT1101" s="266"/>
      <c r="CU1101" s="266"/>
      <c r="CV1101" s="266"/>
      <c r="CW1101" s="266"/>
      <c r="CX1101" s="266"/>
      <c r="CY1101" s="266"/>
      <c r="CZ1101" s="266"/>
      <c r="DA1101" s="266"/>
      <c r="DB1101" s="266"/>
      <c r="DC1101" s="266"/>
      <c r="DD1101" s="266"/>
      <c r="DE1101" s="266"/>
      <c r="DF1101" s="266"/>
      <c r="DG1101" s="266"/>
      <c r="DH1101" s="266"/>
      <c r="DI1101" s="266"/>
      <c r="DJ1101" s="266"/>
      <c r="DK1101" s="266"/>
      <c r="DL1101" s="266"/>
      <c r="DM1101" s="266"/>
      <c r="DN1101" s="266"/>
      <c r="DO1101" s="266"/>
      <c r="DP1101" s="266"/>
      <c r="DQ1101" s="266"/>
      <c r="DR1101" s="266"/>
      <c r="DS1101" s="266"/>
    </row>
    <row r="1102" spans="11:123">
      <c r="K1102" s="266"/>
      <c r="L1102" s="266"/>
      <c r="M1102" s="266"/>
      <c r="N1102" s="266"/>
      <c r="O1102" s="266"/>
      <c r="P1102" s="266"/>
      <c r="Q1102" s="266"/>
      <c r="BR1102" s="266"/>
      <c r="BS1102" s="266"/>
      <c r="BT1102" s="266"/>
      <c r="BU1102" s="266"/>
      <c r="BV1102" s="266"/>
      <c r="CJ1102" s="266"/>
      <c r="CO1102" s="266"/>
      <c r="CP1102" s="266"/>
      <c r="CQ1102" s="266"/>
      <c r="CR1102" s="266"/>
      <c r="CS1102" s="266"/>
      <c r="CT1102" s="266"/>
      <c r="CU1102" s="266"/>
      <c r="CV1102" s="266"/>
      <c r="CW1102" s="266"/>
      <c r="CX1102" s="266"/>
      <c r="CY1102" s="266"/>
      <c r="CZ1102" s="266"/>
      <c r="DA1102" s="266"/>
      <c r="DB1102" s="266"/>
      <c r="DC1102" s="266"/>
      <c r="DD1102" s="266"/>
      <c r="DE1102" s="266"/>
      <c r="DF1102" s="266"/>
      <c r="DG1102" s="266"/>
      <c r="DH1102" s="266"/>
      <c r="DI1102" s="266"/>
      <c r="DJ1102" s="266"/>
      <c r="DK1102" s="266"/>
      <c r="DL1102" s="266"/>
      <c r="DM1102" s="266"/>
      <c r="DN1102" s="266"/>
      <c r="DO1102" s="266"/>
      <c r="DP1102" s="266"/>
      <c r="DQ1102" s="266"/>
      <c r="DR1102" s="266"/>
      <c r="DS1102" s="266"/>
    </row>
    <row r="1103" spans="11:123">
      <c r="K1103" s="266"/>
      <c r="L1103" s="266"/>
      <c r="M1103" s="266"/>
      <c r="N1103" s="266"/>
      <c r="O1103" s="266"/>
      <c r="P1103" s="266"/>
      <c r="Q1103" s="266"/>
      <c r="BR1103" s="266"/>
      <c r="BS1103" s="266"/>
      <c r="BT1103" s="266"/>
      <c r="BU1103" s="266"/>
      <c r="BV1103" s="266"/>
      <c r="CJ1103" s="266"/>
      <c r="CO1103" s="266"/>
      <c r="CP1103" s="266"/>
      <c r="CQ1103" s="266"/>
      <c r="CR1103" s="266"/>
      <c r="CS1103" s="266"/>
      <c r="CT1103" s="266"/>
      <c r="CU1103" s="266"/>
      <c r="CV1103" s="266"/>
      <c r="CW1103" s="266"/>
      <c r="CX1103" s="266"/>
      <c r="CY1103" s="266"/>
      <c r="CZ1103" s="266"/>
      <c r="DA1103" s="266"/>
      <c r="DB1103" s="266"/>
      <c r="DC1103" s="266"/>
      <c r="DD1103" s="266"/>
      <c r="DE1103" s="266"/>
      <c r="DF1103" s="266"/>
      <c r="DG1103" s="266"/>
      <c r="DH1103" s="266"/>
      <c r="DI1103" s="266"/>
      <c r="DJ1103" s="266"/>
      <c r="DK1103" s="266"/>
      <c r="DL1103" s="266"/>
      <c r="DM1103" s="266"/>
      <c r="DN1103" s="266"/>
      <c r="DO1103" s="266"/>
      <c r="DP1103" s="266"/>
      <c r="DQ1103" s="266"/>
      <c r="DR1103" s="266"/>
      <c r="DS1103" s="266"/>
    </row>
    <row r="1104" spans="11:123">
      <c r="K1104" s="266"/>
      <c r="L1104" s="266"/>
      <c r="M1104" s="266"/>
      <c r="N1104" s="266"/>
      <c r="O1104" s="266"/>
      <c r="P1104" s="266"/>
      <c r="Q1104" s="266"/>
      <c r="BR1104" s="266"/>
      <c r="BS1104" s="266"/>
      <c r="BT1104" s="266"/>
      <c r="BU1104" s="266"/>
      <c r="BV1104" s="266"/>
      <c r="CJ1104" s="266"/>
      <c r="CO1104" s="266"/>
      <c r="CP1104" s="266"/>
      <c r="CQ1104" s="266"/>
      <c r="CR1104" s="266"/>
      <c r="CS1104" s="266"/>
      <c r="CT1104" s="266"/>
      <c r="CU1104" s="266"/>
      <c r="CV1104" s="266"/>
      <c r="CW1104" s="266"/>
      <c r="CX1104" s="266"/>
      <c r="CY1104" s="266"/>
      <c r="CZ1104" s="266"/>
      <c r="DA1104" s="266"/>
      <c r="DB1104" s="266"/>
      <c r="DC1104" s="266"/>
      <c r="DD1104" s="266"/>
      <c r="DE1104" s="266"/>
      <c r="DF1104" s="266"/>
      <c r="DG1104" s="266"/>
      <c r="DH1104" s="266"/>
      <c r="DI1104" s="266"/>
      <c r="DJ1104" s="266"/>
      <c r="DK1104" s="266"/>
      <c r="DL1104" s="266"/>
      <c r="DM1104" s="266"/>
      <c r="DN1104" s="266"/>
      <c r="DO1104" s="266"/>
      <c r="DP1104" s="266"/>
      <c r="DQ1104" s="266"/>
      <c r="DR1104" s="266"/>
      <c r="DS1104" s="266"/>
    </row>
    <row r="1105" spans="11:123">
      <c r="K1105" s="266"/>
      <c r="L1105" s="266"/>
      <c r="M1105" s="266"/>
      <c r="N1105" s="266"/>
      <c r="O1105" s="266"/>
      <c r="P1105" s="266"/>
      <c r="Q1105" s="266"/>
      <c r="BR1105" s="266"/>
      <c r="BS1105" s="266"/>
      <c r="BT1105" s="266"/>
      <c r="BU1105" s="266"/>
      <c r="BV1105" s="266"/>
      <c r="CJ1105" s="266"/>
      <c r="CO1105" s="266"/>
      <c r="CP1105" s="266"/>
      <c r="CQ1105" s="266"/>
      <c r="CR1105" s="266"/>
      <c r="CS1105" s="266"/>
      <c r="CT1105" s="266"/>
      <c r="CU1105" s="266"/>
      <c r="CV1105" s="266"/>
      <c r="CW1105" s="266"/>
      <c r="CX1105" s="266"/>
      <c r="CY1105" s="266"/>
      <c r="CZ1105" s="266"/>
      <c r="DA1105" s="266"/>
      <c r="DB1105" s="266"/>
      <c r="DC1105" s="266"/>
      <c r="DD1105" s="266"/>
      <c r="DE1105" s="266"/>
      <c r="DF1105" s="266"/>
      <c r="DG1105" s="266"/>
      <c r="DH1105" s="266"/>
      <c r="DI1105" s="266"/>
      <c r="DJ1105" s="266"/>
      <c r="DK1105" s="266"/>
      <c r="DL1105" s="266"/>
      <c r="DM1105" s="266"/>
      <c r="DN1105" s="266"/>
      <c r="DO1105" s="266"/>
      <c r="DP1105" s="266"/>
      <c r="DQ1105" s="266"/>
      <c r="DR1105" s="266"/>
      <c r="DS1105" s="266"/>
    </row>
    <row r="1106" spans="11:123">
      <c r="K1106" s="266"/>
      <c r="L1106" s="266"/>
      <c r="M1106" s="266"/>
      <c r="N1106" s="266"/>
      <c r="O1106" s="266"/>
      <c r="P1106" s="266"/>
      <c r="Q1106" s="266"/>
      <c r="BR1106" s="266"/>
      <c r="BS1106" s="266"/>
      <c r="BT1106" s="266"/>
      <c r="BU1106" s="266"/>
      <c r="BV1106" s="266"/>
      <c r="CJ1106" s="266"/>
      <c r="CO1106" s="266"/>
      <c r="CP1106" s="266"/>
      <c r="CQ1106" s="266"/>
      <c r="CR1106" s="266"/>
      <c r="CS1106" s="266"/>
      <c r="CT1106" s="266"/>
      <c r="CU1106" s="266"/>
      <c r="CV1106" s="266"/>
      <c r="CW1106" s="266"/>
      <c r="CX1106" s="266"/>
      <c r="CY1106" s="266"/>
      <c r="CZ1106" s="266"/>
      <c r="DA1106" s="266"/>
      <c r="DB1106" s="266"/>
      <c r="DC1106" s="266"/>
      <c r="DD1106" s="266"/>
      <c r="DE1106" s="266"/>
      <c r="DF1106" s="266"/>
      <c r="DG1106" s="266"/>
      <c r="DH1106" s="266"/>
      <c r="DI1106" s="266"/>
      <c r="DJ1106" s="266"/>
      <c r="DK1106" s="266"/>
      <c r="DL1106" s="266"/>
      <c r="DM1106" s="266"/>
      <c r="DN1106" s="266"/>
      <c r="DO1106" s="266"/>
      <c r="DP1106" s="266"/>
      <c r="DQ1106" s="266"/>
      <c r="DR1106" s="266"/>
      <c r="DS1106" s="266"/>
    </row>
    <row r="1107" spans="11:123">
      <c r="K1107" s="266"/>
      <c r="L1107" s="266"/>
      <c r="M1107" s="266"/>
      <c r="N1107" s="266"/>
      <c r="O1107" s="266"/>
      <c r="P1107" s="266"/>
      <c r="Q1107" s="266"/>
      <c r="BR1107" s="266"/>
      <c r="BS1107" s="266"/>
      <c r="BT1107" s="266"/>
      <c r="BU1107" s="266"/>
      <c r="BV1107" s="266"/>
      <c r="CJ1107" s="266"/>
      <c r="CO1107" s="266"/>
      <c r="CP1107" s="266"/>
      <c r="CQ1107" s="266"/>
      <c r="CR1107" s="266"/>
      <c r="CS1107" s="266"/>
      <c r="CT1107" s="266"/>
      <c r="CU1107" s="266"/>
      <c r="CV1107" s="266"/>
      <c r="CW1107" s="266"/>
      <c r="CX1107" s="266"/>
      <c r="CY1107" s="266"/>
      <c r="CZ1107" s="266"/>
      <c r="DA1107" s="266"/>
      <c r="DB1107" s="266"/>
      <c r="DC1107" s="266"/>
      <c r="DD1107" s="266"/>
      <c r="DE1107" s="266"/>
      <c r="DF1107" s="266"/>
      <c r="DG1107" s="266"/>
      <c r="DH1107" s="266"/>
      <c r="DI1107" s="266"/>
      <c r="DJ1107" s="266"/>
      <c r="DK1107" s="266"/>
      <c r="DL1107" s="266"/>
      <c r="DM1107" s="266"/>
      <c r="DN1107" s="266"/>
      <c r="DO1107" s="266"/>
      <c r="DP1107" s="266"/>
      <c r="DQ1107" s="266"/>
      <c r="DR1107" s="266"/>
      <c r="DS1107" s="266"/>
    </row>
    <row r="1108" spans="11:123">
      <c r="K1108" s="266"/>
      <c r="L1108" s="266"/>
      <c r="M1108" s="266"/>
      <c r="N1108" s="266"/>
      <c r="O1108" s="266"/>
      <c r="P1108" s="266"/>
      <c r="Q1108" s="266"/>
      <c r="BR1108" s="266"/>
      <c r="BS1108" s="266"/>
      <c r="BT1108" s="266"/>
      <c r="BU1108" s="266"/>
      <c r="BV1108" s="266"/>
      <c r="CJ1108" s="266"/>
      <c r="CO1108" s="266"/>
      <c r="CP1108" s="266"/>
      <c r="CQ1108" s="266"/>
      <c r="CR1108" s="266"/>
      <c r="CS1108" s="266"/>
      <c r="CT1108" s="266"/>
      <c r="CU1108" s="266"/>
      <c r="CV1108" s="266"/>
      <c r="CW1108" s="266"/>
      <c r="CX1108" s="266"/>
      <c r="CY1108" s="266"/>
      <c r="CZ1108" s="266"/>
      <c r="DA1108" s="266"/>
      <c r="DB1108" s="266"/>
      <c r="DC1108" s="266"/>
      <c r="DD1108" s="266"/>
      <c r="DE1108" s="266"/>
      <c r="DF1108" s="266"/>
      <c r="DG1108" s="266"/>
      <c r="DH1108" s="266"/>
      <c r="DI1108" s="266"/>
      <c r="DJ1108" s="266"/>
      <c r="DK1108" s="266"/>
      <c r="DL1108" s="266"/>
      <c r="DM1108" s="266"/>
      <c r="DN1108" s="266"/>
      <c r="DO1108" s="266"/>
      <c r="DP1108" s="266"/>
      <c r="DQ1108" s="266"/>
      <c r="DR1108" s="266"/>
      <c r="DS1108" s="266"/>
    </row>
    <row r="1109" spans="11:123">
      <c r="K1109" s="266"/>
      <c r="L1109" s="266"/>
      <c r="M1109" s="266"/>
      <c r="N1109" s="266"/>
      <c r="O1109" s="266"/>
      <c r="P1109" s="266"/>
      <c r="Q1109" s="266"/>
      <c r="BR1109" s="266"/>
      <c r="BS1109" s="266"/>
      <c r="BT1109" s="266"/>
      <c r="BU1109" s="266"/>
      <c r="BV1109" s="266"/>
      <c r="CJ1109" s="266"/>
      <c r="CO1109" s="266"/>
      <c r="CP1109" s="266"/>
      <c r="CQ1109" s="266"/>
      <c r="CR1109" s="266"/>
      <c r="CS1109" s="266"/>
      <c r="CT1109" s="266"/>
      <c r="CU1109" s="266"/>
      <c r="CV1109" s="266"/>
      <c r="CW1109" s="266"/>
      <c r="CX1109" s="266"/>
      <c r="CY1109" s="266"/>
      <c r="CZ1109" s="266"/>
      <c r="DA1109" s="266"/>
      <c r="DB1109" s="266"/>
      <c r="DC1109" s="266"/>
      <c r="DD1109" s="266"/>
      <c r="DE1109" s="266"/>
      <c r="DF1109" s="266"/>
      <c r="DG1109" s="266"/>
      <c r="DH1109" s="266"/>
      <c r="DI1109" s="266"/>
      <c r="DJ1109" s="266"/>
      <c r="DK1109" s="266"/>
      <c r="DL1109" s="266"/>
      <c r="DM1109" s="266"/>
      <c r="DN1109" s="266"/>
      <c r="DO1109" s="266"/>
      <c r="DP1109" s="266"/>
      <c r="DQ1109" s="266"/>
      <c r="DR1109" s="266"/>
      <c r="DS1109" s="266"/>
    </row>
    <row r="1110" spans="11:123">
      <c r="K1110" s="266"/>
      <c r="L1110" s="266"/>
      <c r="M1110" s="266"/>
      <c r="N1110" s="266"/>
      <c r="O1110" s="266"/>
      <c r="P1110" s="266"/>
      <c r="Q1110" s="266"/>
      <c r="BR1110" s="266"/>
      <c r="BS1110" s="266"/>
      <c r="BT1110" s="266"/>
      <c r="BU1110" s="266"/>
      <c r="BV1110" s="266"/>
      <c r="CJ1110" s="266"/>
      <c r="CO1110" s="266"/>
      <c r="CP1110" s="266"/>
      <c r="CQ1110" s="266"/>
      <c r="CR1110" s="266"/>
      <c r="CS1110" s="266"/>
      <c r="CT1110" s="266"/>
      <c r="CU1110" s="266"/>
      <c r="CV1110" s="266"/>
      <c r="CW1110" s="266"/>
      <c r="CX1110" s="266"/>
      <c r="CY1110" s="266"/>
      <c r="CZ1110" s="266"/>
      <c r="DA1110" s="266"/>
      <c r="DB1110" s="266"/>
      <c r="DC1110" s="266"/>
      <c r="DD1110" s="266"/>
      <c r="DE1110" s="266"/>
      <c r="DF1110" s="266"/>
      <c r="DG1110" s="266"/>
      <c r="DH1110" s="266"/>
      <c r="DI1110" s="266"/>
      <c r="DJ1110" s="266"/>
      <c r="DK1110" s="266"/>
      <c r="DL1110" s="266"/>
      <c r="DM1110" s="266"/>
      <c r="DN1110" s="266"/>
      <c r="DO1110" s="266"/>
      <c r="DP1110" s="266"/>
      <c r="DQ1110" s="266"/>
      <c r="DR1110" s="266"/>
      <c r="DS1110" s="266"/>
    </row>
    <row r="1111" spans="11:123">
      <c r="K1111" s="266"/>
      <c r="L1111" s="266"/>
      <c r="M1111" s="266"/>
      <c r="N1111" s="266"/>
      <c r="O1111" s="266"/>
      <c r="P1111" s="266"/>
      <c r="Q1111" s="266"/>
      <c r="BR1111" s="266"/>
      <c r="BS1111" s="266"/>
      <c r="BT1111" s="266"/>
      <c r="BU1111" s="266"/>
      <c r="BV1111" s="266"/>
      <c r="CJ1111" s="266"/>
      <c r="CO1111" s="266"/>
      <c r="CP1111" s="266"/>
      <c r="CQ1111" s="266"/>
      <c r="CR1111" s="266"/>
      <c r="CS1111" s="266"/>
      <c r="CT1111" s="266"/>
      <c r="CU1111" s="266"/>
      <c r="CV1111" s="266"/>
      <c r="CW1111" s="266"/>
      <c r="CX1111" s="266"/>
      <c r="CY1111" s="266"/>
      <c r="CZ1111" s="266"/>
      <c r="DA1111" s="266"/>
      <c r="DB1111" s="266"/>
      <c r="DC1111" s="266"/>
      <c r="DD1111" s="266"/>
      <c r="DE1111" s="266"/>
      <c r="DF1111" s="266"/>
      <c r="DG1111" s="266"/>
      <c r="DH1111" s="266"/>
      <c r="DI1111" s="266"/>
      <c r="DJ1111" s="266"/>
      <c r="DK1111" s="266"/>
      <c r="DL1111" s="266"/>
      <c r="DM1111" s="266"/>
      <c r="DN1111" s="266"/>
      <c r="DO1111" s="266"/>
      <c r="DP1111" s="266"/>
      <c r="DQ1111" s="266"/>
      <c r="DR1111" s="266"/>
      <c r="DS1111" s="266"/>
    </row>
    <row r="1112" spans="11:123">
      <c r="K1112" s="266"/>
      <c r="L1112" s="266"/>
      <c r="M1112" s="266"/>
      <c r="N1112" s="266"/>
      <c r="O1112" s="266"/>
      <c r="P1112" s="266"/>
      <c r="Q1112" s="266"/>
      <c r="BR1112" s="266"/>
      <c r="BS1112" s="266"/>
      <c r="BT1112" s="266"/>
      <c r="BU1112" s="266"/>
      <c r="BV1112" s="266"/>
      <c r="CJ1112" s="266"/>
      <c r="CO1112" s="266"/>
      <c r="CP1112" s="266"/>
      <c r="CQ1112" s="266"/>
      <c r="CR1112" s="266"/>
      <c r="CS1112" s="266"/>
      <c r="CT1112" s="266"/>
      <c r="CU1112" s="266"/>
      <c r="CV1112" s="266"/>
      <c r="CW1112" s="266"/>
      <c r="CX1112" s="266"/>
      <c r="CY1112" s="266"/>
      <c r="CZ1112" s="266"/>
      <c r="DA1112" s="266"/>
      <c r="DB1112" s="266"/>
      <c r="DC1112" s="266"/>
      <c r="DD1112" s="266"/>
      <c r="DE1112" s="266"/>
      <c r="DF1112" s="266"/>
      <c r="DG1112" s="266"/>
      <c r="DH1112" s="266"/>
      <c r="DI1112" s="266"/>
      <c r="DJ1112" s="266"/>
      <c r="DK1112" s="266"/>
      <c r="DL1112" s="266"/>
      <c r="DM1112" s="266"/>
      <c r="DN1112" s="266"/>
      <c r="DO1112" s="266"/>
      <c r="DP1112" s="266"/>
      <c r="DQ1112" s="266"/>
      <c r="DR1112" s="266"/>
      <c r="DS1112" s="266"/>
    </row>
    <row r="1113" spans="11:123">
      <c r="K1113" s="266"/>
      <c r="L1113" s="266"/>
      <c r="M1113" s="266"/>
      <c r="N1113" s="266"/>
      <c r="O1113" s="266"/>
      <c r="P1113" s="266"/>
      <c r="Q1113" s="266"/>
      <c r="BR1113" s="266"/>
      <c r="BS1113" s="266"/>
      <c r="BT1113" s="266"/>
      <c r="BU1113" s="266"/>
      <c r="BV1113" s="266"/>
      <c r="CJ1113" s="266"/>
      <c r="CO1113" s="266"/>
      <c r="CP1113" s="266"/>
      <c r="CQ1113" s="266"/>
      <c r="CR1113" s="266"/>
      <c r="CS1113" s="266"/>
      <c r="CT1113" s="266"/>
      <c r="CU1113" s="266"/>
      <c r="CV1113" s="266"/>
      <c r="CW1113" s="266"/>
      <c r="CX1113" s="266"/>
      <c r="CY1113" s="266"/>
      <c r="CZ1113" s="266"/>
      <c r="DA1113" s="266"/>
      <c r="DB1113" s="266"/>
      <c r="DC1113" s="266"/>
      <c r="DD1113" s="266"/>
      <c r="DE1113" s="266"/>
      <c r="DF1113" s="266"/>
      <c r="DG1113" s="266"/>
      <c r="DH1113" s="266"/>
      <c r="DI1113" s="266"/>
      <c r="DJ1113" s="266"/>
      <c r="DK1113" s="266"/>
      <c r="DL1113" s="266"/>
      <c r="DM1113" s="266"/>
      <c r="DN1113" s="266"/>
      <c r="DO1113" s="266"/>
      <c r="DP1113" s="266"/>
      <c r="DQ1113" s="266"/>
      <c r="DR1113" s="266"/>
      <c r="DS1113" s="266"/>
    </row>
    <row r="1114" spans="11:123">
      <c r="K1114" s="266"/>
      <c r="L1114" s="266"/>
      <c r="M1114" s="266"/>
      <c r="N1114" s="266"/>
      <c r="O1114" s="266"/>
      <c r="P1114" s="266"/>
      <c r="Q1114" s="266"/>
      <c r="BR1114" s="266"/>
      <c r="BS1114" s="266"/>
      <c r="BT1114" s="266"/>
      <c r="BU1114" s="266"/>
      <c r="BV1114" s="266"/>
      <c r="CJ1114" s="266"/>
      <c r="CO1114" s="266"/>
      <c r="CP1114" s="266"/>
      <c r="CQ1114" s="266"/>
      <c r="CR1114" s="266"/>
      <c r="CS1114" s="266"/>
      <c r="CT1114" s="266"/>
      <c r="CU1114" s="266"/>
      <c r="CV1114" s="266"/>
      <c r="CW1114" s="266"/>
      <c r="CX1114" s="266"/>
      <c r="CY1114" s="266"/>
      <c r="CZ1114" s="266"/>
      <c r="DA1114" s="266"/>
      <c r="DB1114" s="266"/>
      <c r="DC1114" s="266"/>
      <c r="DD1114" s="266"/>
      <c r="DE1114" s="266"/>
      <c r="DF1114" s="266"/>
      <c r="DG1114" s="266"/>
      <c r="DH1114" s="266"/>
      <c r="DI1114" s="266"/>
      <c r="DJ1114" s="266"/>
      <c r="DK1114" s="266"/>
      <c r="DL1114" s="266"/>
      <c r="DM1114" s="266"/>
      <c r="DN1114" s="266"/>
      <c r="DO1114" s="266"/>
      <c r="DP1114" s="266"/>
      <c r="DQ1114" s="266"/>
      <c r="DR1114" s="266"/>
      <c r="DS1114" s="266"/>
    </row>
    <row r="1115" spans="11:123">
      <c r="K1115" s="266"/>
      <c r="L1115" s="266"/>
      <c r="M1115" s="266"/>
      <c r="N1115" s="266"/>
      <c r="O1115" s="266"/>
      <c r="P1115" s="266"/>
      <c r="Q1115" s="266"/>
      <c r="BR1115" s="266"/>
      <c r="BS1115" s="266"/>
      <c r="BT1115" s="266"/>
      <c r="BU1115" s="266"/>
      <c r="BV1115" s="266"/>
      <c r="CJ1115" s="266"/>
      <c r="CO1115" s="266"/>
      <c r="CP1115" s="266"/>
      <c r="CQ1115" s="266"/>
      <c r="CR1115" s="266"/>
      <c r="CS1115" s="266"/>
      <c r="CT1115" s="266"/>
      <c r="CU1115" s="266"/>
      <c r="CV1115" s="266"/>
      <c r="CW1115" s="266"/>
      <c r="CX1115" s="266"/>
      <c r="CY1115" s="266"/>
      <c r="CZ1115" s="266"/>
      <c r="DA1115" s="266"/>
      <c r="DB1115" s="266"/>
      <c r="DC1115" s="266"/>
      <c r="DD1115" s="266"/>
      <c r="DE1115" s="266"/>
      <c r="DF1115" s="266"/>
      <c r="DG1115" s="266"/>
      <c r="DH1115" s="266"/>
      <c r="DI1115" s="266"/>
      <c r="DJ1115" s="266"/>
      <c r="DK1115" s="266"/>
      <c r="DL1115" s="266"/>
      <c r="DM1115" s="266"/>
      <c r="DN1115" s="266"/>
      <c r="DO1115" s="266"/>
      <c r="DP1115" s="266"/>
      <c r="DQ1115" s="266"/>
      <c r="DR1115" s="266"/>
      <c r="DS1115" s="266"/>
    </row>
    <row r="1116" spans="11:123">
      <c r="K1116" s="266"/>
      <c r="L1116" s="266"/>
      <c r="M1116" s="266"/>
      <c r="N1116" s="266"/>
      <c r="O1116" s="266"/>
      <c r="P1116" s="266"/>
      <c r="Q1116" s="266"/>
      <c r="BR1116" s="266"/>
      <c r="BS1116" s="266"/>
      <c r="BT1116" s="266"/>
      <c r="BU1116" s="266"/>
      <c r="BV1116" s="266"/>
      <c r="CJ1116" s="266"/>
      <c r="CO1116" s="266"/>
      <c r="CP1116" s="266"/>
      <c r="CQ1116" s="266"/>
      <c r="CR1116" s="266"/>
      <c r="CS1116" s="266"/>
      <c r="CT1116" s="266"/>
      <c r="CU1116" s="266"/>
      <c r="CV1116" s="266"/>
      <c r="CW1116" s="266"/>
      <c r="CX1116" s="266"/>
      <c r="CY1116" s="266"/>
      <c r="CZ1116" s="266"/>
      <c r="DA1116" s="266"/>
      <c r="DB1116" s="266"/>
      <c r="DC1116" s="266"/>
      <c r="DD1116" s="266"/>
      <c r="DE1116" s="266"/>
      <c r="DF1116" s="266"/>
      <c r="DG1116" s="266"/>
      <c r="DH1116" s="266"/>
      <c r="DI1116" s="266"/>
      <c r="DJ1116" s="266"/>
      <c r="DK1116" s="266"/>
      <c r="DL1116" s="266"/>
      <c r="DM1116" s="266"/>
      <c r="DN1116" s="266"/>
      <c r="DO1116" s="266"/>
      <c r="DP1116" s="266"/>
      <c r="DQ1116" s="266"/>
      <c r="DR1116" s="266"/>
      <c r="DS1116" s="266"/>
    </row>
    <row r="1117" spans="11:123">
      <c r="K1117" s="266"/>
      <c r="L1117" s="266"/>
      <c r="M1117" s="266"/>
      <c r="N1117" s="266"/>
      <c r="O1117" s="266"/>
      <c r="P1117" s="266"/>
      <c r="Q1117" s="266"/>
      <c r="BR1117" s="266"/>
      <c r="BS1117" s="266"/>
      <c r="BT1117" s="266"/>
      <c r="BU1117" s="266"/>
      <c r="BV1117" s="266"/>
      <c r="CJ1117" s="266"/>
      <c r="CO1117" s="266"/>
      <c r="CP1117" s="266"/>
      <c r="CQ1117" s="266"/>
      <c r="CR1117" s="266"/>
      <c r="CS1117" s="266"/>
      <c r="CT1117" s="266"/>
      <c r="CU1117" s="266"/>
      <c r="CV1117" s="266"/>
      <c r="CW1117" s="266"/>
      <c r="CX1117" s="266"/>
      <c r="CY1117" s="266"/>
      <c r="CZ1117" s="266"/>
      <c r="DA1117" s="266"/>
      <c r="DB1117" s="266"/>
      <c r="DC1117" s="266"/>
      <c r="DD1117" s="266"/>
      <c r="DE1117" s="266"/>
      <c r="DF1117" s="266"/>
      <c r="DG1117" s="266"/>
      <c r="DH1117" s="266"/>
      <c r="DI1117" s="266"/>
      <c r="DJ1117" s="266"/>
      <c r="DK1117" s="266"/>
      <c r="DL1117" s="266"/>
      <c r="DM1117" s="266"/>
      <c r="DN1117" s="266"/>
      <c r="DO1117" s="266"/>
      <c r="DP1117" s="266"/>
      <c r="DQ1117" s="266"/>
      <c r="DR1117" s="266"/>
      <c r="DS1117" s="266"/>
    </row>
    <row r="1118" spans="11:123">
      <c r="K1118" s="266"/>
      <c r="L1118" s="266"/>
      <c r="M1118" s="266"/>
      <c r="N1118" s="266"/>
      <c r="O1118" s="266"/>
      <c r="P1118" s="266"/>
      <c r="Q1118" s="266"/>
      <c r="BR1118" s="266"/>
      <c r="BS1118" s="266"/>
      <c r="BT1118" s="266"/>
      <c r="BU1118" s="266"/>
      <c r="BV1118" s="266"/>
      <c r="CJ1118" s="266"/>
      <c r="CO1118" s="266"/>
      <c r="CP1118" s="266"/>
      <c r="CQ1118" s="266"/>
      <c r="CR1118" s="266"/>
      <c r="CS1118" s="266"/>
      <c r="CT1118" s="266"/>
      <c r="CU1118" s="266"/>
      <c r="CV1118" s="266"/>
      <c r="CW1118" s="266"/>
      <c r="CX1118" s="266"/>
      <c r="CY1118" s="266"/>
      <c r="CZ1118" s="266"/>
      <c r="DA1118" s="266"/>
      <c r="DB1118" s="266"/>
      <c r="DC1118" s="266"/>
      <c r="DD1118" s="266"/>
      <c r="DE1118" s="266"/>
      <c r="DF1118" s="266"/>
      <c r="DG1118" s="266"/>
      <c r="DH1118" s="266"/>
      <c r="DI1118" s="266"/>
      <c r="DJ1118" s="266"/>
      <c r="DK1118" s="266"/>
      <c r="DL1118" s="266"/>
      <c r="DM1118" s="266"/>
      <c r="DN1118" s="266"/>
      <c r="DO1118" s="266"/>
      <c r="DP1118" s="266"/>
      <c r="DQ1118" s="266"/>
      <c r="DR1118" s="266"/>
      <c r="DS1118" s="266"/>
    </row>
    <row r="1119" spans="11:123">
      <c r="K1119" s="266"/>
      <c r="L1119" s="266"/>
      <c r="M1119" s="266"/>
      <c r="N1119" s="266"/>
      <c r="O1119" s="266"/>
      <c r="P1119" s="266"/>
      <c r="Q1119" s="266"/>
      <c r="BR1119" s="266"/>
      <c r="BS1119" s="266"/>
      <c r="BT1119" s="266"/>
      <c r="BU1119" s="266"/>
      <c r="BV1119" s="266"/>
      <c r="CJ1119" s="266"/>
      <c r="CO1119" s="266"/>
      <c r="CP1119" s="266"/>
      <c r="CQ1119" s="266"/>
      <c r="CR1119" s="266"/>
      <c r="CS1119" s="266"/>
      <c r="CT1119" s="266"/>
      <c r="CU1119" s="266"/>
      <c r="CV1119" s="266"/>
      <c r="CW1119" s="266"/>
      <c r="CX1119" s="266"/>
      <c r="CY1119" s="266"/>
      <c r="CZ1119" s="266"/>
      <c r="DA1119" s="266"/>
      <c r="DB1119" s="266"/>
      <c r="DC1119" s="266"/>
      <c r="DD1119" s="266"/>
      <c r="DE1119" s="266"/>
      <c r="DF1119" s="266"/>
      <c r="DG1119" s="266"/>
      <c r="DH1119" s="266"/>
      <c r="DI1119" s="266"/>
      <c r="DJ1119" s="266"/>
      <c r="DK1119" s="266"/>
      <c r="DL1119" s="266"/>
      <c r="DM1119" s="266"/>
      <c r="DN1119" s="266"/>
      <c r="DO1119" s="266"/>
      <c r="DP1119" s="266"/>
      <c r="DQ1119" s="266"/>
      <c r="DR1119" s="266"/>
      <c r="DS1119" s="266"/>
    </row>
    <row r="1120" spans="11:123">
      <c r="K1120" s="266"/>
      <c r="L1120" s="266"/>
      <c r="M1120" s="266"/>
      <c r="N1120" s="266"/>
      <c r="O1120" s="266"/>
      <c r="P1120" s="266"/>
      <c r="Q1120" s="266"/>
      <c r="BR1120" s="266"/>
      <c r="BS1120" s="266"/>
      <c r="BT1120" s="266"/>
      <c r="BU1120" s="266"/>
      <c r="BV1120" s="266"/>
      <c r="CJ1120" s="266"/>
      <c r="CO1120" s="266"/>
      <c r="CP1120" s="266"/>
      <c r="CQ1120" s="266"/>
      <c r="CR1120" s="266"/>
      <c r="CS1120" s="266"/>
      <c r="CT1120" s="266"/>
      <c r="CU1120" s="266"/>
      <c r="CV1120" s="266"/>
      <c r="CW1120" s="266"/>
      <c r="CX1120" s="266"/>
      <c r="CY1120" s="266"/>
      <c r="CZ1120" s="266"/>
      <c r="DA1120" s="266"/>
      <c r="DB1120" s="266"/>
      <c r="DC1120" s="266"/>
      <c r="DD1120" s="266"/>
      <c r="DE1120" s="266"/>
      <c r="DF1120" s="266"/>
      <c r="DG1120" s="266"/>
      <c r="DH1120" s="266"/>
      <c r="DI1120" s="266"/>
      <c r="DJ1120" s="266"/>
      <c r="DK1120" s="266"/>
      <c r="DL1120" s="266"/>
      <c r="DM1120" s="266"/>
      <c r="DN1120" s="266"/>
      <c r="DO1120" s="266"/>
      <c r="DP1120" s="266"/>
      <c r="DQ1120" s="266"/>
      <c r="DR1120" s="266"/>
      <c r="DS1120" s="266"/>
    </row>
    <row r="1121" spans="11:123">
      <c r="K1121" s="266"/>
      <c r="L1121" s="266"/>
      <c r="M1121" s="266"/>
      <c r="N1121" s="266"/>
      <c r="O1121" s="266"/>
      <c r="P1121" s="266"/>
      <c r="Q1121" s="266"/>
      <c r="BR1121" s="266"/>
      <c r="BS1121" s="266"/>
      <c r="BT1121" s="266"/>
      <c r="BU1121" s="266"/>
      <c r="BV1121" s="266"/>
      <c r="CJ1121" s="266"/>
      <c r="CO1121" s="266"/>
      <c r="CP1121" s="266"/>
      <c r="CQ1121" s="266"/>
      <c r="CR1121" s="266"/>
      <c r="CS1121" s="266"/>
      <c r="CT1121" s="266"/>
      <c r="CU1121" s="266"/>
      <c r="CV1121" s="266"/>
      <c r="CW1121" s="266"/>
      <c r="CX1121" s="266"/>
      <c r="CY1121" s="266"/>
      <c r="CZ1121" s="266"/>
      <c r="DA1121" s="266"/>
      <c r="DB1121" s="266"/>
      <c r="DC1121" s="266"/>
      <c r="DD1121" s="266"/>
      <c r="DE1121" s="266"/>
      <c r="DF1121" s="266"/>
      <c r="DG1121" s="266"/>
      <c r="DH1121" s="266"/>
      <c r="DI1121" s="266"/>
      <c r="DJ1121" s="266"/>
      <c r="DK1121" s="266"/>
      <c r="DL1121" s="266"/>
      <c r="DM1121" s="266"/>
      <c r="DN1121" s="266"/>
      <c r="DO1121" s="266"/>
      <c r="DP1121" s="266"/>
      <c r="DQ1121" s="266"/>
      <c r="DR1121" s="266"/>
      <c r="DS1121" s="266"/>
    </row>
    <row r="1122" spans="11:123">
      <c r="K1122" s="266"/>
      <c r="L1122" s="266"/>
      <c r="M1122" s="266"/>
      <c r="N1122" s="266"/>
      <c r="O1122" s="266"/>
      <c r="P1122" s="266"/>
      <c r="Q1122" s="266"/>
      <c r="BR1122" s="266"/>
      <c r="BS1122" s="266"/>
      <c r="BT1122" s="266"/>
      <c r="BU1122" s="266"/>
      <c r="BV1122" s="266"/>
      <c r="CJ1122" s="266"/>
      <c r="CO1122" s="266"/>
      <c r="CP1122" s="266"/>
      <c r="CQ1122" s="266"/>
      <c r="CR1122" s="266"/>
      <c r="CS1122" s="266"/>
      <c r="CT1122" s="266"/>
      <c r="CU1122" s="266"/>
      <c r="CV1122" s="266"/>
      <c r="CW1122" s="266"/>
      <c r="CX1122" s="266"/>
      <c r="CY1122" s="266"/>
      <c r="CZ1122" s="266"/>
      <c r="DA1122" s="266"/>
      <c r="DB1122" s="266"/>
      <c r="DC1122" s="266"/>
      <c r="DD1122" s="266"/>
      <c r="DE1122" s="266"/>
      <c r="DF1122" s="266"/>
      <c r="DG1122" s="266"/>
      <c r="DH1122" s="266"/>
      <c r="DI1122" s="266"/>
      <c r="DJ1122" s="266"/>
      <c r="DK1122" s="266"/>
      <c r="DL1122" s="266"/>
      <c r="DM1122" s="266"/>
      <c r="DN1122" s="266"/>
      <c r="DO1122" s="266"/>
      <c r="DP1122" s="266"/>
      <c r="DQ1122" s="266"/>
      <c r="DR1122" s="266"/>
      <c r="DS1122" s="266"/>
    </row>
    <row r="1123" spans="11:123">
      <c r="K1123" s="266"/>
      <c r="L1123" s="266"/>
      <c r="M1123" s="266"/>
      <c r="N1123" s="266"/>
      <c r="O1123" s="266"/>
      <c r="P1123" s="266"/>
      <c r="Q1123" s="266"/>
      <c r="BR1123" s="266"/>
      <c r="BS1123" s="266"/>
      <c r="BT1123" s="266"/>
      <c r="BU1123" s="266"/>
      <c r="BV1123" s="266"/>
      <c r="CJ1123" s="266"/>
      <c r="CO1123" s="266"/>
      <c r="CP1123" s="266"/>
      <c r="CQ1123" s="266"/>
      <c r="CR1123" s="266"/>
      <c r="CS1123" s="266"/>
      <c r="CT1123" s="266"/>
      <c r="CU1123" s="266"/>
      <c r="CV1123" s="266"/>
      <c r="CW1123" s="266"/>
      <c r="CX1123" s="266"/>
      <c r="CY1123" s="266"/>
      <c r="CZ1123" s="266"/>
      <c r="DA1123" s="266"/>
      <c r="DB1123" s="266"/>
      <c r="DC1123" s="266"/>
      <c r="DD1123" s="266"/>
      <c r="DE1123" s="266"/>
      <c r="DF1123" s="266"/>
      <c r="DG1123" s="266"/>
      <c r="DH1123" s="266"/>
      <c r="DI1123" s="266"/>
      <c r="DJ1123" s="266"/>
      <c r="DK1123" s="266"/>
      <c r="DL1123" s="266"/>
      <c r="DM1123" s="266"/>
      <c r="DN1123" s="266"/>
      <c r="DO1123" s="266"/>
      <c r="DP1123" s="266"/>
      <c r="DQ1123" s="266"/>
      <c r="DR1123" s="266"/>
      <c r="DS1123" s="266"/>
    </row>
    <row r="1124" spans="11:123">
      <c r="K1124" s="266"/>
      <c r="L1124" s="266"/>
      <c r="M1124" s="266"/>
      <c r="N1124" s="266"/>
      <c r="O1124" s="266"/>
      <c r="P1124" s="266"/>
      <c r="Q1124" s="266"/>
      <c r="BR1124" s="266"/>
      <c r="BS1124" s="266"/>
      <c r="BT1124" s="266"/>
      <c r="BU1124" s="266"/>
      <c r="BV1124" s="266"/>
      <c r="CJ1124" s="266"/>
      <c r="CO1124" s="266"/>
      <c r="CP1124" s="266"/>
      <c r="CQ1124" s="266"/>
      <c r="CR1124" s="266"/>
      <c r="CS1124" s="266"/>
      <c r="CT1124" s="266"/>
      <c r="CU1124" s="266"/>
      <c r="CV1124" s="266"/>
      <c r="CW1124" s="266"/>
      <c r="CX1124" s="266"/>
      <c r="CY1124" s="266"/>
      <c r="CZ1124" s="266"/>
      <c r="DA1124" s="266"/>
      <c r="DB1124" s="266"/>
      <c r="DC1124" s="266"/>
      <c r="DD1124" s="266"/>
      <c r="DE1124" s="266"/>
      <c r="DF1124" s="266"/>
      <c r="DG1124" s="266"/>
      <c r="DH1124" s="266"/>
      <c r="DI1124" s="266"/>
      <c r="DJ1124" s="266"/>
      <c r="DK1124" s="266"/>
      <c r="DL1124" s="266"/>
      <c r="DM1124" s="266"/>
      <c r="DN1124" s="266"/>
      <c r="DO1124" s="266"/>
      <c r="DP1124" s="266"/>
      <c r="DQ1124" s="266"/>
      <c r="DR1124" s="266"/>
      <c r="DS1124" s="266"/>
    </row>
    <row r="1125" spans="11:123">
      <c r="K1125" s="266"/>
      <c r="L1125" s="266"/>
      <c r="M1125" s="266"/>
      <c r="N1125" s="266"/>
      <c r="O1125" s="266"/>
      <c r="P1125" s="266"/>
      <c r="Q1125" s="266"/>
      <c r="BR1125" s="266"/>
      <c r="BS1125" s="266"/>
      <c r="BT1125" s="266"/>
      <c r="BU1125" s="266"/>
      <c r="BV1125" s="266"/>
      <c r="CJ1125" s="266"/>
      <c r="CO1125" s="266"/>
      <c r="CP1125" s="266"/>
      <c r="CQ1125" s="266"/>
      <c r="CR1125" s="266"/>
      <c r="CS1125" s="266"/>
      <c r="CT1125" s="266"/>
      <c r="CU1125" s="266"/>
      <c r="CV1125" s="266"/>
      <c r="CW1125" s="266"/>
      <c r="CX1125" s="266"/>
      <c r="CY1125" s="266"/>
      <c r="CZ1125" s="266"/>
      <c r="DA1125" s="266"/>
      <c r="DB1125" s="266"/>
      <c r="DC1125" s="266"/>
      <c r="DD1125" s="266"/>
      <c r="DE1125" s="266"/>
      <c r="DF1125" s="266"/>
      <c r="DG1125" s="266"/>
      <c r="DH1125" s="266"/>
      <c r="DI1125" s="266"/>
      <c r="DJ1125" s="266"/>
      <c r="DK1125" s="266"/>
      <c r="DL1125" s="266"/>
      <c r="DM1125" s="266"/>
      <c r="DN1125" s="266"/>
      <c r="DO1125" s="266"/>
      <c r="DP1125" s="266"/>
      <c r="DQ1125" s="266"/>
      <c r="DR1125" s="266"/>
      <c r="DS1125" s="266"/>
    </row>
    <row r="1126" spans="11:123">
      <c r="K1126" s="266"/>
      <c r="L1126" s="266"/>
      <c r="M1126" s="266"/>
      <c r="N1126" s="266"/>
      <c r="O1126" s="266"/>
      <c r="P1126" s="266"/>
      <c r="Q1126" s="266"/>
      <c r="BR1126" s="266"/>
      <c r="BS1126" s="266"/>
      <c r="BT1126" s="266"/>
      <c r="BU1126" s="266"/>
      <c r="BV1126" s="266"/>
      <c r="CJ1126" s="266"/>
      <c r="CO1126" s="266"/>
      <c r="CP1126" s="266"/>
      <c r="CQ1126" s="266"/>
      <c r="CR1126" s="266"/>
      <c r="CS1126" s="266"/>
      <c r="CT1126" s="266"/>
      <c r="CU1126" s="266"/>
      <c r="CV1126" s="266"/>
      <c r="CW1126" s="266"/>
      <c r="CX1126" s="266"/>
      <c r="CY1126" s="266"/>
      <c r="CZ1126" s="266"/>
      <c r="DA1126" s="266"/>
      <c r="DB1126" s="266"/>
      <c r="DC1126" s="266"/>
      <c r="DD1126" s="266"/>
      <c r="DE1126" s="266"/>
      <c r="DF1126" s="266"/>
      <c r="DG1126" s="266"/>
      <c r="DH1126" s="266"/>
      <c r="DI1126" s="266"/>
      <c r="DJ1126" s="266"/>
      <c r="DK1126" s="266"/>
      <c r="DL1126" s="266"/>
      <c r="DM1126" s="266"/>
      <c r="DN1126" s="266"/>
      <c r="DO1126" s="266"/>
      <c r="DP1126" s="266"/>
      <c r="DQ1126" s="266"/>
      <c r="DR1126" s="266"/>
      <c r="DS1126" s="266"/>
    </row>
    <row r="1127" spans="11:123">
      <c r="K1127" s="266"/>
      <c r="L1127" s="266"/>
      <c r="M1127" s="266"/>
      <c r="N1127" s="266"/>
      <c r="O1127" s="266"/>
      <c r="P1127" s="266"/>
      <c r="Q1127" s="266"/>
      <c r="BR1127" s="266"/>
      <c r="BS1127" s="266"/>
      <c r="BT1127" s="266"/>
      <c r="BU1127" s="266"/>
      <c r="BV1127" s="266"/>
      <c r="CJ1127" s="266"/>
      <c r="CO1127" s="266"/>
      <c r="CP1127" s="266"/>
      <c r="CQ1127" s="266"/>
      <c r="CR1127" s="266"/>
      <c r="CS1127" s="266"/>
      <c r="CT1127" s="266"/>
      <c r="CU1127" s="266"/>
      <c r="CV1127" s="266"/>
      <c r="CW1127" s="266"/>
      <c r="CX1127" s="266"/>
      <c r="CY1127" s="266"/>
      <c r="CZ1127" s="266"/>
      <c r="DA1127" s="266"/>
      <c r="DB1127" s="266"/>
      <c r="DC1127" s="266"/>
      <c r="DD1127" s="266"/>
      <c r="DE1127" s="266"/>
      <c r="DF1127" s="266"/>
      <c r="DG1127" s="266"/>
      <c r="DH1127" s="266"/>
      <c r="DI1127" s="266"/>
      <c r="DJ1127" s="266"/>
      <c r="DK1127" s="266"/>
      <c r="DL1127" s="266"/>
      <c r="DM1127" s="266"/>
      <c r="DN1127" s="266"/>
      <c r="DO1127" s="266"/>
      <c r="DP1127" s="266"/>
      <c r="DQ1127" s="266"/>
      <c r="DR1127" s="266"/>
      <c r="DS1127" s="266"/>
    </row>
    <row r="1128" spans="11:123">
      <c r="K1128" s="266"/>
      <c r="L1128" s="266"/>
      <c r="M1128" s="266"/>
      <c r="N1128" s="266"/>
      <c r="O1128" s="266"/>
      <c r="P1128" s="266"/>
      <c r="Q1128" s="266"/>
      <c r="BR1128" s="266"/>
      <c r="BS1128" s="266"/>
      <c r="BT1128" s="266"/>
      <c r="BU1128" s="266"/>
      <c r="BV1128" s="266"/>
      <c r="CJ1128" s="266"/>
      <c r="CO1128" s="266"/>
      <c r="CP1128" s="266"/>
      <c r="CQ1128" s="266"/>
      <c r="CR1128" s="266"/>
      <c r="CS1128" s="266"/>
      <c r="CT1128" s="266"/>
      <c r="CU1128" s="266"/>
      <c r="CV1128" s="266"/>
      <c r="CW1128" s="266"/>
      <c r="CX1128" s="266"/>
      <c r="CY1128" s="266"/>
      <c r="CZ1128" s="266"/>
      <c r="DA1128" s="266"/>
      <c r="DB1128" s="266"/>
      <c r="DC1128" s="266"/>
      <c r="DD1128" s="266"/>
      <c r="DE1128" s="266"/>
      <c r="DF1128" s="266"/>
      <c r="DG1128" s="266"/>
      <c r="DH1128" s="266"/>
      <c r="DI1128" s="266"/>
      <c r="DJ1128" s="266"/>
      <c r="DK1128" s="266"/>
      <c r="DL1128" s="266"/>
      <c r="DM1128" s="266"/>
      <c r="DN1128" s="266"/>
      <c r="DO1128" s="266"/>
      <c r="DP1128" s="266"/>
      <c r="DQ1128" s="266"/>
      <c r="DR1128" s="266"/>
      <c r="DS1128" s="266"/>
    </row>
    <row r="1129" spans="11:123">
      <c r="K1129" s="266"/>
      <c r="L1129" s="266"/>
      <c r="M1129" s="266"/>
      <c r="N1129" s="266"/>
      <c r="O1129" s="266"/>
      <c r="P1129" s="266"/>
      <c r="Q1129" s="266"/>
      <c r="BR1129" s="266"/>
      <c r="BS1129" s="266"/>
      <c r="BT1129" s="266"/>
      <c r="BU1129" s="266"/>
      <c r="BV1129" s="266"/>
      <c r="CJ1129" s="266"/>
      <c r="CO1129" s="266"/>
      <c r="CP1129" s="266"/>
      <c r="CQ1129" s="266"/>
      <c r="CR1129" s="266"/>
      <c r="CS1129" s="266"/>
      <c r="CT1129" s="266"/>
      <c r="CU1129" s="266"/>
      <c r="CV1129" s="266"/>
      <c r="CW1129" s="266"/>
      <c r="CX1129" s="266"/>
      <c r="CY1129" s="266"/>
      <c r="CZ1129" s="266"/>
      <c r="DA1129" s="266"/>
      <c r="DB1129" s="266"/>
      <c r="DC1129" s="266"/>
      <c r="DD1129" s="266"/>
      <c r="DE1129" s="266"/>
      <c r="DF1129" s="266"/>
      <c r="DG1129" s="266"/>
      <c r="DH1129" s="266"/>
      <c r="DI1129" s="266"/>
      <c r="DJ1129" s="266"/>
      <c r="DK1129" s="266"/>
      <c r="DL1129" s="266"/>
      <c r="DM1129" s="266"/>
      <c r="DN1129" s="266"/>
      <c r="DO1129" s="266"/>
      <c r="DP1129" s="266"/>
      <c r="DQ1129" s="266"/>
      <c r="DR1129" s="266"/>
      <c r="DS1129" s="266"/>
    </row>
    <row r="1130" spans="11:123">
      <c r="K1130" s="266"/>
      <c r="L1130" s="266"/>
      <c r="M1130" s="266"/>
      <c r="N1130" s="266"/>
      <c r="O1130" s="266"/>
      <c r="P1130" s="266"/>
      <c r="Q1130" s="266"/>
      <c r="BR1130" s="266"/>
      <c r="BS1130" s="266"/>
      <c r="BT1130" s="266"/>
      <c r="BU1130" s="266"/>
      <c r="BV1130" s="266"/>
      <c r="CJ1130" s="266"/>
      <c r="CO1130" s="266"/>
      <c r="CP1130" s="266"/>
      <c r="CQ1130" s="266"/>
      <c r="CR1130" s="266"/>
      <c r="CS1130" s="266"/>
      <c r="CT1130" s="266"/>
      <c r="CU1130" s="266"/>
      <c r="CV1130" s="266"/>
      <c r="CW1130" s="266"/>
      <c r="CX1130" s="266"/>
      <c r="CY1130" s="266"/>
      <c r="CZ1130" s="266"/>
      <c r="DA1130" s="266"/>
      <c r="DB1130" s="266"/>
      <c r="DC1130" s="266"/>
      <c r="DD1130" s="266"/>
      <c r="DE1130" s="266"/>
      <c r="DF1130" s="266"/>
      <c r="DG1130" s="266"/>
      <c r="DH1130" s="266"/>
      <c r="DI1130" s="266"/>
      <c r="DJ1130" s="266"/>
      <c r="DK1130" s="266"/>
      <c r="DL1130" s="266"/>
      <c r="DM1130" s="266"/>
      <c r="DN1130" s="266"/>
      <c r="DO1130" s="266"/>
      <c r="DP1130" s="266"/>
      <c r="DQ1130" s="266"/>
      <c r="DR1130" s="266"/>
      <c r="DS1130" s="266"/>
    </row>
    <row r="1131" spans="11:123">
      <c r="K1131" s="266"/>
      <c r="L1131" s="266"/>
      <c r="M1131" s="266"/>
      <c r="N1131" s="266"/>
      <c r="O1131" s="266"/>
      <c r="P1131" s="266"/>
      <c r="Q1131" s="266"/>
      <c r="BR1131" s="266"/>
      <c r="BS1131" s="266"/>
      <c r="BT1131" s="266"/>
      <c r="BU1131" s="266"/>
      <c r="BV1131" s="266"/>
      <c r="CJ1131" s="266"/>
      <c r="CO1131" s="266"/>
      <c r="CP1131" s="266"/>
      <c r="CQ1131" s="266"/>
      <c r="CR1131" s="266"/>
      <c r="CS1131" s="266"/>
      <c r="CT1131" s="266"/>
      <c r="CU1131" s="266"/>
      <c r="CV1131" s="266"/>
      <c r="CW1131" s="266"/>
      <c r="CX1131" s="266"/>
      <c r="CY1131" s="266"/>
      <c r="CZ1131" s="266"/>
      <c r="DA1131" s="266"/>
      <c r="DB1131" s="266"/>
      <c r="DC1131" s="266"/>
      <c r="DD1131" s="266"/>
      <c r="DE1131" s="266"/>
      <c r="DF1131" s="266"/>
      <c r="DG1131" s="266"/>
      <c r="DH1131" s="266"/>
      <c r="DI1131" s="266"/>
      <c r="DJ1131" s="266"/>
      <c r="DK1131" s="266"/>
      <c r="DL1131" s="266"/>
      <c r="DM1131" s="266"/>
      <c r="DN1131" s="266"/>
      <c r="DO1131" s="266"/>
      <c r="DP1131" s="266"/>
      <c r="DQ1131" s="266"/>
      <c r="DR1131" s="266"/>
      <c r="DS1131" s="266"/>
    </row>
    <row r="1132" spans="11:123">
      <c r="K1132" s="266"/>
      <c r="L1132" s="266"/>
      <c r="M1132" s="266"/>
      <c r="N1132" s="266"/>
      <c r="O1132" s="266"/>
      <c r="P1132" s="266"/>
      <c r="Q1132" s="266"/>
      <c r="BR1132" s="266"/>
      <c r="BS1132" s="266"/>
      <c r="BT1132" s="266"/>
      <c r="BU1132" s="266"/>
      <c r="BV1132" s="266"/>
      <c r="CJ1132" s="266"/>
      <c r="CO1132" s="266"/>
      <c r="CP1132" s="266"/>
      <c r="CQ1132" s="266"/>
      <c r="CR1132" s="266"/>
      <c r="CS1132" s="266"/>
      <c r="CT1132" s="266"/>
      <c r="CU1132" s="266"/>
      <c r="CV1132" s="266"/>
      <c r="CW1132" s="266"/>
      <c r="CX1132" s="266"/>
      <c r="CY1132" s="266"/>
      <c r="CZ1132" s="266"/>
      <c r="DA1132" s="266"/>
      <c r="DB1132" s="266"/>
      <c r="DC1132" s="266"/>
      <c r="DD1132" s="266"/>
      <c r="DE1132" s="266"/>
      <c r="DF1132" s="266"/>
      <c r="DG1132" s="266"/>
      <c r="DH1132" s="266"/>
      <c r="DI1132" s="266"/>
      <c r="DJ1132" s="266"/>
      <c r="DK1132" s="266"/>
      <c r="DL1132" s="266"/>
      <c r="DM1132" s="266"/>
      <c r="DN1132" s="266"/>
      <c r="DO1132" s="266"/>
      <c r="DP1132" s="266"/>
      <c r="DQ1132" s="266"/>
      <c r="DR1132" s="266"/>
      <c r="DS1132" s="266"/>
    </row>
    <row r="1133" spans="11:123">
      <c r="K1133" s="266"/>
      <c r="L1133" s="266"/>
      <c r="M1133" s="266"/>
      <c r="N1133" s="266"/>
      <c r="O1133" s="266"/>
      <c r="P1133" s="266"/>
      <c r="Q1133" s="266"/>
      <c r="BR1133" s="266"/>
      <c r="BS1133" s="266"/>
      <c r="BT1133" s="266"/>
      <c r="BU1133" s="266"/>
      <c r="BV1133" s="266"/>
      <c r="CJ1133" s="266"/>
      <c r="CO1133" s="266"/>
      <c r="CP1133" s="266"/>
      <c r="CQ1133" s="266"/>
      <c r="CR1133" s="266"/>
      <c r="CS1133" s="266"/>
      <c r="CT1133" s="266"/>
      <c r="CU1133" s="266"/>
      <c r="CV1133" s="266"/>
      <c r="CW1133" s="266"/>
      <c r="CX1133" s="266"/>
      <c r="CY1133" s="266"/>
      <c r="CZ1133" s="266"/>
      <c r="DA1133" s="266"/>
      <c r="DB1133" s="266"/>
      <c r="DC1133" s="266"/>
      <c r="DD1133" s="266"/>
      <c r="DE1133" s="266"/>
      <c r="DF1133" s="266"/>
      <c r="DG1133" s="266"/>
      <c r="DH1133" s="266"/>
      <c r="DI1133" s="266"/>
      <c r="DJ1133" s="266"/>
      <c r="DK1133" s="266"/>
      <c r="DL1133" s="266"/>
      <c r="DM1133" s="266"/>
      <c r="DN1133" s="266"/>
      <c r="DO1133" s="266"/>
      <c r="DP1133" s="266"/>
      <c r="DQ1133" s="266"/>
      <c r="DR1133" s="266"/>
      <c r="DS1133" s="266"/>
    </row>
    <row r="1134" spans="11:123">
      <c r="K1134" s="266"/>
      <c r="L1134" s="266"/>
      <c r="M1134" s="266"/>
      <c r="N1134" s="266"/>
      <c r="O1134" s="266"/>
      <c r="P1134" s="266"/>
      <c r="Q1134" s="266"/>
      <c r="BR1134" s="266"/>
      <c r="BS1134" s="266"/>
      <c r="BT1134" s="266"/>
      <c r="BU1134" s="266"/>
      <c r="BV1134" s="266"/>
      <c r="CJ1134" s="266"/>
      <c r="CO1134" s="266"/>
      <c r="CP1134" s="266"/>
      <c r="CQ1134" s="266"/>
      <c r="CR1134" s="266"/>
      <c r="CS1134" s="266"/>
      <c r="CT1134" s="266"/>
      <c r="CU1134" s="266"/>
      <c r="CV1134" s="266"/>
      <c r="CW1134" s="266"/>
      <c r="CX1134" s="266"/>
      <c r="CY1134" s="266"/>
      <c r="CZ1134" s="266"/>
      <c r="DA1134" s="266"/>
      <c r="DB1134" s="266"/>
      <c r="DC1134" s="266"/>
      <c r="DD1134" s="266"/>
      <c r="DE1134" s="266"/>
      <c r="DF1134" s="266"/>
      <c r="DG1134" s="266"/>
      <c r="DH1134" s="266"/>
      <c r="DI1134" s="266"/>
      <c r="DJ1134" s="266"/>
      <c r="DK1134" s="266"/>
      <c r="DL1134" s="266"/>
      <c r="DM1134" s="266"/>
      <c r="DN1134" s="266"/>
      <c r="DO1134" s="266"/>
      <c r="DP1134" s="266"/>
      <c r="DQ1134" s="266"/>
      <c r="DR1134" s="266"/>
      <c r="DS1134" s="266"/>
    </row>
    <row r="1135" spans="11:123">
      <c r="K1135" s="266"/>
      <c r="L1135" s="266"/>
      <c r="M1135" s="266"/>
      <c r="N1135" s="266"/>
      <c r="O1135" s="266"/>
      <c r="P1135" s="266"/>
      <c r="Q1135" s="266"/>
      <c r="BR1135" s="266"/>
      <c r="BS1135" s="266"/>
      <c r="BT1135" s="266"/>
      <c r="BU1135" s="266"/>
      <c r="BV1135" s="266"/>
      <c r="CJ1135" s="266"/>
      <c r="CO1135" s="266"/>
      <c r="CP1135" s="266"/>
      <c r="CQ1135" s="266"/>
      <c r="CR1135" s="266"/>
      <c r="CS1135" s="266"/>
      <c r="CT1135" s="266"/>
      <c r="CU1135" s="266"/>
      <c r="CV1135" s="266"/>
      <c r="CW1135" s="266"/>
      <c r="CX1135" s="266"/>
      <c r="CY1135" s="266"/>
      <c r="CZ1135" s="266"/>
      <c r="DA1135" s="266"/>
      <c r="DB1135" s="266"/>
      <c r="DC1135" s="266"/>
      <c r="DD1135" s="266"/>
      <c r="DE1135" s="266"/>
      <c r="DF1135" s="266"/>
      <c r="DG1135" s="266"/>
      <c r="DH1135" s="266"/>
      <c r="DI1135" s="266"/>
      <c r="DJ1135" s="266"/>
      <c r="DK1135" s="266"/>
      <c r="DL1135" s="266"/>
      <c r="DM1135" s="266"/>
      <c r="DN1135" s="266"/>
      <c r="DO1135" s="266"/>
      <c r="DP1135" s="266"/>
      <c r="DQ1135" s="266"/>
      <c r="DR1135" s="266"/>
      <c r="DS1135" s="266"/>
    </row>
    <row r="1136" spans="11:123">
      <c r="K1136" s="266"/>
      <c r="L1136" s="266"/>
      <c r="M1136" s="266"/>
      <c r="N1136" s="266"/>
      <c r="O1136" s="266"/>
      <c r="P1136" s="266"/>
      <c r="Q1136" s="266"/>
      <c r="BR1136" s="266"/>
      <c r="BS1136" s="266"/>
      <c r="BT1136" s="266"/>
      <c r="BU1136" s="266"/>
      <c r="BV1136" s="266"/>
      <c r="CJ1136" s="266"/>
      <c r="CO1136" s="266"/>
      <c r="CP1136" s="266"/>
      <c r="CQ1136" s="266"/>
      <c r="CR1136" s="266"/>
      <c r="CS1136" s="266"/>
      <c r="CT1136" s="266"/>
      <c r="CU1136" s="266"/>
      <c r="CV1136" s="266"/>
      <c r="CW1136" s="266"/>
      <c r="CX1136" s="266"/>
      <c r="CY1136" s="266"/>
      <c r="CZ1136" s="266"/>
      <c r="DA1136" s="266"/>
      <c r="DB1136" s="266"/>
      <c r="DC1136" s="266"/>
      <c r="DD1136" s="266"/>
      <c r="DE1136" s="266"/>
      <c r="DF1136" s="266"/>
      <c r="DG1136" s="266"/>
      <c r="DH1136" s="266"/>
      <c r="DI1136" s="266"/>
      <c r="DJ1136" s="266"/>
      <c r="DK1136" s="266"/>
      <c r="DL1136" s="266"/>
      <c r="DM1136" s="266"/>
      <c r="DN1136" s="266"/>
      <c r="DO1136" s="266"/>
      <c r="DP1136" s="266"/>
      <c r="DQ1136" s="266"/>
      <c r="DR1136" s="266"/>
      <c r="DS1136" s="266"/>
    </row>
    <row r="1137" spans="11:123">
      <c r="K1137" s="266"/>
      <c r="L1137" s="266"/>
      <c r="M1137" s="266"/>
      <c r="N1137" s="266"/>
      <c r="O1137" s="266"/>
      <c r="P1137" s="266"/>
      <c r="Q1137" s="266"/>
      <c r="BR1137" s="266"/>
      <c r="BS1137" s="266"/>
      <c r="BT1137" s="266"/>
      <c r="BU1137" s="266"/>
      <c r="BV1137" s="266"/>
      <c r="CJ1137" s="266"/>
      <c r="CO1137" s="266"/>
      <c r="CP1137" s="266"/>
      <c r="CQ1137" s="266"/>
      <c r="CR1137" s="266"/>
      <c r="CS1137" s="266"/>
      <c r="CT1137" s="266"/>
      <c r="CU1137" s="266"/>
      <c r="CV1137" s="266"/>
      <c r="CW1137" s="266"/>
      <c r="CX1137" s="266"/>
      <c r="CY1137" s="266"/>
      <c r="CZ1137" s="266"/>
      <c r="DA1137" s="266"/>
      <c r="DB1137" s="266"/>
      <c r="DC1137" s="266"/>
      <c r="DD1137" s="266"/>
      <c r="DE1137" s="266"/>
      <c r="DF1137" s="266"/>
      <c r="DG1137" s="266"/>
      <c r="DH1137" s="266"/>
      <c r="DI1137" s="266"/>
      <c r="DJ1137" s="266"/>
      <c r="DK1137" s="266"/>
      <c r="DL1137" s="266"/>
      <c r="DM1137" s="266"/>
      <c r="DN1137" s="266"/>
      <c r="DO1137" s="266"/>
      <c r="DP1137" s="266"/>
      <c r="DQ1137" s="266"/>
      <c r="DR1137" s="266"/>
      <c r="DS1137" s="266"/>
    </row>
    <row r="1138" spans="11:123">
      <c r="K1138" s="266"/>
      <c r="L1138" s="266"/>
      <c r="M1138" s="266"/>
      <c r="N1138" s="266"/>
      <c r="O1138" s="266"/>
      <c r="P1138" s="266"/>
      <c r="Q1138" s="266"/>
      <c r="BR1138" s="266"/>
      <c r="BS1138" s="266"/>
      <c r="BT1138" s="266"/>
      <c r="BU1138" s="266"/>
      <c r="BV1138" s="266"/>
      <c r="CJ1138" s="266"/>
      <c r="CO1138" s="266"/>
      <c r="CP1138" s="266"/>
      <c r="CQ1138" s="266"/>
      <c r="CR1138" s="266"/>
      <c r="CS1138" s="266"/>
      <c r="CT1138" s="266"/>
      <c r="CU1138" s="266"/>
      <c r="CV1138" s="266"/>
      <c r="CW1138" s="266"/>
      <c r="CX1138" s="266"/>
      <c r="CY1138" s="266"/>
      <c r="CZ1138" s="266"/>
      <c r="DA1138" s="266"/>
      <c r="DB1138" s="266"/>
      <c r="DC1138" s="266"/>
      <c r="DD1138" s="266"/>
      <c r="DE1138" s="266"/>
      <c r="DF1138" s="266"/>
      <c r="DG1138" s="266"/>
      <c r="DH1138" s="266"/>
      <c r="DI1138" s="266"/>
      <c r="DJ1138" s="266"/>
      <c r="DK1138" s="266"/>
      <c r="DL1138" s="266"/>
      <c r="DM1138" s="266"/>
      <c r="DN1138" s="266"/>
      <c r="DO1138" s="266"/>
      <c r="DP1138" s="266"/>
      <c r="DQ1138" s="266"/>
      <c r="DR1138" s="266"/>
      <c r="DS1138" s="266"/>
    </row>
    <row r="1139" spans="11:123">
      <c r="K1139" s="266"/>
      <c r="L1139" s="266"/>
      <c r="M1139" s="266"/>
      <c r="N1139" s="266"/>
      <c r="O1139" s="266"/>
      <c r="P1139" s="266"/>
      <c r="Q1139" s="266"/>
      <c r="BR1139" s="266"/>
      <c r="BS1139" s="266"/>
      <c r="BT1139" s="266"/>
      <c r="BU1139" s="266"/>
      <c r="BV1139" s="266"/>
      <c r="CJ1139" s="266"/>
      <c r="CO1139" s="266"/>
      <c r="CP1139" s="266"/>
      <c r="CQ1139" s="266"/>
      <c r="CR1139" s="266"/>
      <c r="CS1139" s="266"/>
      <c r="CT1139" s="266"/>
      <c r="CU1139" s="266"/>
      <c r="CV1139" s="266"/>
      <c r="CW1139" s="266"/>
      <c r="CX1139" s="266"/>
      <c r="CY1139" s="266"/>
      <c r="CZ1139" s="266"/>
      <c r="DA1139" s="266"/>
      <c r="DB1139" s="266"/>
      <c r="DC1139" s="266"/>
      <c r="DD1139" s="266"/>
      <c r="DE1139" s="266"/>
      <c r="DF1139" s="266"/>
      <c r="DG1139" s="266"/>
      <c r="DH1139" s="266"/>
      <c r="DI1139" s="266"/>
      <c r="DJ1139" s="266"/>
      <c r="DK1139" s="266"/>
      <c r="DL1139" s="266"/>
      <c r="DM1139" s="266"/>
      <c r="DN1139" s="266"/>
      <c r="DO1139" s="266"/>
      <c r="DP1139" s="266"/>
      <c r="DQ1139" s="266"/>
      <c r="DR1139" s="266"/>
      <c r="DS1139" s="266"/>
    </row>
    <row r="1140" spans="11:123">
      <c r="K1140" s="266"/>
      <c r="L1140" s="266"/>
      <c r="M1140" s="266"/>
      <c r="N1140" s="266"/>
      <c r="O1140" s="266"/>
      <c r="P1140" s="266"/>
      <c r="Q1140" s="266"/>
      <c r="BR1140" s="266"/>
      <c r="BS1140" s="266"/>
      <c r="BT1140" s="266"/>
      <c r="BU1140" s="266"/>
      <c r="BV1140" s="266"/>
      <c r="CJ1140" s="266"/>
      <c r="CO1140" s="266"/>
      <c r="CP1140" s="266"/>
      <c r="CQ1140" s="266"/>
      <c r="CR1140" s="266"/>
      <c r="CS1140" s="266"/>
      <c r="CT1140" s="266"/>
      <c r="CU1140" s="266"/>
      <c r="CV1140" s="266"/>
      <c r="CW1140" s="266"/>
      <c r="CX1140" s="266"/>
      <c r="CY1140" s="266"/>
      <c r="CZ1140" s="266"/>
      <c r="DA1140" s="266"/>
      <c r="DB1140" s="266"/>
      <c r="DC1140" s="266"/>
      <c r="DD1140" s="266"/>
      <c r="DE1140" s="266"/>
      <c r="DF1140" s="266"/>
      <c r="DG1140" s="266"/>
      <c r="DH1140" s="266"/>
      <c r="DI1140" s="266"/>
      <c r="DJ1140" s="266"/>
      <c r="DK1140" s="266"/>
      <c r="DL1140" s="266"/>
      <c r="DM1140" s="266"/>
      <c r="DN1140" s="266"/>
      <c r="DO1140" s="266"/>
      <c r="DP1140" s="266"/>
      <c r="DQ1140" s="266"/>
      <c r="DR1140" s="266"/>
      <c r="DS1140" s="266"/>
    </row>
    <row r="1141" spans="11:123">
      <c r="K1141" s="266"/>
      <c r="L1141" s="266"/>
      <c r="M1141" s="266"/>
      <c r="N1141" s="266"/>
      <c r="O1141" s="266"/>
      <c r="P1141" s="266"/>
      <c r="Q1141" s="266"/>
      <c r="BR1141" s="266"/>
      <c r="BS1141" s="266"/>
      <c r="BT1141" s="266"/>
      <c r="BU1141" s="266"/>
      <c r="BV1141" s="266"/>
      <c r="CJ1141" s="266"/>
      <c r="CO1141" s="266"/>
      <c r="CP1141" s="266"/>
      <c r="CQ1141" s="266"/>
      <c r="CR1141" s="266"/>
      <c r="CS1141" s="266"/>
      <c r="CT1141" s="266"/>
      <c r="CU1141" s="266"/>
      <c r="CV1141" s="266"/>
      <c r="CW1141" s="266"/>
      <c r="CX1141" s="266"/>
      <c r="CY1141" s="266"/>
      <c r="CZ1141" s="266"/>
      <c r="DA1141" s="266"/>
      <c r="DB1141" s="266"/>
      <c r="DC1141" s="266"/>
      <c r="DD1141" s="266"/>
      <c r="DE1141" s="266"/>
      <c r="DF1141" s="266"/>
      <c r="DG1141" s="266"/>
      <c r="DH1141" s="266"/>
      <c r="DI1141" s="266"/>
      <c r="DJ1141" s="266"/>
      <c r="DK1141" s="266"/>
      <c r="DL1141" s="266"/>
      <c r="DM1141" s="266"/>
      <c r="DN1141" s="266"/>
      <c r="DO1141" s="266"/>
      <c r="DP1141" s="266"/>
      <c r="DQ1141" s="266"/>
      <c r="DR1141" s="266"/>
      <c r="DS1141" s="266"/>
    </row>
    <row r="1142" spans="11:123">
      <c r="K1142" s="266"/>
      <c r="L1142" s="266"/>
      <c r="M1142" s="266"/>
      <c r="N1142" s="266"/>
      <c r="O1142" s="266"/>
      <c r="P1142" s="266"/>
      <c r="Q1142" s="266"/>
      <c r="BR1142" s="266"/>
      <c r="BS1142" s="266"/>
      <c r="BT1142" s="266"/>
      <c r="BU1142" s="266"/>
      <c r="BV1142" s="266"/>
      <c r="CJ1142" s="266"/>
      <c r="CO1142" s="266"/>
      <c r="CP1142" s="266"/>
      <c r="CQ1142" s="266"/>
      <c r="CR1142" s="266"/>
      <c r="CS1142" s="266"/>
      <c r="CT1142" s="266"/>
      <c r="CU1142" s="266"/>
      <c r="CV1142" s="266"/>
      <c r="CW1142" s="266"/>
      <c r="CX1142" s="266"/>
      <c r="CY1142" s="266"/>
      <c r="CZ1142" s="266"/>
      <c r="DA1142" s="266"/>
      <c r="DB1142" s="266"/>
      <c r="DC1142" s="266"/>
      <c r="DD1142" s="266"/>
      <c r="DE1142" s="266"/>
      <c r="DF1142" s="266"/>
      <c r="DG1142" s="266"/>
      <c r="DH1142" s="266"/>
      <c r="DI1142" s="266"/>
      <c r="DJ1142" s="266"/>
      <c r="DK1142" s="266"/>
      <c r="DL1142" s="266"/>
      <c r="DM1142" s="266"/>
      <c r="DN1142" s="266"/>
      <c r="DO1142" s="266"/>
      <c r="DP1142" s="266"/>
      <c r="DQ1142" s="266"/>
      <c r="DR1142" s="266"/>
      <c r="DS1142" s="266"/>
    </row>
    <row r="1143" spans="11:123">
      <c r="K1143" s="266"/>
      <c r="L1143" s="266"/>
      <c r="M1143" s="266"/>
      <c r="N1143" s="266"/>
      <c r="O1143" s="266"/>
      <c r="P1143" s="266"/>
      <c r="Q1143" s="266"/>
      <c r="BR1143" s="266"/>
      <c r="BS1143" s="266"/>
      <c r="BT1143" s="266"/>
      <c r="BU1143" s="266"/>
      <c r="BV1143" s="266"/>
      <c r="CJ1143" s="266"/>
      <c r="CO1143" s="266"/>
      <c r="CP1143" s="266"/>
      <c r="CQ1143" s="266"/>
      <c r="CR1143" s="266"/>
      <c r="CS1143" s="266"/>
      <c r="CT1143" s="266"/>
      <c r="CU1143" s="266"/>
      <c r="CV1143" s="266"/>
      <c r="CW1143" s="266"/>
      <c r="CX1143" s="266"/>
      <c r="CY1143" s="266"/>
      <c r="CZ1143" s="266"/>
      <c r="DA1143" s="266"/>
      <c r="DB1143" s="266"/>
      <c r="DC1143" s="266"/>
      <c r="DD1143" s="266"/>
      <c r="DE1143" s="266"/>
      <c r="DF1143" s="266"/>
      <c r="DG1143" s="266"/>
      <c r="DH1143" s="266"/>
      <c r="DI1143" s="266"/>
      <c r="DJ1143" s="266"/>
      <c r="DK1143" s="266"/>
      <c r="DL1143" s="266"/>
      <c r="DM1143" s="266"/>
      <c r="DN1143" s="266"/>
      <c r="DO1143" s="266"/>
      <c r="DP1143" s="266"/>
      <c r="DQ1143" s="266"/>
      <c r="DR1143" s="266"/>
      <c r="DS1143" s="266"/>
    </row>
    <row r="1144" spans="11:123">
      <c r="K1144" s="266"/>
      <c r="L1144" s="266"/>
      <c r="M1144" s="266"/>
      <c r="N1144" s="266"/>
      <c r="O1144" s="266"/>
      <c r="P1144" s="266"/>
      <c r="Q1144" s="266"/>
      <c r="BR1144" s="266"/>
      <c r="BS1144" s="266"/>
      <c r="BT1144" s="266"/>
      <c r="BU1144" s="266"/>
      <c r="BV1144" s="266"/>
      <c r="CJ1144" s="266"/>
      <c r="CO1144" s="266"/>
      <c r="CP1144" s="266"/>
      <c r="CQ1144" s="266"/>
      <c r="CR1144" s="266"/>
      <c r="CS1144" s="266"/>
      <c r="CT1144" s="266"/>
      <c r="CU1144" s="266"/>
      <c r="CV1144" s="266"/>
      <c r="CW1144" s="266"/>
      <c r="CX1144" s="266"/>
      <c r="CY1144" s="266"/>
      <c r="CZ1144" s="266"/>
      <c r="DA1144" s="266"/>
      <c r="DB1144" s="266"/>
      <c r="DC1144" s="266"/>
      <c r="DD1144" s="266"/>
      <c r="DE1144" s="266"/>
      <c r="DF1144" s="266"/>
      <c r="DG1144" s="266"/>
      <c r="DH1144" s="266"/>
      <c r="DI1144" s="266"/>
      <c r="DJ1144" s="266"/>
      <c r="DK1144" s="266"/>
      <c r="DL1144" s="266"/>
      <c r="DM1144" s="266"/>
      <c r="DN1144" s="266"/>
      <c r="DO1144" s="266"/>
      <c r="DP1144" s="266"/>
      <c r="DQ1144" s="266"/>
      <c r="DR1144" s="266"/>
      <c r="DS1144" s="266"/>
    </row>
    <row r="1145" spans="11:123">
      <c r="K1145" s="266"/>
      <c r="L1145" s="266"/>
      <c r="M1145" s="266"/>
      <c r="N1145" s="266"/>
      <c r="O1145" s="266"/>
      <c r="P1145" s="266"/>
      <c r="Q1145" s="266"/>
      <c r="BR1145" s="266"/>
      <c r="BS1145" s="266"/>
      <c r="BT1145" s="266"/>
      <c r="BU1145" s="266"/>
      <c r="BV1145" s="266"/>
      <c r="CJ1145" s="266"/>
      <c r="CO1145" s="266"/>
      <c r="CP1145" s="266"/>
      <c r="CQ1145" s="266"/>
      <c r="CR1145" s="266"/>
      <c r="CS1145" s="266"/>
      <c r="CT1145" s="266"/>
      <c r="CU1145" s="266"/>
      <c r="CV1145" s="266"/>
      <c r="CW1145" s="266"/>
      <c r="CX1145" s="266"/>
      <c r="CY1145" s="266"/>
      <c r="CZ1145" s="266"/>
      <c r="DA1145" s="266"/>
      <c r="DB1145" s="266"/>
      <c r="DC1145" s="266"/>
      <c r="DD1145" s="266"/>
      <c r="DE1145" s="266"/>
      <c r="DF1145" s="266"/>
      <c r="DG1145" s="266"/>
      <c r="DH1145" s="266"/>
      <c r="DI1145" s="266"/>
      <c r="DJ1145" s="266"/>
      <c r="DK1145" s="266"/>
      <c r="DL1145" s="266"/>
      <c r="DM1145" s="266"/>
      <c r="DN1145" s="266"/>
      <c r="DO1145" s="266"/>
      <c r="DP1145" s="266"/>
      <c r="DQ1145" s="266"/>
      <c r="DR1145" s="266"/>
      <c r="DS1145" s="266"/>
    </row>
    <row r="1146" spans="11:123">
      <c r="K1146" s="266"/>
      <c r="L1146" s="266"/>
      <c r="M1146" s="266"/>
      <c r="N1146" s="266"/>
      <c r="O1146" s="266"/>
      <c r="P1146" s="266"/>
      <c r="Q1146" s="266"/>
      <c r="BR1146" s="266"/>
      <c r="BS1146" s="266"/>
      <c r="BT1146" s="266"/>
      <c r="BU1146" s="266"/>
      <c r="BV1146" s="266"/>
      <c r="CJ1146" s="266"/>
      <c r="CO1146" s="266"/>
      <c r="CP1146" s="266"/>
      <c r="CQ1146" s="266"/>
      <c r="CR1146" s="266"/>
      <c r="CS1146" s="266"/>
      <c r="CT1146" s="266"/>
      <c r="CU1146" s="266"/>
      <c r="CV1146" s="266"/>
      <c r="CW1146" s="266"/>
      <c r="CX1146" s="266"/>
      <c r="CY1146" s="266"/>
      <c r="CZ1146" s="266"/>
      <c r="DA1146" s="266"/>
      <c r="DB1146" s="266"/>
      <c r="DC1146" s="266"/>
      <c r="DD1146" s="266"/>
      <c r="DE1146" s="266"/>
      <c r="DF1146" s="266"/>
      <c r="DG1146" s="266"/>
      <c r="DH1146" s="266"/>
      <c r="DI1146" s="266"/>
      <c r="DJ1146" s="266"/>
      <c r="DK1146" s="266"/>
      <c r="DL1146" s="266"/>
      <c r="DM1146" s="266"/>
      <c r="DN1146" s="266"/>
      <c r="DO1146" s="266"/>
      <c r="DP1146" s="266"/>
      <c r="DQ1146" s="266"/>
      <c r="DR1146" s="266"/>
      <c r="DS1146" s="266"/>
    </row>
    <row r="1147" spans="11:123">
      <c r="K1147" s="266"/>
      <c r="L1147" s="266"/>
      <c r="M1147" s="266"/>
      <c r="N1147" s="266"/>
      <c r="O1147" s="266"/>
      <c r="P1147" s="266"/>
      <c r="Q1147" s="266"/>
      <c r="BR1147" s="266"/>
      <c r="BS1147" s="266"/>
      <c r="BT1147" s="266"/>
      <c r="BU1147" s="266"/>
      <c r="BV1147" s="266"/>
      <c r="CJ1147" s="266"/>
      <c r="CO1147" s="266"/>
      <c r="CP1147" s="266"/>
      <c r="CQ1147" s="266"/>
      <c r="CR1147" s="266"/>
      <c r="CS1147" s="266"/>
      <c r="CT1147" s="266"/>
      <c r="CU1147" s="266"/>
      <c r="CV1147" s="266"/>
      <c r="CW1147" s="266"/>
      <c r="CX1147" s="266"/>
      <c r="CY1147" s="266"/>
      <c r="CZ1147" s="266"/>
      <c r="DA1147" s="266"/>
      <c r="DB1147" s="266"/>
      <c r="DC1147" s="266"/>
      <c r="DD1147" s="266"/>
      <c r="DE1147" s="266"/>
      <c r="DF1147" s="266"/>
      <c r="DG1147" s="266"/>
      <c r="DH1147" s="266"/>
      <c r="DI1147" s="266"/>
      <c r="DJ1147" s="266"/>
      <c r="DK1147" s="266"/>
      <c r="DL1147" s="266"/>
      <c r="DM1147" s="266"/>
      <c r="DN1147" s="266"/>
      <c r="DO1147" s="266"/>
      <c r="DP1147" s="266"/>
      <c r="DQ1147" s="266"/>
      <c r="DR1147" s="266"/>
      <c r="DS1147" s="266"/>
    </row>
    <row r="1148" spans="11:123">
      <c r="K1148" s="266"/>
      <c r="L1148" s="266"/>
      <c r="M1148" s="266"/>
      <c r="N1148" s="266"/>
      <c r="O1148" s="266"/>
      <c r="P1148" s="266"/>
      <c r="Q1148" s="266"/>
      <c r="BR1148" s="266"/>
      <c r="BS1148" s="266"/>
      <c r="BT1148" s="266"/>
      <c r="BU1148" s="266"/>
      <c r="BV1148" s="266"/>
      <c r="CJ1148" s="266"/>
      <c r="CO1148" s="266"/>
      <c r="CP1148" s="266"/>
      <c r="CQ1148" s="266"/>
      <c r="CR1148" s="266"/>
      <c r="CS1148" s="266"/>
      <c r="CT1148" s="266"/>
      <c r="CU1148" s="266"/>
      <c r="CV1148" s="266"/>
      <c r="CW1148" s="266"/>
      <c r="CX1148" s="266"/>
      <c r="CY1148" s="266"/>
      <c r="CZ1148" s="266"/>
      <c r="DA1148" s="266"/>
      <c r="DB1148" s="266"/>
      <c r="DC1148" s="266"/>
      <c r="DD1148" s="266"/>
      <c r="DE1148" s="266"/>
      <c r="DF1148" s="266"/>
      <c r="DG1148" s="266"/>
      <c r="DH1148" s="266"/>
      <c r="DI1148" s="266"/>
      <c r="DJ1148" s="266"/>
      <c r="DK1148" s="266"/>
      <c r="DL1148" s="266"/>
      <c r="DM1148" s="266"/>
      <c r="DN1148" s="266"/>
      <c r="DO1148" s="266"/>
      <c r="DP1148" s="266"/>
      <c r="DQ1148" s="266"/>
      <c r="DR1148" s="266"/>
      <c r="DS1148" s="266"/>
    </row>
    <row r="1149" spans="11:123">
      <c r="K1149" s="266"/>
      <c r="L1149" s="266"/>
      <c r="M1149" s="266"/>
      <c r="N1149" s="266"/>
      <c r="O1149" s="266"/>
      <c r="P1149" s="266"/>
      <c r="Q1149" s="266"/>
      <c r="BR1149" s="266"/>
      <c r="BS1149" s="266"/>
      <c r="BT1149" s="266"/>
      <c r="BU1149" s="266"/>
      <c r="BV1149" s="266"/>
      <c r="CJ1149" s="266"/>
      <c r="CO1149" s="266"/>
      <c r="CP1149" s="266"/>
      <c r="CQ1149" s="266"/>
      <c r="CR1149" s="266"/>
      <c r="CS1149" s="266"/>
      <c r="CT1149" s="266"/>
      <c r="CU1149" s="266"/>
      <c r="CV1149" s="266"/>
      <c r="CW1149" s="266"/>
      <c r="CX1149" s="266"/>
      <c r="CY1149" s="266"/>
      <c r="CZ1149" s="266"/>
      <c r="DA1149" s="266"/>
      <c r="DB1149" s="266"/>
      <c r="DC1149" s="266"/>
      <c r="DD1149" s="266"/>
      <c r="DE1149" s="266"/>
      <c r="DF1149" s="266"/>
      <c r="DG1149" s="266"/>
      <c r="DH1149" s="266"/>
      <c r="DI1149" s="266"/>
      <c r="DJ1149" s="266"/>
      <c r="DK1149" s="266"/>
      <c r="DL1149" s="266"/>
      <c r="DM1149" s="266"/>
      <c r="DN1149" s="266"/>
      <c r="DO1149" s="266"/>
      <c r="DP1149" s="266"/>
      <c r="DQ1149" s="266"/>
      <c r="DR1149" s="266"/>
      <c r="DS1149" s="266"/>
    </row>
    <row r="1150" spans="11:123">
      <c r="K1150" s="266"/>
      <c r="L1150" s="266"/>
      <c r="M1150" s="266"/>
      <c r="N1150" s="266"/>
      <c r="O1150" s="266"/>
      <c r="P1150" s="266"/>
      <c r="Q1150" s="266"/>
      <c r="BR1150" s="266"/>
      <c r="BS1150" s="266"/>
      <c r="BT1150" s="266"/>
      <c r="BU1150" s="266"/>
      <c r="BV1150" s="266"/>
      <c r="CJ1150" s="266"/>
      <c r="CO1150" s="266"/>
      <c r="CP1150" s="266"/>
      <c r="CQ1150" s="266"/>
      <c r="CR1150" s="266"/>
      <c r="CS1150" s="266"/>
      <c r="CT1150" s="266"/>
      <c r="CU1150" s="266"/>
      <c r="CV1150" s="266"/>
      <c r="CW1150" s="266"/>
      <c r="CX1150" s="266"/>
      <c r="CY1150" s="266"/>
      <c r="CZ1150" s="266"/>
      <c r="DA1150" s="266"/>
      <c r="DB1150" s="266"/>
      <c r="DC1150" s="266"/>
      <c r="DD1150" s="266"/>
      <c r="DE1150" s="266"/>
      <c r="DF1150" s="266"/>
      <c r="DG1150" s="266"/>
      <c r="DH1150" s="266"/>
      <c r="DI1150" s="266"/>
      <c r="DJ1150" s="266"/>
      <c r="DK1150" s="266"/>
      <c r="DL1150" s="266"/>
      <c r="DM1150" s="266"/>
      <c r="DN1150" s="266"/>
      <c r="DO1150" s="266"/>
      <c r="DP1150" s="266"/>
      <c r="DQ1150" s="266"/>
      <c r="DR1150" s="266"/>
      <c r="DS1150" s="266"/>
    </row>
    <row r="1151" spans="11:123">
      <c r="K1151" s="266"/>
      <c r="L1151" s="266"/>
      <c r="M1151" s="266"/>
      <c r="N1151" s="266"/>
      <c r="O1151" s="266"/>
      <c r="P1151" s="266"/>
      <c r="Q1151" s="266"/>
      <c r="BR1151" s="266"/>
      <c r="BS1151" s="266"/>
      <c r="BT1151" s="266"/>
      <c r="BU1151" s="266"/>
      <c r="BV1151" s="266"/>
      <c r="CJ1151" s="266"/>
      <c r="CO1151" s="266"/>
      <c r="CP1151" s="266"/>
      <c r="CQ1151" s="266"/>
      <c r="CR1151" s="266"/>
      <c r="CS1151" s="266"/>
      <c r="CT1151" s="266"/>
      <c r="CU1151" s="266"/>
      <c r="CV1151" s="266"/>
      <c r="CW1151" s="266"/>
      <c r="CX1151" s="266"/>
      <c r="CY1151" s="266"/>
      <c r="CZ1151" s="266"/>
      <c r="DA1151" s="266"/>
      <c r="DB1151" s="266"/>
      <c r="DC1151" s="266"/>
      <c r="DD1151" s="266"/>
      <c r="DE1151" s="266"/>
      <c r="DF1151" s="266"/>
      <c r="DG1151" s="266"/>
      <c r="DH1151" s="266"/>
      <c r="DI1151" s="266"/>
      <c r="DJ1151" s="266"/>
      <c r="DK1151" s="266"/>
      <c r="DL1151" s="266"/>
      <c r="DM1151" s="266"/>
      <c r="DN1151" s="266"/>
      <c r="DO1151" s="266"/>
      <c r="DP1151" s="266"/>
      <c r="DQ1151" s="266"/>
      <c r="DR1151" s="266"/>
      <c r="DS1151" s="266"/>
    </row>
    <row r="1152" spans="11:123">
      <c r="K1152" s="266"/>
      <c r="L1152" s="266"/>
      <c r="M1152" s="266"/>
      <c r="N1152" s="266"/>
      <c r="O1152" s="266"/>
      <c r="P1152" s="266"/>
      <c r="Q1152" s="266"/>
      <c r="BR1152" s="266"/>
      <c r="BS1152" s="266"/>
      <c r="BT1152" s="266"/>
      <c r="BU1152" s="266"/>
      <c r="BV1152" s="266"/>
      <c r="CJ1152" s="266"/>
      <c r="CO1152" s="266"/>
      <c r="CP1152" s="266"/>
      <c r="CQ1152" s="266"/>
      <c r="CR1152" s="266"/>
      <c r="CS1152" s="266"/>
      <c r="CT1152" s="266"/>
      <c r="CU1152" s="266"/>
      <c r="CV1152" s="266"/>
      <c r="CW1152" s="266"/>
      <c r="CX1152" s="266"/>
      <c r="CY1152" s="266"/>
      <c r="CZ1152" s="266"/>
      <c r="DA1152" s="266"/>
      <c r="DB1152" s="266"/>
      <c r="DC1152" s="266"/>
      <c r="DD1152" s="266"/>
      <c r="DE1152" s="266"/>
      <c r="DF1152" s="266"/>
      <c r="DG1152" s="266"/>
      <c r="DH1152" s="266"/>
      <c r="DI1152" s="266"/>
      <c r="DJ1152" s="266"/>
      <c r="DK1152" s="266"/>
      <c r="DL1152" s="266"/>
      <c r="DM1152" s="266"/>
      <c r="DN1152" s="266"/>
      <c r="DO1152" s="266"/>
      <c r="DP1152" s="266"/>
      <c r="DQ1152" s="266"/>
      <c r="DR1152" s="266"/>
      <c r="DS1152" s="266"/>
    </row>
    <row r="1153" spans="11:123">
      <c r="K1153" s="266"/>
      <c r="L1153" s="266"/>
      <c r="M1153" s="266"/>
      <c r="N1153" s="266"/>
      <c r="O1153" s="266"/>
      <c r="P1153" s="266"/>
      <c r="Q1153" s="266"/>
      <c r="BR1153" s="266"/>
      <c r="BS1153" s="266"/>
      <c r="BT1153" s="266"/>
      <c r="BU1153" s="266"/>
      <c r="BV1153" s="266"/>
      <c r="CJ1153" s="266"/>
      <c r="CO1153" s="266"/>
      <c r="CP1153" s="266"/>
      <c r="CQ1153" s="266"/>
      <c r="CR1153" s="266"/>
      <c r="CS1153" s="266"/>
      <c r="CT1153" s="266"/>
      <c r="CU1153" s="266"/>
      <c r="CV1153" s="266"/>
      <c r="CW1153" s="266"/>
      <c r="CX1153" s="266"/>
      <c r="CY1153" s="266"/>
      <c r="CZ1153" s="266"/>
      <c r="DA1153" s="266"/>
      <c r="DB1153" s="266"/>
      <c r="DC1153" s="266"/>
      <c r="DD1153" s="266"/>
      <c r="DE1153" s="266"/>
      <c r="DF1153" s="266"/>
      <c r="DG1153" s="266"/>
      <c r="DH1153" s="266"/>
      <c r="DI1153" s="266"/>
      <c r="DJ1153" s="266"/>
      <c r="DK1153" s="266"/>
      <c r="DL1153" s="266"/>
      <c r="DM1153" s="266"/>
      <c r="DN1153" s="266"/>
      <c r="DO1153" s="266"/>
      <c r="DP1153" s="266"/>
      <c r="DQ1153" s="266"/>
      <c r="DR1153" s="266"/>
      <c r="DS1153" s="266"/>
    </row>
    <row r="1154" spans="11:123">
      <c r="K1154" s="266"/>
      <c r="L1154" s="266"/>
      <c r="M1154" s="266"/>
      <c r="N1154" s="266"/>
      <c r="O1154" s="266"/>
      <c r="P1154" s="266"/>
      <c r="Q1154" s="266"/>
      <c r="BR1154" s="266"/>
      <c r="BS1154" s="266"/>
      <c r="BT1154" s="266"/>
      <c r="BU1154" s="266"/>
      <c r="BV1154" s="266"/>
      <c r="CJ1154" s="266"/>
      <c r="CO1154" s="266"/>
      <c r="CP1154" s="266"/>
      <c r="CQ1154" s="266"/>
      <c r="CR1154" s="266"/>
      <c r="CS1154" s="266"/>
      <c r="CT1154" s="266"/>
      <c r="CU1154" s="266"/>
      <c r="CV1154" s="266"/>
      <c r="CW1154" s="266"/>
      <c r="CX1154" s="266"/>
      <c r="CY1154" s="266"/>
      <c r="CZ1154" s="266"/>
      <c r="DA1154" s="266"/>
      <c r="DB1154" s="266"/>
      <c r="DC1154" s="266"/>
      <c r="DD1154" s="266"/>
      <c r="DE1154" s="266"/>
      <c r="DF1154" s="266"/>
      <c r="DG1154" s="266"/>
      <c r="DH1154" s="266"/>
      <c r="DI1154" s="266"/>
      <c r="DJ1154" s="266"/>
      <c r="DK1154" s="266"/>
      <c r="DL1154" s="266"/>
      <c r="DM1154" s="266"/>
      <c r="DN1154" s="266"/>
      <c r="DO1154" s="266"/>
      <c r="DP1154" s="266"/>
      <c r="DQ1154" s="266"/>
      <c r="DR1154" s="266"/>
      <c r="DS1154" s="266"/>
    </row>
    <row r="1155" spans="11:123">
      <c r="K1155" s="266"/>
      <c r="L1155" s="266"/>
      <c r="M1155" s="266"/>
      <c r="N1155" s="266"/>
      <c r="O1155" s="266"/>
      <c r="P1155" s="266"/>
      <c r="Q1155" s="266"/>
      <c r="BR1155" s="266"/>
      <c r="BS1155" s="266"/>
      <c r="BT1155" s="266"/>
      <c r="BU1155" s="266"/>
      <c r="BV1155" s="266"/>
      <c r="CJ1155" s="266"/>
      <c r="CO1155" s="266"/>
      <c r="CP1155" s="266"/>
      <c r="CQ1155" s="266"/>
      <c r="CR1155" s="266"/>
      <c r="CS1155" s="266"/>
      <c r="CT1155" s="266"/>
      <c r="CU1155" s="266"/>
      <c r="CV1155" s="266"/>
      <c r="CW1155" s="266"/>
      <c r="CX1155" s="266"/>
      <c r="CY1155" s="266"/>
      <c r="CZ1155" s="266"/>
      <c r="DA1155" s="266"/>
      <c r="DB1155" s="266"/>
      <c r="DC1155" s="266"/>
      <c r="DD1155" s="266"/>
      <c r="DE1155" s="266"/>
      <c r="DF1155" s="266"/>
      <c r="DG1155" s="266"/>
      <c r="DH1155" s="266"/>
      <c r="DI1155" s="266"/>
      <c r="DJ1155" s="266"/>
      <c r="DK1155" s="266"/>
      <c r="DL1155" s="266"/>
      <c r="DM1155" s="266"/>
      <c r="DN1155" s="266"/>
      <c r="DO1155" s="266"/>
      <c r="DP1155" s="266"/>
      <c r="DQ1155" s="266"/>
      <c r="DR1155" s="266"/>
      <c r="DS1155" s="266"/>
    </row>
    <row r="1156" spans="11:123">
      <c r="K1156" s="266"/>
      <c r="L1156" s="266"/>
      <c r="M1156" s="266"/>
      <c r="N1156" s="266"/>
      <c r="O1156" s="266"/>
      <c r="P1156" s="266"/>
      <c r="Q1156" s="266"/>
      <c r="BR1156" s="266"/>
      <c r="BS1156" s="266"/>
      <c r="BT1156" s="266"/>
      <c r="BU1156" s="266"/>
      <c r="BV1156" s="266"/>
      <c r="CJ1156" s="266"/>
      <c r="CO1156" s="266"/>
      <c r="CP1156" s="266"/>
      <c r="CQ1156" s="266"/>
      <c r="CR1156" s="266"/>
      <c r="CS1156" s="266"/>
      <c r="CT1156" s="266"/>
      <c r="CU1156" s="266"/>
      <c r="CV1156" s="266"/>
      <c r="CW1156" s="266"/>
      <c r="CX1156" s="266"/>
      <c r="CY1156" s="266"/>
      <c r="CZ1156" s="266"/>
      <c r="DA1156" s="266"/>
      <c r="DB1156" s="266"/>
      <c r="DC1156" s="266"/>
      <c r="DD1156" s="266"/>
      <c r="DE1156" s="266"/>
      <c r="DF1156" s="266"/>
      <c r="DG1156" s="266"/>
      <c r="DH1156" s="266"/>
      <c r="DI1156" s="266"/>
      <c r="DJ1156" s="266"/>
      <c r="DK1156" s="266"/>
      <c r="DL1156" s="266"/>
      <c r="DM1156" s="266"/>
      <c r="DN1156" s="266"/>
      <c r="DO1156" s="266"/>
      <c r="DP1156" s="266"/>
      <c r="DQ1156" s="266"/>
      <c r="DR1156" s="266"/>
      <c r="DS1156" s="266"/>
    </row>
    <row r="1157" spans="11:123">
      <c r="K1157" s="266"/>
      <c r="L1157" s="266"/>
      <c r="M1157" s="266"/>
      <c r="N1157" s="266"/>
      <c r="O1157" s="266"/>
      <c r="P1157" s="266"/>
      <c r="Q1157" s="266"/>
      <c r="BR1157" s="266"/>
      <c r="BS1157" s="266"/>
      <c r="BT1157" s="266"/>
      <c r="BU1157" s="266"/>
      <c r="BV1157" s="266"/>
      <c r="CJ1157" s="266"/>
      <c r="CO1157" s="266"/>
      <c r="CP1157" s="266"/>
      <c r="CQ1157" s="266"/>
      <c r="CR1157" s="266"/>
      <c r="CS1157" s="266"/>
      <c r="CT1157" s="266"/>
      <c r="CU1157" s="266"/>
      <c r="CV1157" s="266"/>
      <c r="CW1157" s="266"/>
      <c r="CX1157" s="266"/>
      <c r="CY1157" s="266"/>
      <c r="CZ1157" s="266"/>
      <c r="DA1157" s="266"/>
      <c r="DB1157" s="266"/>
      <c r="DC1157" s="266"/>
      <c r="DD1157" s="266"/>
      <c r="DE1157" s="266"/>
      <c r="DF1157" s="266"/>
      <c r="DG1157" s="266"/>
      <c r="DH1157" s="266"/>
      <c r="DI1157" s="266"/>
      <c r="DJ1157" s="266"/>
      <c r="DK1157" s="266"/>
      <c r="DL1157" s="266"/>
      <c r="DM1157" s="266"/>
      <c r="DN1157" s="266"/>
      <c r="DO1157" s="266"/>
      <c r="DP1157" s="266"/>
      <c r="DQ1157" s="266"/>
      <c r="DR1157" s="266"/>
      <c r="DS1157" s="266"/>
    </row>
    <row r="1158" spans="11:123">
      <c r="K1158" s="266"/>
      <c r="L1158" s="266"/>
      <c r="M1158" s="266"/>
      <c r="N1158" s="266"/>
      <c r="O1158" s="266"/>
      <c r="P1158" s="266"/>
      <c r="Q1158" s="266"/>
      <c r="BR1158" s="266"/>
      <c r="BS1158" s="266"/>
      <c r="BT1158" s="266"/>
      <c r="BU1158" s="266"/>
      <c r="BV1158" s="266"/>
      <c r="CJ1158" s="266"/>
      <c r="CO1158" s="266"/>
      <c r="CP1158" s="266"/>
      <c r="CQ1158" s="266"/>
      <c r="CR1158" s="266"/>
      <c r="CS1158" s="266"/>
      <c r="CT1158" s="266"/>
      <c r="CU1158" s="266"/>
      <c r="CV1158" s="266"/>
      <c r="CW1158" s="266"/>
      <c r="CX1158" s="266"/>
      <c r="CY1158" s="266"/>
      <c r="CZ1158" s="266"/>
      <c r="DA1158" s="266"/>
      <c r="DB1158" s="266"/>
      <c r="DC1158" s="266"/>
      <c r="DD1158" s="266"/>
      <c r="DE1158" s="266"/>
      <c r="DF1158" s="266"/>
      <c r="DG1158" s="266"/>
      <c r="DH1158" s="266"/>
      <c r="DI1158" s="266"/>
      <c r="DJ1158" s="266"/>
      <c r="DK1158" s="266"/>
      <c r="DL1158" s="266"/>
      <c r="DM1158" s="266"/>
      <c r="DN1158" s="266"/>
      <c r="DO1158" s="266"/>
      <c r="DP1158" s="266"/>
      <c r="DQ1158" s="266"/>
      <c r="DR1158" s="266"/>
      <c r="DS1158" s="266"/>
    </row>
    <row r="1159" spans="11:123">
      <c r="K1159" s="266"/>
      <c r="L1159" s="266"/>
      <c r="M1159" s="266"/>
      <c r="N1159" s="266"/>
      <c r="O1159" s="266"/>
      <c r="P1159" s="266"/>
      <c r="Q1159" s="266"/>
      <c r="BR1159" s="266"/>
      <c r="BS1159" s="266"/>
      <c r="BT1159" s="266"/>
      <c r="BU1159" s="266"/>
      <c r="BV1159" s="266"/>
      <c r="CJ1159" s="266"/>
      <c r="CO1159" s="266"/>
      <c r="CP1159" s="266"/>
      <c r="CQ1159" s="266"/>
      <c r="CR1159" s="266"/>
      <c r="CS1159" s="266"/>
      <c r="CT1159" s="266"/>
      <c r="CU1159" s="266"/>
      <c r="CV1159" s="266"/>
      <c r="CW1159" s="266"/>
      <c r="CX1159" s="266"/>
      <c r="CY1159" s="266"/>
      <c r="CZ1159" s="266"/>
      <c r="DA1159" s="266"/>
      <c r="DB1159" s="266"/>
      <c r="DC1159" s="266"/>
      <c r="DD1159" s="266"/>
      <c r="DE1159" s="266"/>
      <c r="DF1159" s="266"/>
      <c r="DG1159" s="266"/>
      <c r="DH1159" s="266"/>
      <c r="DI1159" s="266"/>
      <c r="DJ1159" s="266"/>
      <c r="DK1159" s="266"/>
      <c r="DL1159" s="266"/>
      <c r="DM1159" s="266"/>
      <c r="DN1159" s="266"/>
      <c r="DO1159" s="266"/>
      <c r="DP1159" s="266"/>
      <c r="DQ1159" s="266"/>
      <c r="DR1159" s="266"/>
      <c r="DS1159" s="266"/>
    </row>
    <row r="1160" spans="11:123">
      <c r="K1160" s="266"/>
      <c r="L1160" s="266"/>
      <c r="M1160" s="266"/>
      <c r="N1160" s="266"/>
      <c r="O1160" s="266"/>
      <c r="P1160" s="266"/>
      <c r="Q1160" s="266"/>
      <c r="BR1160" s="266"/>
      <c r="BS1160" s="266"/>
      <c r="BT1160" s="266"/>
      <c r="BU1160" s="266"/>
      <c r="BV1160" s="266"/>
      <c r="CJ1160" s="266"/>
      <c r="CO1160" s="266"/>
      <c r="CP1160" s="266"/>
      <c r="CQ1160" s="266"/>
      <c r="CR1160" s="266"/>
      <c r="CS1160" s="266"/>
      <c r="CT1160" s="266"/>
      <c r="CU1160" s="266"/>
      <c r="CV1160" s="266"/>
      <c r="CW1160" s="266"/>
      <c r="CX1160" s="266"/>
      <c r="CY1160" s="266"/>
      <c r="CZ1160" s="266"/>
      <c r="DA1160" s="266"/>
      <c r="DB1160" s="266"/>
      <c r="DC1160" s="266"/>
      <c r="DD1160" s="266"/>
      <c r="DE1160" s="266"/>
      <c r="DF1160" s="266"/>
      <c r="DG1160" s="266"/>
      <c r="DH1160" s="266"/>
      <c r="DI1160" s="266"/>
      <c r="DJ1160" s="266"/>
      <c r="DK1160" s="266"/>
      <c r="DL1160" s="266"/>
      <c r="DM1160" s="266"/>
      <c r="DN1160" s="266"/>
      <c r="DO1160" s="266"/>
      <c r="DP1160" s="266"/>
      <c r="DQ1160" s="266"/>
      <c r="DR1160" s="266"/>
      <c r="DS1160" s="266"/>
    </row>
    <row r="1161" spans="11:123">
      <c r="K1161" s="266"/>
      <c r="L1161" s="266"/>
      <c r="M1161" s="266"/>
      <c r="N1161" s="266"/>
      <c r="O1161" s="266"/>
      <c r="P1161" s="266"/>
      <c r="Q1161" s="266"/>
      <c r="BR1161" s="266"/>
      <c r="BS1161" s="266"/>
      <c r="BT1161" s="266"/>
      <c r="BU1161" s="266"/>
      <c r="BV1161" s="266"/>
      <c r="CJ1161" s="266"/>
      <c r="CO1161" s="266"/>
      <c r="CP1161" s="266"/>
      <c r="CQ1161" s="266"/>
      <c r="CR1161" s="266"/>
      <c r="CS1161" s="266"/>
      <c r="CT1161" s="266"/>
      <c r="CU1161" s="266"/>
      <c r="CV1161" s="266"/>
      <c r="CW1161" s="266"/>
      <c r="CX1161" s="266"/>
      <c r="CY1161" s="266"/>
      <c r="CZ1161" s="266"/>
      <c r="DA1161" s="266"/>
      <c r="DB1161" s="266"/>
      <c r="DC1161" s="266"/>
      <c r="DD1161" s="266"/>
      <c r="DE1161" s="266"/>
      <c r="DF1161" s="266"/>
      <c r="DG1161" s="266"/>
      <c r="DH1161" s="266"/>
      <c r="DI1161" s="266"/>
      <c r="DJ1161" s="266"/>
      <c r="DK1161" s="266"/>
      <c r="DL1161" s="266"/>
      <c r="DM1161" s="266"/>
      <c r="DN1161" s="266"/>
      <c r="DO1161" s="266"/>
      <c r="DP1161" s="266"/>
      <c r="DQ1161" s="266"/>
      <c r="DR1161" s="266"/>
      <c r="DS1161" s="266"/>
    </row>
    <row r="1162" spans="11:123">
      <c r="K1162" s="266"/>
      <c r="L1162" s="266"/>
      <c r="M1162" s="266"/>
      <c r="N1162" s="266"/>
      <c r="O1162" s="266"/>
      <c r="P1162" s="266"/>
      <c r="Q1162" s="266"/>
      <c r="BR1162" s="266"/>
      <c r="BS1162" s="266"/>
      <c r="BT1162" s="266"/>
      <c r="BU1162" s="266"/>
      <c r="BV1162" s="266"/>
      <c r="CJ1162" s="266"/>
      <c r="CO1162" s="266"/>
      <c r="CP1162" s="266"/>
      <c r="CQ1162" s="266"/>
      <c r="CR1162" s="266"/>
      <c r="CS1162" s="266"/>
      <c r="CT1162" s="266"/>
      <c r="CU1162" s="266"/>
      <c r="CV1162" s="266"/>
      <c r="CW1162" s="266"/>
      <c r="CX1162" s="266"/>
      <c r="CY1162" s="266"/>
      <c r="CZ1162" s="266"/>
      <c r="DA1162" s="266"/>
      <c r="DB1162" s="266"/>
      <c r="DC1162" s="266"/>
      <c r="DD1162" s="266"/>
      <c r="DE1162" s="266"/>
      <c r="DF1162" s="266"/>
      <c r="DG1162" s="266"/>
      <c r="DH1162" s="266"/>
      <c r="DI1162" s="266"/>
      <c r="DJ1162" s="266"/>
      <c r="DK1162" s="266"/>
      <c r="DL1162" s="266"/>
      <c r="DM1162" s="266"/>
      <c r="DN1162" s="266"/>
      <c r="DO1162" s="266"/>
      <c r="DP1162" s="266"/>
      <c r="DQ1162" s="266"/>
      <c r="DR1162" s="266"/>
      <c r="DS1162" s="266"/>
    </row>
    <row r="1163" spans="11:123">
      <c r="K1163" s="266"/>
      <c r="L1163" s="266"/>
      <c r="M1163" s="266"/>
      <c r="N1163" s="266"/>
      <c r="O1163" s="266"/>
      <c r="P1163" s="266"/>
      <c r="Q1163" s="266"/>
      <c r="BR1163" s="266"/>
      <c r="BS1163" s="266"/>
      <c r="BT1163" s="266"/>
      <c r="BU1163" s="266"/>
      <c r="BV1163" s="266"/>
      <c r="CJ1163" s="266"/>
      <c r="CO1163" s="266"/>
      <c r="CP1163" s="266"/>
      <c r="CQ1163" s="266"/>
      <c r="CR1163" s="266"/>
      <c r="CS1163" s="266"/>
      <c r="CT1163" s="266"/>
      <c r="CU1163" s="266"/>
      <c r="CV1163" s="266"/>
      <c r="CW1163" s="266"/>
      <c r="CX1163" s="266"/>
      <c r="CY1163" s="266"/>
      <c r="CZ1163" s="266"/>
      <c r="DA1163" s="266"/>
      <c r="DB1163" s="266"/>
      <c r="DC1163" s="266"/>
      <c r="DD1163" s="266"/>
      <c r="DE1163" s="266"/>
      <c r="DF1163" s="266"/>
      <c r="DG1163" s="266"/>
      <c r="DH1163" s="266"/>
      <c r="DI1163" s="266"/>
      <c r="DJ1163" s="266"/>
      <c r="DK1163" s="266"/>
      <c r="DL1163" s="266"/>
      <c r="DM1163" s="266"/>
      <c r="DN1163" s="266"/>
      <c r="DO1163" s="266"/>
      <c r="DP1163" s="266"/>
      <c r="DQ1163" s="266"/>
      <c r="DR1163" s="266"/>
      <c r="DS1163" s="266"/>
    </row>
    <row r="1164" spans="11:123">
      <c r="K1164" s="266"/>
      <c r="L1164" s="266"/>
      <c r="M1164" s="266"/>
      <c r="N1164" s="266"/>
      <c r="O1164" s="266"/>
      <c r="P1164" s="266"/>
      <c r="Q1164" s="266"/>
      <c r="BR1164" s="266"/>
      <c r="BS1164" s="266"/>
      <c r="BT1164" s="266"/>
      <c r="BU1164" s="266"/>
      <c r="BV1164" s="266"/>
      <c r="CJ1164" s="266"/>
      <c r="CO1164" s="266"/>
      <c r="CP1164" s="266"/>
      <c r="CQ1164" s="266"/>
      <c r="CR1164" s="266"/>
      <c r="CS1164" s="266"/>
      <c r="CT1164" s="266"/>
      <c r="CU1164" s="266"/>
      <c r="CV1164" s="266"/>
      <c r="CW1164" s="266"/>
      <c r="CX1164" s="266"/>
      <c r="CY1164" s="266"/>
      <c r="CZ1164" s="266"/>
      <c r="DA1164" s="266"/>
      <c r="DB1164" s="266"/>
      <c r="DC1164" s="266"/>
      <c r="DD1164" s="266"/>
      <c r="DE1164" s="266"/>
      <c r="DF1164" s="266"/>
      <c r="DG1164" s="266"/>
      <c r="DH1164" s="266"/>
      <c r="DI1164" s="266"/>
      <c r="DJ1164" s="266"/>
      <c r="DK1164" s="266"/>
      <c r="DL1164" s="266"/>
      <c r="DM1164" s="266"/>
      <c r="DN1164" s="266"/>
      <c r="DO1164" s="266"/>
      <c r="DP1164" s="266"/>
      <c r="DQ1164" s="266"/>
      <c r="DR1164" s="266"/>
      <c r="DS1164" s="266"/>
    </row>
    <row r="1165" spans="11:123">
      <c r="K1165" s="266"/>
      <c r="L1165" s="266"/>
      <c r="M1165" s="266"/>
      <c r="N1165" s="266"/>
      <c r="O1165" s="266"/>
      <c r="P1165" s="266"/>
      <c r="Q1165" s="266"/>
      <c r="BR1165" s="266"/>
      <c r="BS1165" s="266"/>
      <c r="BT1165" s="266"/>
      <c r="BU1165" s="266"/>
      <c r="BV1165" s="266"/>
      <c r="CJ1165" s="266"/>
      <c r="CO1165" s="266"/>
      <c r="CP1165" s="266"/>
      <c r="CQ1165" s="266"/>
      <c r="CR1165" s="266"/>
      <c r="CS1165" s="266"/>
      <c r="CT1165" s="266"/>
      <c r="CU1165" s="266"/>
      <c r="CV1165" s="266"/>
      <c r="CW1165" s="266"/>
      <c r="CX1165" s="266"/>
      <c r="CY1165" s="266"/>
      <c r="CZ1165" s="266"/>
      <c r="DA1165" s="266"/>
      <c r="DB1165" s="266"/>
      <c r="DC1165" s="266"/>
      <c r="DD1165" s="266"/>
      <c r="DE1165" s="266"/>
      <c r="DF1165" s="266"/>
      <c r="DG1165" s="266"/>
      <c r="DH1165" s="266"/>
      <c r="DI1165" s="266"/>
      <c r="DJ1165" s="266"/>
      <c r="DK1165" s="266"/>
      <c r="DL1165" s="266"/>
      <c r="DM1165" s="266"/>
      <c r="DN1165" s="266"/>
      <c r="DO1165" s="266"/>
      <c r="DP1165" s="266"/>
      <c r="DQ1165" s="266"/>
      <c r="DR1165" s="266"/>
      <c r="DS1165" s="266"/>
    </row>
    <row r="1166" spans="11:123">
      <c r="K1166" s="266"/>
      <c r="L1166" s="266"/>
      <c r="M1166" s="266"/>
      <c r="N1166" s="266"/>
      <c r="O1166" s="266"/>
      <c r="P1166" s="266"/>
      <c r="Q1166" s="266"/>
      <c r="BR1166" s="266"/>
      <c r="BS1166" s="266"/>
      <c r="BT1166" s="266"/>
      <c r="BU1166" s="266"/>
      <c r="BV1166" s="266"/>
      <c r="CJ1166" s="266"/>
      <c r="CO1166" s="266"/>
      <c r="CP1166" s="266"/>
      <c r="CQ1166" s="266"/>
      <c r="CR1166" s="266"/>
      <c r="CS1166" s="266"/>
      <c r="CT1166" s="266"/>
      <c r="CU1166" s="266"/>
      <c r="CV1166" s="266"/>
      <c r="CW1166" s="266"/>
      <c r="CX1166" s="266"/>
      <c r="CY1166" s="266"/>
      <c r="CZ1166" s="266"/>
      <c r="DA1166" s="266"/>
      <c r="DB1166" s="266"/>
      <c r="DC1166" s="266"/>
      <c r="DD1166" s="266"/>
      <c r="DE1166" s="266"/>
      <c r="DF1166" s="266"/>
      <c r="DG1166" s="266"/>
      <c r="DH1166" s="266"/>
      <c r="DI1166" s="266"/>
      <c r="DJ1166" s="266"/>
      <c r="DK1166" s="266"/>
      <c r="DL1166" s="266"/>
      <c r="DM1166" s="266"/>
      <c r="DN1166" s="266"/>
      <c r="DO1166" s="266"/>
      <c r="DP1166" s="266"/>
      <c r="DQ1166" s="266"/>
      <c r="DR1166" s="266"/>
      <c r="DS1166" s="266"/>
    </row>
    <row r="1167" spans="11:123">
      <c r="K1167" s="266"/>
      <c r="L1167" s="266"/>
      <c r="M1167" s="266"/>
      <c r="N1167" s="266"/>
      <c r="O1167" s="266"/>
      <c r="P1167" s="266"/>
      <c r="Q1167" s="266"/>
      <c r="BR1167" s="266"/>
      <c r="BS1167" s="266"/>
      <c r="BT1167" s="266"/>
      <c r="BU1167" s="266"/>
      <c r="BV1167" s="266"/>
      <c r="CJ1167" s="266"/>
      <c r="CO1167" s="266"/>
      <c r="CP1167" s="266"/>
      <c r="CQ1167" s="266"/>
      <c r="CR1167" s="266"/>
      <c r="CS1167" s="266"/>
      <c r="CT1167" s="266"/>
      <c r="CU1167" s="266"/>
      <c r="CV1167" s="266"/>
      <c r="CW1167" s="266"/>
      <c r="CX1167" s="266"/>
      <c r="CY1167" s="266"/>
      <c r="CZ1167" s="266"/>
      <c r="DA1167" s="266"/>
      <c r="DB1167" s="266"/>
      <c r="DC1167" s="266"/>
      <c r="DD1167" s="266"/>
      <c r="DE1167" s="266"/>
      <c r="DF1167" s="266"/>
      <c r="DG1167" s="266"/>
      <c r="DH1167" s="266"/>
      <c r="DI1167" s="266"/>
      <c r="DJ1167" s="266"/>
      <c r="DK1167" s="266"/>
      <c r="DL1167" s="266"/>
      <c r="DM1167" s="266"/>
      <c r="DN1167" s="266"/>
      <c r="DO1167" s="266"/>
      <c r="DP1167" s="266"/>
      <c r="DQ1167" s="266"/>
      <c r="DR1167" s="266"/>
      <c r="DS1167" s="266"/>
    </row>
    <row r="1168" spans="11:123">
      <c r="K1168" s="266"/>
      <c r="L1168" s="266"/>
      <c r="M1168" s="266"/>
      <c r="N1168" s="266"/>
      <c r="O1168" s="266"/>
      <c r="P1168" s="266"/>
      <c r="Q1168" s="266"/>
      <c r="BR1168" s="266"/>
      <c r="BS1168" s="266"/>
      <c r="BT1168" s="266"/>
      <c r="BU1168" s="266"/>
      <c r="BV1168" s="266"/>
      <c r="CJ1168" s="266"/>
      <c r="CO1168" s="266"/>
      <c r="CP1168" s="266"/>
      <c r="CQ1168" s="266"/>
      <c r="CR1168" s="266"/>
      <c r="CS1168" s="266"/>
      <c r="CT1168" s="266"/>
      <c r="CU1168" s="266"/>
      <c r="CV1168" s="266"/>
      <c r="CW1168" s="266"/>
      <c r="CX1168" s="266"/>
      <c r="CY1168" s="266"/>
      <c r="CZ1168" s="266"/>
      <c r="DA1168" s="266"/>
      <c r="DB1168" s="266"/>
      <c r="DC1168" s="266"/>
      <c r="DD1168" s="266"/>
      <c r="DE1168" s="266"/>
      <c r="DF1168" s="266"/>
      <c r="DG1168" s="266"/>
      <c r="DH1168" s="266"/>
      <c r="DI1168" s="266"/>
      <c r="DJ1168" s="266"/>
      <c r="DK1168" s="266"/>
      <c r="DL1168" s="266"/>
      <c r="DM1168" s="266"/>
      <c r="DN1168" s="266"/>
      <c r="DO1168" s="266"/>
      <c r="DP1168" s="266"/>
      <c r="DQ1168" s="266"/>
      <c r="DR1168" s="266"/>
      <c r="DS1168" s="266"/>
    </row>
    <row r="1169" spans="11:123">
      <c r="K1169" s="266"/>
      <c r="L1169" s="266"/>
      <c r="M1169" s="266"/>
      <c r="N1169" s="266"/>
      <c r="O1169" s="266"/>
      <c r="P1169" s="266"/>
      <c r="Q1169" s="266"/>
      <c r="BR1169" s="266"/>
      <c r="BS1169" s="266"/>
      <c r="BT1169" s="266"/>
      <c r="BU1169" s="266"/>
      <c r="BV1169" s="266"/>
      <c r="CJ1169" s="266"/>
      <c r="CO1169" s="266"/>
      <c r="CP1169" s="266"/>
      <c r="CQ1169" s="266"/>
      <c r="CR1169" s="266"/>
      <c r="CS1169" s="266"/>
      <c r="CT1169" s="266"/>
      <c r="CU1169" s="266"/>
      <c r="CV1169" s="266"/>
      <c r="CW1169" s="266"/>
      <c r="CX1169" s="266"/>
      <c r="CY1169" s="266"/>
      <c r="CZ1169" s="266"/>
      <c r="DA1169" s="266"/>
      <c r="DB1169" s="266"/>
      <c r="DC1169" s="266"/>
      <c r="DD1169" s="266"/>
      <c r="DE1169" s="266"/>
      <c r="DF1169" s="266"/>
      <c r="DG1169" s="266"/>
      <c r="DH1169" s="266"/>
      <c r="DI1169" s="266"/>
      <c r="DJ1169" s="266"/>
      <c r="DK1169" s="266"/>
      <c r="DL1169" s="266"/>
      <c r="DM1169" s="266"/>
      <c r="DN1169" s="266"/>
      <c r="DO1169" s="266"/>
      <c r="DP1169" s="266"/>
      <c r="DQ1169" s="266"/>
      <c r="DR1169" s="266"/>
      <c r="DS1169" s="266"/>
    </row>
    <row r="1170" spans="11:123">
      <c r="K1170" s="266"/>
      <c r="L1170" s="266"/>
      <c r="M1170" s="266"/>
      <c r="N1170" s="266"/>
      <c r="O1170" s="266"/>
      <c r="P1170" s="266"/>
      <c r="Q1170" s="266"/>
      <c r="BR1170" s="266"/>
      <c r="BS1170" s="266"/>
      <c r="BT1170" s="266"/>
      <c r="BU1170" s="266"/>
      <c r="BV1170" s="266"/>
      <c r="CJ1170" s="266"/>
      <c r="CO1170" s="266"/>
      <c r="CP1170" s="266"/>
      <c r="CQ1170" s="266"/>
      <c r="CR1170" s="266"/>
      <c r="CS1170" s="266"/>
      <c r="CT1170" s="266"/>
      <c r="CU1170" s="266"/>
      <c r="CV1170" s="266"/>
      <c r="CW1170" s="266"/>
      <c r="CX1170" s="266"/>
      <c r="CY1170" s="266"/>
      <c r="CZ1170" s="266"/>
      <c r="DA1170" s="266"/>
      <c r="DB1170" s="266"/>
      <c r="DC1170" s="266"/>
      <c r="DD1170" s="266"/>
      <c r="DE1170" s="266"/>
      <c r="DF1170" s="266"/>
      <c r="DG1170" s="266"/>
      <c r="DH1170" s="266"/>
      <c r="DI1170" s="266"/>
      <c r="DJ1170" s="266"/>
      <c r="DK1170" s="266"/>
      <c r="DL1170" s="266"/>
      <c r="DM1170" s="266"/>
      <c r="DN1170" s="266"/>
      <c r="DO1170" s="266"/>
      <c r="DP1170" s="266"/>
      <c r="DQ1170" s="266"/>
      <c r="DR1170" s="266"/>
      <c r="DS1170" s="266"/>
    </row>
    <row r="1171" spans="11:123">
      <c r="K1171" s="266"/>
      <c r="L1171" s="266"/>
      <c r="M1171" s="266"/>
      <c r="N1171" s="266"/>
      <c r="O1171" s="266"/>
      <c r="P1171" s="266"/>
      <c r="Q1171" s="266"/>
      <c r="BR1171" s="266"/>
      <c r="BS1171" s="266"/>
      <c r="BT1171" s="266"/>
      <c r="BU1171" s="266"/>
      <c r="BV1171" s="266"/>
      <c r="CJ1171" s="266"/>
      <c r="CO1171" s="266"/>
      <c r="CP1171" s="266"/>
      <c r="CQ1171" s="266"/>
      <c r="CR1171" s="266"/>
      <c r="CS1171" s="266"/>
      <c r="CT1171" s="266"/>
      <c r="CU1171" s="266"/>
      <c r="CV1171" s="266"/>
      <c r="CW1171" s="266"/>
      <c r="CX1171" s="266"/>
      <c r="CY1171" s="266"/>
      <c r="CZ1171" s="266"/>
      <c r="DA1171" s="266"/>
      <c r="DB1171" s="266"/>
      <c r="DC1171" s="266"/>
      <c r="DD1171" s="266"/>
      <c r="DE1171" s="266"/>
      <c r="DF1171" s="266"/>
      <c r="DG1171" s="266"/>
      <c r="DH1171" s="266"/>
      <c r="DI1171" s="266"/>
      <c r="DJ1171" s="266"/>
      <c r="DK1171" s="266"/>
      <c r="DL1171" s="266"/>
      <c r="DM1171" s="266"/>
      <c r="DN1171" s="266"/>
      <c r="DO1171" s="266"/>
      <c r="DP1171" s="266"/>
      <c r="DQ1171" s="266"/>
      <c r="DR1171" s="266"/>
      <c r="DS1171" s="266"/>
    </row>
    <row r="1172" spans="11:123">
      <c r="K1172" s="266"/>
      <c r="L1172" s="266"/>
      <c r="M1172" s="266"/>
      <c r="N1172" s="266"/>
      <c r="O1172" s="266"/>
      <c r="P1172" s="266"/>
      <c r="Q1172" s="266"/>
      <c r="BR1172" s="266"/>
      <c r="BS1172" s="266"/>
      <c r="BT1172" s="266"/>
      <c r="BU1172" s="266"/>
      <c r="BV1172" s="266"/>
      <c r="CJ1172" s="266"/>
      <c r="CO1172" s="266"/>
      <c r="CP1172" s="266"/>
      <c r="CQ1172" s="266"/>
      <c r="CR1172" s="266"/>
      <c r="CS1172" s="266"/>
      <c r="CT1172" s="266"/>
      <c r="CU1172" s="266"/>
      <c r="CV1172" s="266"/>
      <c r="CW1172" s="266"/>
      <c r="CX1172" s="266"/>
      <c r="CY1172" s="266"/>
      <c r="CZ1172" s="266"/>
      <c r="DA1172" s="266"/>
      <c r="DB1172" s="266"/>
      <c r="DC1172" s="266"/>
      <c r="DD1172" s="266"/>
      <c r="DE1172" s="266"/>
      <c r="DF1172" s="266"/>
      <c r="DG1172" s="266"/>
      <c r="DH1172" s="266"/>
      <c r="DI1172" s="266"/>
      <c r="DJ1172" s="266"/>
      <c r="DK1172" s="266"/>
      <c r="DL1172" s="266"/>
      <c r="DM1172" s="266"/>
      <c r="DN1172" s="266"/>
      <c r="DO1172" s="266"/>
      <c r="DP1172" s="266"/>
      <c r="DQ1172" s="266"/>
      <c r="DR1172" s="266"/>
      <c r="DS1172" s="266"/>
    </row>
    <row r="1173" spans="11:123">
      <c r="K1173" s="266"/>
      <c r="L1173" s="266"/>
      <c r="M1173" s="266"/>
      <c r="N1173" s="266"/>
      <c r="O1173" s="266"/>
      <c r="P1173" s="266"/>
      <c r="Q1173" s="266"/>
      <c r="BR1173" s="266"/>
      <c r="BS1173" s="266"/>
      <c r="BT1173" s="266"/>
      <c r="BU1173" s="266"/>
      <c r="BV1173" s="266"/>
      <c r="CJ1173" s="266"/>
      <c r="CO1173" s="266"/>
      <c r="CP1173" s="266"/>
      <c r="CQ1173" s="266"/>
      <c r="CR1173" s="266"/>
      <c r="CS1173" s="266"/>
      <c r="CT1173" s="266"/>
      <c r="CU1173" s="266"/>
      <c r="CV1173" s="266"/>
      <c r="CW1173" s="266"/>
      <c r="CX1173" s="266"/>
      <c r="CY1173" s="266"/>
      <c r="CZ1173" s="266"/>
      <c r="DA1173" s="266"/>
      <c r="DB1173" s="266"/>
      <c r="DC1173" s="266"/>
      <c r="DD1173" s="266"/>
      <c r="DE1173" s="266"/>
      <c r="DF1173" s="266"/>
      <c r="DG1173" s="266"/>
      <c r="DH1173" s="266"/>
      <c r="DI1173" s="266"/>
      <c r="DJ1173" s="266"/>
      <c r="DK1173" s="266"/>
      <c r="DL1173" s="266"/>
      <c r="DM1173" s="266"/>
      <c r="DN1173" s="266"/>
      <c r="DO1173" s="266"/>
      <c r="DP1173" s="266"/>
      <c r="DQ1173" s="266"/>
      <c r="DR1173" s="266"/>
      <c r="DS1173" s="266"/>
    </row>
    <row r="1174" spans="11:123">
      <c r="K1174" s="266"/>
      <c r="L1174" s="266"/>
      <c r="M1174" s="266"/>
      <c r="N1174" s="266"/>
      <c r="O1174" s="266"/>
      <c r="P1174" s="266"/>
      <c r="Q1174" s="266"/>
      <c r="BR1174" s="266"/>
      <c r="BS1174" s="266"/>
      <c r="BT1174" s="266"/>
      <c r="BU1174" s="266"/>
      <c r="BV1174" s="266"/>
      <c r="CJ1174" s="266"/>
      <c r="CO1174" s="266"/>
      <c r="CP1174" s="266"/>
      <c r="CQ1174" s="266"/>
      <c r="CR1174" s="266"/>
      <c r="CS1174" s="266"/>
      <c r="CT1174" s="266"/>
      <c r="CU1174" s="266"/>
      <c r="CV1174" s="266"/>
      <c r="CW1174" s="266"/>
      <c r="CX1174" s="266"/>
      <c r="CY1174" s="266"/>
      <c r="CZ1174" s="266"/>
      <c r="DA1174" s="266"/>
      <c r="DB1174" s="266"/>
      <c r="DC1174" s="266"/>
      <c r="DD1174" s="266"/>
      <c r="DE1174" s="266"/>
      <c r="DF1174" s="266"/>
      <c r="DG1174" s="266"/>
      <c r="DH1174" s="266"/>
      <c r="DI1174" s="266"/>
      <c r="DJ1174" s="266"/>
      <c r="DK1174" s="266"/>
      <c r="DL1174" s="266"/>
      <c r="DM1174" s="266"/>
      <c r="DN1174" s="266"/>
      <c r="DO1174" s="266"/>
      <c r="DP1174" s="266"/>
      <c r="DQ1174" s="266"/>
      <c r="DR1174" s="266"/>
      <c r="DS1174" s="266"/>
    </row>
    <row r="1175" spans="11:123">
      <c r="K1175" s="266"/>
      <c r="L1175" s="266"/>
      <c r="M1175" s="266"/>
      <c r="N1175" s="266"/>
      <c r="O1175" s="266"/>
      <c r="P1175" s="266"/>
      <c r="Q1175" s="266"/>
      <c r="BR1175" s="266"/>
      <c r="BS1175" s="266"/>
      <c r="BT1175" s="266"/>
      <c r="BU1175" s="266"/>
      <c r="BV1175" s="266"/>
      <c r="CJ1175" s="266"/>
      <c r="CO1175" s="266"/>
      <c r="CP1175" s="266"/>
      <c r="CQ1175" s="266"/>
      <c r="CR1175" s="266"/>
      <c r="CS1175" s="266"/>
      <c r="CT1175" s="266"/>
      <c r="CU1175" s="266"/>
      <c r="CV1175" s="266"/>
      <c r="CW1175" s="266"/>
      <c r="CX1175" s="266"/>
      <c r="CY1175" s="266"/>
      <c r="CZ1175" s="266"/>
      <c r="DA1175" s="266"/>
      <c r="DB1175" s="266"/>
      <c r="DC1175" s="266"/>
      <c r="DD1175" s="266"/>
      <c r="DE1175" s="266"/>
      <c r="DF1175" s="266"/>
      <c r="DG1175" s="266"/>
      <c r="DH1175" s="266"/>
      <c r="DI1175" s="266"/>
      <c r="DJ1175" s="266"/>
      <c r="DK1175" s="266"/>
      <c r="DL1175" s="266"/>
      <c r="DM1175" s="266"/>
      <c r="DN1175" s="266"/>
      <c r="DO1175" s="266"/>
      <c r="DP1175" s="266"/>
      <c r="DQ1175" s="266"/>
      <c r="DR1175" s="266"/>
      <c r="DS1175" s="266"/>
    </row>
    <row r="1176" spans="11:123">
      <c r="L1176" s="266"/>
      <c r="M1176" s="266"/>
      <c r="N1176" s="266"/>
      <c r="O1176" s="266"/>
      <c r="P1176" s="266"/>
      <c r="Q1176" s="266"/>
      <c r="BR1176" s="266"/>
      <c r="BS1176" s="266"/>
      <c r="BT1176" s="266"/>
      <c r="BU1176" s="266"/>
      <c r="BV1176" s="266"/>
    </row>
    <row r="1177" spans="11:123">
      <c r="L1177" s="266"/>
      <c r="M1177" s="266"/>
      <c r="N1177" s="266"/>
      <c r="O1177" s="266"/>
      <c r="P1177" s="266"/>
      <c r="Q1177" s="266"/>
      <c r="BR1177" s="266"/>
      <c r="BS1177" s="266"/>
      <c r="BT1177" s="266"/>
      <c r="BU1177" s="266"/>
      <c r="BV1177" s="266"/>
    </row>
    <row r="1178" spans="11:123">
      <c r="L1178" s="266"/>
      <c r="M1178" s="266"/>
      <c r="N1178" s="266"/>
      <c r="O1178" s="266"/>
      <c r="P1178" s="266"/>
      <c r="Q1178" s="266"/>
      <c r="BR1178" s="266"/>
      <c r="BS1178" s="266"/>
      <c r="BT1178" s="266"/>
      <c r="BU1178" s="266"/>
      <c r="BV1178" s="266"/>
    </row>
    <row r="1179" spans="11:123">
      <c r="L1179" s="266"/>
      <c r="M1179" s="266"/>
      <c r="N1179" s="266"/>
      <c r="O1179" s="266"/>
      <c r="P1179" s="266"/>
      <c r="Q1179" s="266"/>
      <c r="BR1179" s="266"/>
      <c r="BS1179" s="266"/>
      <c r="BT1179" s="266"/>
      <c r="BU1179" s="266"/>
      <c r="BV1179" s="266"/>
    </row>
    <row r="1180" spans="11:123">
      <c r="L1180" s="266"/>
      <c r="M1180" s="266"/>
      <c r="N1180" s="266"/>
      <c r="O1180" s="266"/>
      <c r="P1180" s="266"/>
      <c r="Q1180" s="266"/>
      <c r="BR1180" s="266"/>
      <c r="BS1180" s="266"/>
      <c r="BT1180" s="266"/>
      <c r="BU1180" s="266"/>
      <c r="BV1180" s="266"/>
    </row>
    <row r="1181" spans="11:123">
      <c r="L1181" s="266"/>
      <c r="M1181" s="266"/>
      <c r="N1181" s="266"/>
      <c r="O1181" s="266"/>
      <c r="P1181" s="266"/>
      <c r="Q1181" s="266"/>
      <c r="BR1181" s="266"/>
      <c r="BS1181" s="266"/>
      <c r="BT1181" s="266"/>
      <c r="BU1181" s="266"/>
      <c r="BV1181" s="266"/>
    </row>
    <row r="1182" spans="11:123">
      <c r="L1182" s="266"/>
      <c r="M1182" s="266"/>
      <c r="N1182" s="266"/>
      <c r="O1182" s="266"/>
      <c r="P1182" s="266"/>
      <c r="Q1182" s="266"/>
      <c r="BR1182" s="266"/>
      <c r="BS1182" s="266"/>
      <c r="BT1182" s="266"/>
      <c r="BU1182" s="266"/>
      <c r="BV1182" s="266"/>
    </row>
    <row r="1183" spans="11:123">
      <c r="L1183" s="266"/>
      <c r="M1183" s="266"/>
      <c r="N1183" s="266"/>
      <c r="O1183" s="266"/>
      <c r="P1183" s="266"/>
      <c r="Q1183" s="266"/>
      <c r="BR1183" s="266"/>
      <c r="BS1183" s="266"/>
      <c r="BT1183" s="266"/>
      <c r="BU1183" s="266"/>
      <c r="BV1183" s="266"/>
    </row>
    <row r="1184" spans="11:123">
      <c r="L1184" s="266"/>
      <c r="M1184" s="266"/>
      <c r="N1184" s="266"/>
      <c r="O1184" s="266"/>
      <c r="P1184" s="266"/>
      <c r="Q1184" s="266"/>
      <c r="BR1184" s="266"/>
      <c r="BS1184" s="266"/>
      <c r="BT1184" s="266"/>
      <c r="BU1184" s="266"/>
      <c r="BV1184" s="266"/>
    </row>
    <row r="1185" spans="12:74"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</row>
    <row r="1186" spans="12:74"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</row>
    <row r="1187" spans="12:74"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</row>
    <row r="1188" spans="12:74"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</row>
    <row r="1189" spans="12:74"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</row>
    <row r="1190" spans="12:74"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</row>
    <row r="1191" spans="12:74"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</row>
    <row r="1192" spans="12:74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2:74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2:74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2:74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2:74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2:74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2:74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2:74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2:74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4"/>
  <sheetViews>
    <sheetView showGridLines="0" topLeftCell="A19" zoomScale="95" zoomScaleNormal="95" workbookViewId="0">
      <selection activeCell="D30" sqref="D30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39" t="s">
        <v>1155</v>
      </c>
      <c r="C1" s="1136"/>
      <c r="D1" s="1040"/>
      <c r="E1" s="1040"/>
      <c r="F1" s="1249" t="s">
        <v>948</v>
      </c>
      <c r="G1" s="1250">
        <f ca="1">LnkTXTIRTEco</f>
        <v>6.4299999999999996E-2</v>
      </c>
    </row>
    <row r="2" spans="2:18" ht="23.25" customHeight="1">
      <c r="B2" s="138" t="str">
        <f>CAPA!C9</f>
        <v>Celetro</v>
      </c>
      <c r="C2" s="70"/>
      <c r="D2" s="70"/>
      <c r="E2" s="70"/>
      <c r="F2" s="121" t="s">
        <v>952</v>
      </c>
      <c r="G2" s="122">
        <f ca="1">LnkTXTIRTTotal</f>
        <v>-0.2445</v>
      </c>
    </row>
    <row r="3" spans="2:18" ht="16.5">
      <c r="B3" s="71" t="s">
        <v>758</v>
      </c>
      <c r="K3" s="71" t="s">
        <v>1156</v>
      </c>
      <c r="O3" s="9" t="s">
        <v>1157</v>
      </c>
    </row>
    <row r="4" spans="2:18">
      <c r="B4" s="1297" t="s">
        <v>852</v>
      </c>
      <c r="C4" s="1297" t="s">
        <v>770</v>
      </c>
      <c r="K4" s="1297" t="s">
        <v>970</v>
      </c>
      <c r="L4" s="1297" t="s">
        <v>973</v>
      </c>
      <c r="O4" s="68" t="s">
        <v>1158</v>
      </c>
    </row>
    <row r="5" spans="2:18">
      <c r="B5" s="1298" t="s">
        <v>1159</v>
      </c>
      <c r="C5" s="1299">
        <f ca="1">SUM(C6,C9)</f>
        <v>101943.65023000003</v>
      </c>
      <c r="K5" s="68" t="s">
        <v>855</v>
      </c>
      <c r="L5" s="141">
        <f ca="1">FornecimentoE</f>
        <v>92055.148000000016</v>
      </c>
      <c r="O5" s="68" t="s">
        <v>1160</v>
      </c>
    </row>
    <row r="6" spans="2:18">
      <c r="B6" s="1300" t="s">
        <v>1161</v>
      </c>
      <c r="C6" s="1301">
        <f ca="1">SUM(C7:C8)</f>
        <v>92055.148000000016</v>
      </c>
      <c r="E6" s="1615">
        <f ca="1">C23/LnkTXTEV-1</f>
        <v>0.10741932900917184</v>
      </c>
      <c r="K6" s="68" t="s">
        <v>864</v>
      </c>
      <c r="L6" s="141">
        <f ca="1">DSUM(MercadoBase,"TUSD_E",INDIRECT("Mercado_Criterio"&amp;Calc_Mercado!B17))</f>
        <v>0</v>
      </c>
      <c r="O6" s="68" t="s">
        <v>1162</v>
      </c>
    </row>
    <row r="7" spans="2:18">
      <c r="B7" s="145" t="s">
        <v>855</v>
      </c>
      <c r="C7" s="146">
        <f ca="1">L5</f>
        <v>92055.148000000016</v>
      </c>
      <c r="K7" s="68" t="s">
        <v>1163</v>
      </c>
      <c r="L7" s="141">
        <f ca="1">LivreE</f>
        <v>296.577</v>
      </c>
      <c r="O7" s="68" t="s">
        <v>1164</v>
      </c>
    </row>
    <row r="8" spans="2:18">
      <c r="B8" s="145" t="s">
        <v>864</v>
      </c>
      <c r="C8" s="146">
        <f ca="1">L6</f>
        <v>0</v>
      </c>
      <c r="K8" s="68" t="s">
        <v>953</v>
      </c>
      <c r="L8" s="141">
        <f ca="1">LivreE_A1</f>
        <v>0</v>
      </c>
      <c r="O8" s="68" t="s">
        <v>1165</v>
      </c>
    </row>
    <row r="9" spans="2:18">
      <c r="B9" s="1300" t="s">
        <v>1166</v>
      </c>
      <c r="C9" s="1301">
        <f ca="1">SUM(C10:C12)</f>
        <v>9888.5022300000128</v>
      </c>
      <c r="K9" s="824" t="s">
        <v>1167</v>
      </c>
      <c r="L9" s="1302">
        <f ca="1">FornecimentoE_BT</f>
        <v>76676.367000000013</v>
      </c>
      <c r="O9" s="68" t="s">
        <v>1168</v>
      </c>
    </row>
    <row r="10" spans="2:18">
      <c r="B10" s="145" t="s">
        <v>1169</v>
      </c>
      <c r="C10" s="146">
        <f ca="1">M16+M17</f>
        <v>9888.5022300000128</v>
      </c>
      <c r="J10" s="125"/>
      <c r="O10" s="79"/>
    </row>
    <row r="11" spans="2:18">
      <c r="B11" s="145" t="s">
        <v>1170</v>
      </c>
      <c r="C11" s="146">
        <f ca="1">M18</f>
        <v>0</v>
      </c>
      <c r="K11" s="71" t="s">
        <v>1171</v>
      </c>
      <c r="L11" s="126"/>
      <c r="O11" s="68" t="s">
        <v>1172</v>
      </c>
      <c r="P11" s="505">
        <f ca="1">L20/(C6+L20)</f>
        <v>9.6999687647931793E-2</v>
      </c>
      <c r="Q11" s="69">
        <f ca="1">P11*($L$24+LnkTXTGPM)</f>
        <v>9910.9190847947139</v>
      </c>
    </row>
    <row r="12" spans="2:18">
      <c r="B12" s="145" t="s">
        <v>1173</v>
      </c>
      <c r="C12" s="146">
        <f ca="1">M19</f>
        <v>0</v>
      </c>
      <c r="D12" s="72"/>
      <c r="F12" s="72"/>
      <c r="G12" s="127"/>
      <c r="K12" s="147" t="s">
        <v>852</v>
      </c>
      <c r="L12" s="1303" t="s">
        <v>1174</v>
      </c>
      <c r="M12" s="1304" t="s">
        <v>29</v>
      </c>
      <c r="O12" s="68" t="s">
        <v>1175</v>
      </c>
      <c r="P12" s="398">
        <v>0.1389</v>
      </c>
      <c r="Q12" s="69"/>
      <c r="R12" s="142"/>
    </row>
    <row r="13" spans="2:18">
      <c r="B13" s="1305" t="s">
        <v>1176</v>
      </c>
      <c r="C13" s="1306">
        <f ca="1">IFERROR(E23,0)</f>
        <v>229.54859801925386</v>
      </c>
      <c r="D13" s="92"/>
      <c r="E13" s="92"/>
      <c r="F13" s="92"/>
      <c r="G13" s="92"/>
      <c r="K13" s="68" t="s">
        <v>1177</v>
      </c>
      <c r="L13" s="398">
        <f>CAPA!H30</f>
        <v>0</v>
      </c>
      <c r="M13" s="476">
        <f ca="1">IFERROR(IF($L$21&lt;$L$20,L13,($L$20/$L$21)*L13),0)</f>
        <v>0</v>
      </c>
      <c r="O13" s="68" t="s">
        <v>1178</v>
      </c>
      <c r="P13" s="505">
        <f ca="1">IF(P11&lt;P12,P11,(IF(P11=0,0,P11*0.75+P12*0.25)))</f>
        <v>9.6999687647931793E-2</v>
      </c>
      <c r="Q13" s="69">
        <f ca="1">($L$5+$L$6-$L$8)*P13/(1-P13)</f>
        <v>9888.502230000011</v>
      </c>
    </row>
    <row r="14" spans="2:18">
      <c r="B14" s="1307" t="s">
        <v>1179</v>
      </c>
      <c r="C14" s="1308">
        <f ca="1">C13*C5</f>
        <v>23401021.987261694</v>
      </c>
      <c r="D14" s="128"/>
      <c r="E14" s="128"/>
      <c r="F14" s="128"/>
      <c r="G14" s="129"/>
      <c r="K14" s="68" t="s">
        <v>1180</v>
      </c>
      <c r="L14" s="398">
        <f>IF(CAPA!P1="verdadeiro",IF(CAPA!H29=0,CAPA!K34,CAPA!H29),CAPA!H41)</f>
        <v>9.7000000000000003E-2</v>
      </c>
      <c r="M14" s="398">
        <f ca="1">IFERROR(M17/((L5+L6-L8+M16)+M17),0)</f>
        <v>9.6999687647931793E-2</v>
      </c>
      <c r="O14" s="68" t="s">
        <v>1181</v>
      </c>
      <c r="P14" s="505">
        <f ca="1">(L17+L16)/(L16+L17+L5+L6)</f>
        <v>9.7000000000000003E-2</v>
      </c>
      <c r="Q14" s="69">
        <f ca="1">IF(CAPA!H33="",(L5+L6-L8)/(1-L14)*L14,CAPA!H33)+IF(CAPA!H34="",L13*L9,CAPA!H34)</f>
        <v>9888.5374928017736</v>
      </c>
    </row>
    <row r="15" spans="2:18">
      <c r="E15" s="79"/>
      <c r="F15" s="72"/>
      <c r="G15" s="127"/>
      <c r="K15" s="824" t="s">
        <v>1182</v>
      </c>
      <c r="L15" s="1624">
        <f>IF(CAPA!H31=0,0,CAPA!H31)</f>
        <v>0</v>
      </c>
      <c r="M15" s="1708">
        <f ca="1">IFERROR(L22/(LnkTXTEV+M17+M16),0)</f>
        <v>0</v>
      </c>
      <c r="O15" s="68" t="s">
        <v>1183</v>
      </c>
      <c r="P15" s="79">
        <f ca="1">IF(P14&lt;P13,P14,P13)</f>
        <v>9.6999687647931793E-2</v>
      </c>
      <c r="Q15" s="69">
        <f ca="1">IF(Q14&lt;Q13,Q14,Q13)</f>
        <v>9888.502230000011</v>
      </c>
      <c r="R15" s="79">
        <f ca="1">Q15/(L5+Q15)</f>
        <v>9.6999687647931779E-2</v>
      </c>
    </row>
    <row r="16" spans="2:18">
      <c r="B16" s="130" t="s">
        <v>1184</v>
      </c>
      <c r="C16" s="131"/>
      <c r="D16" s="132"/>
      <c r="E16" s="132"/>
      <c r="F16" s="132"/>
      <c r="K16" s="1309" t="s">
        <v>1185</v>
      </c>
      <c r="L16" s="1309">
        <f ca="1">IF(CAPA!H34="",L13*L9,CAPA!H34)</f>
        <v>0</v>
      </c>
      <c r="M16" s="477">
        <f ca="1">IF(CAPA!P1="verdadeiro",IF($L$21&lt;$L$20,L16,($L$20/$L$21)*L16),L16)</f>
        <v>0</v>
      </c>
      <c r="O16" s="142" t="s">
        <v>1186</v>
      </c>
      <c r="P16" s="79">
        <f ca="1">IF(P15&gt;P12,P12,P15)</f>
        <v>9.6999687647931793E-2</v>
      </c>
      <c r="Q16" s="69">
        <f ca="1">($L$5+$L$6-$L$8+Q15)*P16</f>
        <v>9888.5022300000128</v>
      </c>
    </row>
    <row r="17" spans="1:22">
      <c r="B17" s="1297" t="s">
        <v>1187</v>
      </c>
      <c r="C17" s="1297" t="s">
        <v>1188</v>
      </c>
      <c r="D17" s="1297"/>
      <c r="E17" s="1297" t="s">
        <v>1189</v>
      </c>
      <c r="F17" s="1297" t="s">
        <v>1190</v>
      </c>
      <c r="K17" s="141" t="s">
        <v>1191</v>
      </c>
      <c r="L17" s="141">
        <f ca="1">IF(CAPA!H33="",(L5+L6-L8+L16)/(1-L14)*L14,CAPA!H33)</f>
        <v>9888.5374928017736</v>
      </c>
      <c r="M17" s="477">
        <f ca="1">IF(CAPA!P1="verdadeiro",IF($L$21&lt;$L$20,L17,($L$20/$L$21)*L17),L17)+L23</f>
        <v>9888.5022300000128</v>
      </c>
      <c r="N17" s="142"/>
      <c r="O17" s="68" t="s">
        <v>1192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798">
        <f ca="1">IFERROR(C70*N30,0)</f>
        <v>0</v>
      </c>
      <c r="D18" s="123"/>
      <c r="E18" s="123">
        <f>CAPA!E58</f>
        <v>0</v>
      </c>
      <c r="F18" s="77">
        <f ca="1">C18*E18</f>
        <v>0</v>
      </c>
      <c r="G18" s="799"/>
      <c r="H18" s="801"/>
      <c r="I18" s="134"/>
      <c r="K18" s="141" t="s">
        <v>1170</v>
      </c>
      <c r="L18" s="477"/>
      <c r="M18" s="1672">
        <f ca="1">(M16+M17)*M15</f>
        <v>0</v>
      </c>
      <c r="O18" s="68" t="s">
        <v>1193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1498.212724965482</v>
      </c>
      <c r="D19" s="89"/>
      <c r="E19" s="89">
        <v>0</v>
      </c>
      <c r="F19" s="77">
        <v>0</v>
      </c>
      <c r="G19" s="800"/>
      <c r="H19" s="801"/>
      <c r="K19" s="1302" t="s">
        <v>1173</v>
      </c>
      <c r="L19" s="1625"/>
      <c r="M19" s="1673">
        <f ca="1">(L5+L6)*M15</f>
        <v>0</v>
      </c>
      <c r="P19" s="142"/>
    </row>
    <row r="20" spans="1:22">
      <c r="B20" s="78" t="str">
        <f>B63</f>
        <v>Angra</v>
      </c>
      <c r="C20" s="256">
        <f ca="1">C63*N30</f>
        <v>0</v>
      </c>
      <c r="D20" s="89"/>
      <c r="E20" s="89">
        <f>E63</f>
        <v>0</v>
      </c>
      <c r="F20" s="77">
        <f ca="1">E20*C20</f>
        <v>0</v>
      </c>
      <c r="G20" s="800"/>
      <c r="H20" s="801"/>
      <c r="J20" s="134"/>
      <c r="K20" s="141" t="s">
        <v>1194</v>
      </c>
      <c r="L20" s="1704">
        <f ca="1">IF(L25-LnkTXTEV+LnkTXTGPM&lt;0,0,L25-LnkTXTEV+LnkTXTGPM)</f>
        <v>9888.5022300000128</v>
      </c>
      <c r="M20" s="399"/>
      <c r="N20" s="142"/>
    </row>
    <row r="21" spans="1:22">
      <c r="B21" s="78" t="str">
        <f>B64</f>
        <v>CCGF</v>
      </c>
      <c r="C21" s="256">
        <f ca="1">(C64+C65)*N30</f>
        <v>0</v>
      </c>
      <c r="D21" s="89"/>
      <c r="E21" s="89">
        <f>E64</f>
        <v>0</v>
      </c>
      <c r="F21" s="77">
        <f ca="1">E21*C21</f>
        <v>0</v>
      </c>
      <c r="G21" s="800"/>
      <c r="H21" s="801"/>
      <c r="K21" s="1302" t="s">
        <v>1195</v>
      </c>
      <c r="L21" s="1302">
        <f ca="1">L16+L17</f>
        <v>9888.5374928017736</v>
      </c>
      <c r="M21" s="1310"/>
    </row>
    <row r="22" spans="1:22">
      <c r="B22" s="78" t="s">
        <v>1196</v>
      </c>
      <c r="C22" s="256">
        <f ca="1">IF(J60=0,E35,(J48+J60))*N30</f>
        <v>100445.43750503454</v>
      </c>
      <c r="D22" s="89"/>
      <c r="E22" s="89">
        <f ca="1">IF(K60=0,H35,(N48+N60)/(M48+M60))</f>
        <v>232.97247310101849</v>
      </c>
      <c r="F22" s="77">
        <f ca="1">E22*C22</f>
        <v>23401021.987261694</v>
      </c>
      <c r="G22" s="800"/>
      <c r="H22" s="801"/>
      <c r="K22" s="68" t="s">
        <v>2190</v>
      </c>
      <c r="L22" s="1623">
        <f>SUMIFS(TabPerdaDIT[Valor],TabPerdaDIT[Dados de perda],"Perdas RB")</f>
        <v>0</v>
      </c>
    </row>
    <row r="23" spans="1:22">
      <c r="B23" s="1311" t="s">
        <v>1197</v>
      </c>
      <c r="C23" s="1312">
        <f ca="1">SUM(C18:C22)</f>
        <v>101943.65023000003</v>
      </c>
      <c r="D23" s="1313"/>
      <c r="E23" s="1313">
        <f ca="1">IF(SUM(C18:C22)=0,0,SUM(F18:F22)/SUM(C18:C22))</f>
        <v>229.54859801925386</v>
      </c>
      <c r="F23" s="1314">
        <f ca="1">SUM(F18:F22)</f>
        <v>23401021.987261694</v>
      </c>
      <c r="G23" s="800"/>
      <c r="H23" s="801"/>
      <c r="K23" s="68" t="s">
        <v>2294</v>
      </c>
      <c r="L23" s="1623">
        <f>SUMIFS(TabPerdaDIT[Valor],TabPerdaDIT[Dados de perda],"Perdas DITs")</f>
        <v>0</v>
      </c>
    </row>
    <row r="24" spans="1:22" ht="27.75" customHeight="1">
      <c r="F24" s="135"/>
      <c r="G24" s="800"/>
      <c r="H24" s="849"/>
      <c r="J24" s="72"/>
      <c r="K24" s="1315" t="s">
        <v>1198</v>
      </c>
      <c r="L24" s="1316">
        <f ca="1">SUMIF(CUSD!F6:F30,"Energia",CUSD!G6:G30)/1000-L7</f>
        <v>102174.75256999998</v>
      </c>
      <c r="M24" s="68">
        <f ca="1">LnkTXTEV</f>
        <v>92055.148000000016</v>
      </c>
    </row>
    <row r="25" spans="1:22">
      <c r="E25" s="93"/>
      <c r="F25" s="135"/>
      <c r="G25" s="127"/>
      <c r="H25" s="72"/>
      <c r="I25" s="72"/>
      <c r="J25" s="72"/>
      <c r="K25" s="1315" t="s">
        <v>876</v>
      </c>
      <c r="L25" s="1317">
        <f>E35+L26+C70</f>
        <v>101943.65023000003</v>
      </c>
      <c r="M25" s="783">
        <f ca="1">L24/L25-1</f>
        <v>2.2669615957300326E-3</v>
      </c>
    </row>
    <row r="26" spans="1:22">
      <c r="A26" s="74"/>
      <c r="B26" s="898" t="s">
        <v>2189</v>
      </c>
      <c r="F26" s="91"/>
      <c r="G26" s="72"/>
      <c r="H26" s="72"/>
      <c r="I26" s="72"/>
      <c r="K26" s="1315" t="s">
        <v>1199</v>
      </c>
      <c r="L26" s="1318">
        <v>1606.682</v>
      </c>
    </row>
    <row r="27" spans="1:22" ht="24" customHeight="1">
      <c r="B27" s="1319" t="s">
        <v>27</v>
      </c>
      <c r="C27" s="1319" t="s">
        <v>950</v>
      </c>
      <c r="D27" s="1319" t="s">
        <v>1200</v>
      </c>
      <c r="E27" s="1319" t="s">
        <v>973</v>
      </c>
      <c r="F27" s="1319" t="s">
        <v>1201</v>
      </c>
      <c r="G27" s="1320" t="s">
        <v>1202</v>
      </c>
      <c r="H27" s="1320" t="s">
        <v>1203</v>
      </c>
      <c r="I27" s="1320" t="s">
        <v>1204</v>
      </c>
      <c r="K27" s="130"/>
      <c r="L27" s="845"/>
      <c r="M27" s="101"/>
      <c r="N27" s="101"/>
    </row>
    <row r="28" spans="1:22">
      <c r="A28" s="74" t="s">
        <v>2310</v>
      </c>
      <c r="B28" s="525" t="s">
        <v>2311</v>
      </c>
      <c r="C28" s="525" t="s">
        <v>2173</v>
      </c>
      <c r="D28" s="525">
        <f>IF(B28="","",SUMIFS(Faturas!V:V,Faturas!U:U,"Consumo*",Faturas!S:S,Energia!C28,Faturas!R:R,Energia!B28))</f>
        <v>94847879.230000019</v>
      </c>
      <c r="E28" s="525">
        <f>IF(B28="","",D28/1000)</f>
        <v>94847.87923000002</v>
      </c>
      <c r="F28" s="617">
        <f>I28</f>
        <v>0.1426</v>
      </c>
      <c r="G28" s="526">
        <f>IFERROR(VLOOKUP(CONCATENATE(A28,A78),BD!$H$43:$S$59,12,FALSE),"")</f>
        <v>273.92</v>
      </c>
      <c r="H28" s="526">
        <f>IF(B28="","",IFERROR(G28*(1-F28),0))</f>
        <v>234.85900799999999</v>
      </c>
      <c r="I28" s="524">
        <f>IF(A78="","",_xlfn.IFNA(VLOOKUP(CONCATENATE($B$2,A28,A78),DescontosTE[[#All],[chave]:[2021]],8,FALSE),0))</f>
        <v>0.1426</v>
      </c>
      <c r="K28" s="71" t="s">
        <v>1205</v>
      </c>
      <c r="P28" s="68" t="s">
        <v>973</v>
      </c>
      <c r="Q28" s="68" t="s">
        <v>1201</v>
      </c>
      <c r="R28" s="68" t="s">
        <v>1202</v>
      </c>
      <c r="S28" s="68" t="s">
        <v>1203</v>
      </c>
      <c r="T28" s="68" t="s">
        <v>1204</v>
      </c>
    </row>
    <row r="29" spans="1:22" ht="16.5">
      <c r="A29" s="74" t="s">
        <v>2317</v>
      </c>
      <c r="B29" s="525" t="s">
        <v>2318</v>
      </c>
      <c r="C29" s="525" t="s">
        <v>2173</v>
      </c>
      <c r="D29" s="525">
        <f>IF(B29="","",SUMIFS(Faturas!V:V,Faturas!U:U,"Consumo*",Faturas!S:S,Energia!C29,Faturas!R:R,Energia!B29))</f>
        <v>5489089</v>
      </c>
      <c r="E29" s="525">
        <f>IF(B29="","",D29/1000)</f>
        <v>5489.0889999999999</v>
      </c>
      <c r="F29" s="617">
        <f t="shared" ref="F29:F32" si="0">I29</f>
        <v>0.1426</v>
      </c>
      <c r="G29" s="1707">
        <f>IFERROR(VLOOKUP(CONCATENATE(A29,A79),BD!$H$43:$S$59,12,FALSE),"")*0+233.7</f>
        <v>233.7</v>
      </c>
      <c r="H29" s="526">
        <f t="shared" ref="H29:H34" si="1">IF(B29="","",IFERROR(G29*(1-F29),0))</f>
        <v>200.37437999999997</v>
      </c>
      <c r="I29" s="524">
        <f>IF(A79="","",_xlfn.IFNA(VLOOKUP(CONCATENATE($B$2,A29,A79),DescontosTE[[#All],[chave]:[2021]],8,FALSE),0))</f>
        <v>0.1426</v>
      </c>
      <c r="K29" s="1321" t="s">
        <v>22</v>
      </c>
      <c r="L29" s="1322" t="s">
        <v>1206</v>
      </c>
      <c r="M29" s="1322" t="s">
        <v>1207</v>
      </c>
      <c r="N29" s="1323" t="s">
        <v>1208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6">
        <f ca="1">IF(M30="","",IFERROR(R29*(1-Q29),0))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0"/>
        <v/>
      </c>
      <c r="G30" s="526" t="str">
        <f>IFERROR(VLOOKUP(CONCATENATE(A30,A80),BD!$H$43:$S$59,12,FALSE),"")</f>
        <v/>
      </c>
      <c r="H30" s="526" t="str">
        <f t="shared" si="1"/>
        <v/>
      </c>
      <c r="I30" s="524" t="str">
        <f>IF(A80="","",_xlfn.IFNA(VLOOKUP(CONCATENATE($B$2,A30,A80),DescontosTE[[#All],[chave]:[2021]],8,FALSE),0))</f>
        <v/>
      </c>
      <c r="K30" s="68" t="s">
        <v>1209</v>
      </c>
      <c r="L30" s="142">
        <f>IF(J60=0,E35,(J48+J60))+C63+C64+C65+C70</f>
        <v>100336.96823000003</v>
      </c>
      <c r="M30" s="93">
        <f ca="1">LnkTXTER-LnkTXTProinfa</f>
        <v>100445.43750503454</v>
      </c>
      <c r="N30" s="212">
        <f ca="1">M30/L30</f>
        <v>1.0010810499554448</v>
      </c>
      <c r="O30" s="130"/>
      <c r="P30" s="68">
        <v>121096.97702999999</v>
      </c>
      <c r="Q30" s="68">
        <v>0.63819999999999999</v>
      </c>
      <c r="R30" s="68">
        <v>273.60000000000002</v>
      </c>
      <c r="S30" s="526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5">IF(B31="","",D31/1000)</f>
        <v/>
      </c>
      <c r="F31" s="617" t="str">
        <f t="shared" si="0"/>
        <v/>
      </c>
      <c r="G31" s="526" t="str">
        <f>IFERROR(VLOOKUP(CONCATENATE(A31,A81),BD!$H$43:$S$59,12,FALSE),"")</f>
        <v/>
      </c>
      <c r="H31" s="526" t="str">
        <f t="shared" si="1"/>
        <v/>
      </c>
      <c r="I31" s="524" t="str">
        <f>IF(A81="","",_xlfn.IFNA(VLOOKUP(CONCATENATE($B$2,A31,A81),DescontosTE[[#All],[chave]:[2021]],8,FALSE),0))</f>
        <v/>
      </c>
      <c r="K31" s="832"/>
      <c r="L31" s="834"/>
      <c r="M31" s="833"/>
      <c r="N31" s="835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5"/>
        <v/>
      </c>
      <c r="F32" s="617" t="str">
        <f t="shared" si="0"/>
        <v/>
      </c>
      <c r="G32" s="526" t="str">
        <f>IFERROR(VLOOKUP(CONCATENATE(A32,A82),BD!$H$43:$S$59,12,FALSE),"")</f>
        <v/>
      </c>
      <c r="H32" s="526" t="str">
        <f t="shared" si="1"/>
        <v/>
      </c>
      <c r="I32" s="524" t="str">
        <f>IF(A82="","",_xlfn.IFNA(VLOOKUP(CONCATENATE($B$2,A32,A82),DescontosTE[[#All],[chave]:[2021]],8,FALSE),0))</f>
        <v/>
      </c>
      <c r="K32" s="1751"/>
      <c r="L32" s="1751"/>
      <c r="M32" s="836"/>
      <c r="N32" s="836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5"/>
        <v/>
      </c>
      <c r="F33" s="617" t="str">
        <f t="shared" ref="F33:F34" si="6">IF(B33="","",I33)</f>
        <v/>
      </c>
      <c r="G33" s="526" t="str">
        <f>IFERROR(VLOOKUP(CONCATENATE(A33,A83),BD!$H$43:$S$59,12,FALSE),"")</f>
        <v/>
      </c>
      <c r="H33" s="526" t="str">
        <f t="shared" si="1"/>
        <v/>
      </c>
      <c r="I33" s="524" t="str">
        <f>IF(A83="","",_xlfn.IFNA(VLOOKUP(CONCATENATE($B$2,A33,A83),DescontosTE[[#All],[chave]:[2021]],8,FALSE),0))</f>
        <v/>
      </c>
      <c r="K33" s="837"/>
      <c r="L33" s="838"/>
      <c r="M33" s="836"/>
      <c r="N33" s="834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5"/>
        <v/>
      </c>
      <c r="F34" s="617" t="str">
        <f t="shared" si="6"/>
        <v/>
      </c>
      <c r="G34" s="526" t="str">
        <f>IFERROR(VLOOKUP(CONCATENATE(A34,A84),BD!$H$43:$S$59,12,FALSE),"")</f>
        <v/>
      </c>
      <c r="H34" s="526" t="str">
        <f t="shared" si="1"/>
        <v/>
      </c>
      <c r="I34" s="524" t="str">
        <f>IF(A84="","",_xlfn.IFNA(VLOOKUP(CONCATENATE($B$2,A34,A84),DescontosTE[[#All],[chave]:[2021]],8,FALSE),0))</f>
        <v/>
      </c>
      <c r="K34" s="1012"/>
      <c r="L34" s="1012"/>
      <c r="M34" s="781"/>
      <c r="N34" s="101"/>
      <c r="O34" s="130"/>
      <c r="V34" s="142" t="e">
        <f ca="1">V32+V33</f>
        <v>#VALUE!</v>
      </c>
    </row>
    <row r="35" spans="1:22" ht="14.25" customHeight="1">
      <c r="A35" s="74"/>
      <c r="B35" s="762"/>
      <c r="C35" s="763"/>
      <c r="D35" s="764">
        <f>SUM(D28:D34)</f>
        <v>100336968.23000002</v>
      </c>
      <c r="E35" s="764">
        <f>SUM(E28:E34)</f>
        <v>100336.96823000003</v>
      </c>
      <c r="F35" s="761"/>
      <c r="G35" s="757">
        <f>IFERROR(SUMPRODUCT(G28:G34,E28:E34)/SUM(E28:E34),0)</f>
        <v>271.71970270704281</v>
      </c>
      <c r="H35" s="758">
        <f>IFERROR(SUMPRODUCT(H28:H34,E28:E34)/SUM(E28:E34),0)</f>
        <v>232.97247310101849</v>
      </c>
      <c r="I35" s="757"/>
      <c r="K35" s="101"/>
      <c r="L35" s="781"/>
      <c r="M35" s="781"/>
      <c r="N35" s="782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8" t="s">
        <v>2186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98" t="s">
        <v>2187</v>
      </c>
      <c r="C39" s="69"/>
      <c r="G39" s="137"/>
      <c r="O39" s="130"/>
    </row>
    <row r="40" spans="1:22" ht="24" customHeight="1">
      <c r="A40" s="74"/>
      <c r="B40" s="1324" t="s">
        <v>852</v>
      </c>
      <c r="C40" s="1325" t="s">
        <v>1210</v>
      </c>
      <c r="D40" s="1326"/>
      <c r="E40" s="1325" t="s">
        <v>62</v>
      </c>
      <c r="F40" s="1325" t="s">
        <v>61</v>
      </c>
      <c r="G40" s="1325" t="s">
        <v>1211</v>
      </c>
      <c r="H40" s="1325" t="s">
        <v>1212</v>
      </c>
      <c r="I40" s="1325" t="s">
        <v>1213</v>
      </c>
      <c r="J40" s="1325" t="s">
        <v>973</v>
      </c>
      <c r="K40" s="1325" t="s">
        <v>1214</v>
      </c>
      <c r="L40" s="1325" t="s">
        <v>1215</v>
      </c>
      <c r="M40" s="1325" t="s">
        <v>1216</v>
      </c>
      <c r="N40" s="1325" t="s">
        <v>1217</v>
      </c>
      <c r="O40" s="130"/>
    </row>
    <row r="41" spans="1:22" ht="24" customHeight="1">
      <c r="A41" s="74"/>
      <c r="B41" s="1616" t="s">
        <v>864</v>
      </c>
      <c r="C41" s="1616"/>
      <c r="D41" s="1616"/>
      <c r="E41" s="1617"/>
      <c r="F41" s="1618"/>
      <c r="G41" s="1619"/>
      <c r="H41" s="1620"/>
      <c r="I41" s="1617"/>
      <c r="J41" s="1616">
        <f>E35</f>
        <v>100336.96823000003</v>
      </c>
      <c r="K41" s="1621">
        <f>H35</f>
        <v>232.97247310101849</v>
      </c>
      <c r="L41" s="830">
        <f>IFERROR(J41*K41,0)</f>
        <v>23375751.63200143</v>
      </c>
      <c r="M41" s="839">
        <f t="shared" ref="M41:M47" ca="1" si="7">IFERROR(J41*$N$30,0)</f>
        <v>100445.43750503454</v>
      </c>
      <c r="N41" s="830">
        <f ca="1">IFERROR(K41*M41,0)</f>
        <v>23401021.987261694</v>
      </c>
      <c r="O41" s="130"/>
    </row>
    <row r="42" spans="1:22" ht="24" customHeight="1">
      <c r="A42" s="74"/>
      <c r="B42" s="1616"/>
      <c r="C42" s="1616"/>
      <c r="D42" s="1616"/>
      <c r="E42" s="1617"/>
      <c r="F42" s="1618"/>
      <c r="G42" s="1619"/>
      <c r="H42" s="1620"/>
      <c r="I42" s="1622"/>
      <c r="J42" s="1616"/>
      <c r="K42" s="1621">
        <f>H8</f>
        <v>0</v>
      </c>
      <c r="L42" s="830">
        <f>IFERROR(J42*K42,0)</f>
        <v>0</v>
      </c>
      <c r="M42" s="839">
        <f t="shared" ca="1" si="7"/>
        <v>0</v>
      </c>
      <c r="N42" s="830">
        <f ca="1">IFERROR(K42*M42,0)</f>
        <v>0</v>
      </c>
      <c r="O42" s="130"/>
    </row>
    <row r="43" spans="1:22" ht="24" customHeight="1">
      <c r="A43" s="74"/>
      <c r="B43" s="1616"/>
      <c r="C43" s="1616"/>
      <c r="D43" s="1616" t="s">
        <v>138</v>
      </c>
      <c r="E43" s="1617" t="str">
        <f t="shared" ref="E43:E47" si="8">IF(B43="","",D43/1000)</f>
        <v/>
      </c>
      <c r="F43" s="1618" t="str">
        <f>IF(B43="","",I43)</f>
        <v/>
      </c>
      <c r="G43" s="1619" t="s">
        <v>138</v>
      </c>
      <c r="H43" s="1620"/>
      <c r="I43" s="1617"/>
      <c r="J43" s="1616"/>
      <c r="K43" s="1621">
        <f>IFERROR(E43*(VLOOKUP(EDATE(G43,-1),Índices!#REF!,3,FALSE)/VLOOKUP(EDATE(F43,-1),Índices!#REF!,3,FALSE)),0)</f>
        <v>0</v>
      </c>
      <c r="L43" s="830">
        <f t="shared" ref="L43:L47" si="9">J43*K43</f>
        <v>0</v>
      </c>
      <c r="M43" s="839">
        <f t="shared" ca="1" si="7"/>
        <v>0</v>
      </c>
      <c r="N43" s="830">
        <f t="shared" ref="N43:N47" ca="1" si="10">K43*M43</f>
        <v>0</v>
      </c>
      <c r="O43" s="130"/>
    </row>
    <row r="44" spans="1:22" ht="24" customHeight="1">
      <c r="A44" s="74"/>
      <c r="B44" s="1616"/>
      <c r="C44" s="1616"/>
      <c r="D44" s="1616" t="s">
        <v>138</v>
      </c>
      <c r="E44" s="1617" t="str">
        <f t="shared" si="8"/>
        <v/>
      </c>
      <c r="F44" s="1618" t="str">
        <f>IF(B44="","",I44)</f>
        <v/>
      </c>
      <c r="G44" s="1619" t="s">
        <v>138</v>
      </c>
      <c r="H44" s="1620"/>
      <c r="I44" s="1617"/>
      <c r="J44" s="1616"/>
      <c r="K44" s="1621">
        <f>IFERROR(E44*(VLOOKUP(EDATE(G44,-1),Índices!#REF!,3,FALSE)/VLOOKUP(EDATE(F44,-1),Índices!#REF!,3,FALSE)),0)</f>
        <v>0</v>
      </c>
      <c r="L44" s="830">
        <f t="shared" si="9"/>
        <v>0</v>
      </c>
      <c r="M44" s="839">
        <f t="shared" ca="1" si="7"/>
        <v>0</v>
      </c>
      <c r="N44" s="830">
        <f ca="1">K44*M44</f>
        <v>0</v>
      </c>
      <c r="O44" s="130"/>
    </row>
    <row r="45" spans="1:22" ht="24" customHeight="1">
      <c r="A45" s="74"/>
      <c r="B45" s="1616"/>
      <c r="C45" s="1616"/>
      <c r="D45" s="1616" t="s">
        <v>138</v>
      </c>
      <c r="E45" s="1617" t="str">
        <f t="shared" si="8"/>
        <v/>
      </c>
      <c r="F45" s="1618" t="str">
        <f>IF(B45="","",I45)</f>
        <v/>
      </c>
      <c r="G45" s="1619" t="s">
        <v>138</v>
      </c>
      <c r="H45" s="1620"/>
      <c r="I45" s="1617"/>
      <c r="J45" s="1616"/>
      <c r="K45" s="1621">
        <f>IFERROR(E45*(VLOOKUP(EDATE(G45,-1),Índices!#REF!,3,FALSE)/VLOOKUP(EDATE(F45,-1),Índices!#REF!,3,FALSE)),0)</f>
        <v>0</v>
      </c>
      <c r="L45" s="830">
        <f t="shared" si="9"/>
        <v>0</v>
      </c>
      <c r="M45" s="839">
        <f t="shared" ca="1" si="7"/>
        <v>0</v>
      </c>
      <c r="N45" s="830">
        <f t="shared" ca="1" si="10"/>
        <v>0</v>
      </c>
      <c r="O45" s="130"/>
    </row>
    <row r="46" spans="1:22" ht="24" customHeight="1">
      <c r="A46" s="74"/>
      <c r="B46" s="1616"/>
      <c r="C46" s="1616"/>
      <c r="D46" s="1616" t="s">
        <v>138</v>
      </c>
      <c r="E46" s="1617" t="str">
        <f t="shared" si="8"/>
        <v/>
      </c>
      <c r="F46" s="1618" t="str">
        <f>IF(B46="","",I46)</f>
        <v/>
      </c>
      <c r="G46" s="1619" t="s">
        <v>138</v>
      </c>
      <c r="H46" s="1620"/>
      <c r="I46" s="1617"/>
      <c r="J46" s="1616"/>
      <c r="K46" s="1621">
        <f>IFERROR(E46*(VLOOKUP(EDATE(G46,-1),Índices!#REF!,3,FALSE)/VLOOKUP(EDATE(F46,-1),Índices!#REF!,3,FALSE)),0)</f>
        <v>0</v>
      </c>
      <c r="L46" s="830">
        <f t="shared" si="9"/>
        <v>0</v>
      </c>
      <c r="M46" s="839">
        <f t="shared" ca="1" si="7"/>
        <v>0</v>
      </c>
      <c r="N46" s="830">
        <f t="shared" ca="1" si="10"/>
        <v>0</v>
      </c>
      <c r="O46" s="130"/>
    </row>
    <row r="47" spans="1:22" ht="24" customHeight="1">
      <c r="A47" s="74"/>
      <c r="B47" s="1616"/>
      <c r="C47" s="1616"/>
      <c r="D47" s="1616" t="s">
        <v>138</v>
      </c>
      <c r="E47" s="1617" t="str">
        <f t="shared" si="8"/>
        <v/>
      </c>
      <c r="F47" s="1618" t="str">
        <f>IF(B47="","",I47)</f>
        <v/>
      </c>
      <c r="G47" s="1619" t="s">
        <v>138</v>
      </c>
      <c r="H47" s="1620"/>
      <c r="I47" s="1617"/>
      <c r="J47" s="1616"/>
      <c r="K47" s="1621">
        <f>IFERROR(E47*(VLOOKUP(EDATE(G47,-1),Índices!#REF!,3,FALSE)/VLOOKUP(EDATE(F47,-1),Índices!#REF!,3,FALSE)),0)</f>
        <v>0</v>
      </c>
      <c r="L47" s="830">
        <f t="shared" si="9"/>
        <v>0</v>
      </c>
      <c r="M47" s="839">
        <f t="shared" ca="1" si="7"/>
        <v>0</v>
      </c>
      <c r="N47" s="830">
        <f t="shared" ca="1" si="10"/>
        <v>0</v>
      </c>
      <c r="O47" s="130"/>
    </row>
    <row r="48" spans="1:22" ht="24" customHeight="1">
      <c r="A48" s="74"/>
      <c r="B48" s="1327" t="s">
        <v>843</v>
      </c>
      <c r="C48" s="1328"/>
      <c r="D48" s="1328"/>
      <c r="E48" s="1327"/>
      <c r="F48" s="1327"/>
      <c r="G48" s="1329"/>
      <c r="H48" s="1327"/>
      <c r="I48" s="1327"/>
      <c r="J48" s="1330">
        <f>SUM(J41:J47)</f>
        <v>100336.96823000003</v>
      </c>
      <c r="K48" s="1331">
        <f ca="1">IFERROR(SUMPRODUCT(K41:K47,M41:M47)/SUM(M41:M47),0)</f>
        <v>232.97247310101849</v>
      </c>
      <c r="L48" s="1327"/>
      <c r="M48" s="1332">
        <f ca="1">SUM(M41:M47)</f>
        <v>100445.43750503454</v>
      </c>
      <c r="N48" s="1332">
        <f ca="1">SUM(N41:N47)</f>
        <v>23401021.987261694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8" t="s">
        <v>2188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324" t="s">
        <v>852</v>
      </c>
      <c r="C52" s="1325" t="s">
        <v>1210</v>
      </c>
      <c r="D52" s="1326"/>
      <c r="E52" s="1325" t="s">
        <v>62</v>
      </c>
      <c r="F52" s="1325" t="s">
        <v>61</v>
      </c>
      <c r="G52" s="1325" t="s">
        <v>1211</v>
      </c>
      <c r="H52" s="1325" t="s">
        <v>1212</v>
      </c>
      <c r="I52" s="1325" t="s">
        <v>1213</v>
      </c>
      <c r="J52" s="1325" t="s">
        <v>973</v>
      </c>
      <c r="K52" s="1325" t="s">
        <v>1214</v>
      </c>
      <c r="L52" s="1325" t="s">
        <v>1215</v>
      </c>
      <c r="M52" s="1325" t="s">
        <v>1216</v>
      </c>
      <c r="N52" s="1325" t="s">
        <v>1217</v>
      </c>
      <c r="O52" s="130"/>
      <c r="V52" s="142" t="e">
        <f ca="1">V34-V51</f>
        <v>#VALUE!</v>
      </c>
    </row>
    <row r="53" spans="1:22" ht="18" customHeight="1">
      <c r="A53" s="74"/>
      <c r="B53" s="1616"/>
      <c r="C53" s="1616"/>
      <c r="D53" s="1616"/>
      <c r="E53" s="1617"/>
      <c r="F53" s="1618"/>
      <c r="G53" s="1619"/>
      <c r="H53" s="1620"/>
      <c r="I53" s="1617"/>
      <c r="J53" s="1616"/>
      <c r="K53" s="1621">
        <f>H28</f>
        <v>234.85900799999999</v>
      </c>
      <c r="L53" s="830">
        <f>IFERROR(J53*K53,0)</f>
        <v>0</v>
      </c>
      <c r="M53" s="839">
        <f t="shared" ref="M53:M59" ca="1" si="11">IFERROR(J53*$N$30,0)</f>
        <v>0</v>
      </c>
      <c r="N53" s="830">
        <f ca="1">IFERROR(K53*M53,0)</f>
        <v>0</v>
      </c>
      <c r="O53" s="136"/>
    </row>
    <row r="54" spans="1:22">
      <c r="B54" s="1616"/>
      <c r="C54" s="1616"/>
      <c r="D54" s="1616"/>
      <c r="E54" s="1617"/>
      <c r="F54" s="1618"/>
      <c r="G54" s="1619"/>
      <c r="H54" s="1620"/>
      <c r="I54" s="1622"/>
      <c r="J54" s="1616"/>
      <c r="K54" s="1621">
        <f>H29</f>
        <v>200.37437999999997</v>
      </c>
      <c r="L54" s="830">
        <f>IFERROR(J54*K54,0)</f>
        <v>0</v>
      </c>
      <c r="M54" s="839">
        <f t="shared" ca="1" si="11"/>
        <v>0</v>
      </c>
      <c r="N54" s="830">
        <f ca="1">IFERROR(K54*M54,0)</f>
        <v>0</v>
      </c>
      <c r="V54" s="68">
        <v>7728827.6146981604</v>
      </c>
    </row>
    <row r="55" spans="1:22">
      <c r="B55" s="1616"/>
      <c r="C55" s="1616"/>
      <c r="D55" s="1616" t="s">
        <v>138</v>
      </c>
      <c r="E55" s="1617" t="str">
        <f t="shared" ref="E55:E59" si="12">IF(B55="","",D55/1000)</f>
        <v/>
      </c>
      <c r="F55" s="1618" t="str">
        <f>IF(B55="","",I55)</f>
        <v/>
      </c>
      <c r="G55" s="1619" t="s">
        <v>138</v>
      </c>
      <c r="H55" s="1620">
        <v>0</v>
      </c>
      <c r="I55" s="1617">
        <v>0</v>
      </c>
      <c r="J55" s="1616"/>
      <c r="K55" s="1621">
        <f>IFERROR(E55*(VLOOKUP(EDATE(G55,-1),Índices!B7:D501,3,FALSE)/VLOOKUP(EDATE(F55,-1),Índices!B7:D501,3,FALSE)),0)</f>
        <v>0</v>
      </c>
      <c r="L55" s="830">
        <f t="shared" ref="L55:L59" si="13">J55*K55</f>
        <v>0</v>
      </c>
      <c r="M55" s="839">
        <f t="shared" ca="1" si="11"/>
        <v>0</v>
      </c>
      <c r="N55" s="830">
        <f t="shared" ref="N55:N59" ca="1" si="14">K55*M55</f>
        <v>0</v>
      </c>
    </row>
    <row r="56" spans="1:22">
      <c r="B56" s="1616"/>
      <c r="C56" s="1616"/>
      <c r="D56" s="1616" t="s">
        <v>138</v>
      </c>
      <c r="E56" s="1617" t="str">
        <f t="shared" si="12"/>
        <v/>
      </c>
      <c r="F56" s="1618" t="str">
        <f>IF(B56="","",I56)</f>
        <v/>
      </c>
      <c r="G56" s="1619" t="s">
        <v>138</v>
      </c>
      <c r="H56" s="1620">
        <v>0</v>
      </c>
      <c r="I56" s="1617">
        <v>0</v>
      </c>
      <c r="J56" s="1616"/>
      <c r="K56" s="1621">
        <f>IFERROR(E56*(VLOOKUP(EDATE(G56,-1),Índices!B8:D502,3,FALSE)/VLOOKUP(EDATE(F56,-1),Índices!B8:D502,3,FALSE)),0)</f>
        <v>0</v>
      </c>
      <c r="L56" s="830">
        <f t="shared" si="13"/>
        <v>0</v>
      </c>
      <c r="M56" s="839">
        <f t="shared" ca="1" si="11"/>
        <v>0</v>
      </c>
      <c r="N56" s="830">
        <f t="shared" ca="1" si="14"/>
        <v>0</v>
      </c>
      <c r="V56" s="142" t="e">
        <f ca="1">V52+V54</f>
        <v>#VALUE!</v>
      </c>
    </row>
    <row r="57" spans="1:22">
      <c r="B57" s="1616"/>
      <c r="C57" s="1616"/>
      <c r="D57" s="1616" t="s">
        <v>138</v>
      </c>
      <c r="E57" s="1617" t="str">
        <f t="shared" si="12"/>
        <v/>
      </c>
      <c r="F57" s="1618" t="str">
        <f>IF(B57="","",I57)</f>
        <v/>
      </c>
      <c r="G57" s="1619" t="s">
        <v>138</v>
      </c>
      <c r="H57" s="1620">
        <v>0</v>
      </c>
      <c r="I57" s="1617">
        <v>0</v>
      </c>
      <c r="J57" s="1616"/>
      <c r="K57" s="1621">
        <f>IFERROR(E57*(VLOOKUP(EDATE(G57,-1),Índices!B9:D503,3,FALSE)/VLOOKUP(EDATE(F57,-1),Índices!B9:D503,3,FALSE)),0)</f>
        <v>0</v>
      </c>
      <c r="L57" s="830">
        <f t="shared" si="13"/>
        <v>0</v>
      </c>
      <c r="M57" s="839">
        <f t="shared" ca="1" si="11"/>
        <v>0</v>
      </c>
      <c r="N57" s="830">
        <f t="shared" ca="1" si="14"/>
        <v>0</v>
      </c>
    </row>
    <row r="58" spans="1:22">
      <c r="B58" s="1616"/>
      <c r="C58" s="1616"/>
      <c r="D58" s="1616" t="s">
        <v>138</v>
      </c>
      <c r="E58" s="1617" t="str">
        <f t="shared" si="12"/>
        <v/>
      </c>
      <c r="F58" s="1618" t="str">
        <f>IF(B58="","",I58)</f>
        <v/>
      </c>
      <c r="G58" s="1619" t="s">
        <v>138</v>
      </c>
      <c r="H58" s="1620">
        <v>0</v>
      </c>
      <c r="I58" s="1617">
        <v>0</v>
      </c>
      <c r="J58" s="1616"/>
      <c r="K58" s="1621">
        <f>IFERROR(E58*(VLOOKUP(EDATE(G58,-1),Índices!B10:D504,3,FALSE)/VLOOKUP(EDATE(F58,-1),Índices!B10:D504,3,FALSE)),0)</f>
        <v>0</v>
      </c>
      <c r="L58" s="830">
        <f t="shared" si="13"/>
        <v>0</v>
      </c>
      <c r="M58" s="839">
        <f t="shared" ca="1" si="11"/>
        <v>0</v>
      </c>
      <c r="N58" s="830">
        <f t="shared" ca="1" si="14"/>
        <v>0</v>
      </c>
    </row>
    <row r="59" spans="1:22">
      <c r="B59" s="1616"/>
      <c r="C59" s="1616"/>
      <c r="D59" s="1616" t="s">
        <v>138</v>
      </c>
      <c r="E59" s="1617" t="str">
        <f t="shared" si="12"/>
        <v/>
      </c>
      <c r="F59" s="1618" t="str">
        <f>IF(B59="","",I59)</f>
        <v/>
      </c>
      <c r="G59" s="1619" t="s">
        <v>138</v>
      </c>
      <c r="H59" s="1620">
        <v>0</v>
      </c>
      <c r="I59" s="1617">
        <v>0</v>
      </c>
      <c r="J59" s="1616"/>
      <c r="K59" s="1621">
        <f>IFERROR(E59*(VLOOKUP(EDATE(G59,-1),Índices!B11:D505,3,FALSE)/VLOOKUP(EDATE(F59,-1),Índices!B11:D505,3,FALSE)),0)</f>
        <v>0</v>
      </c>
      <c r="L59" s="830">
        <f t="shared" si="13"/>
        <v>0</v>
      </c>
      <c r="M59" s="839">
        <f t="shared" ca="1" si="11"/>
        <v>0</v>
      </c>
      <c r="N59" s="830">
        <f t="shared" ca="1" si="14"/>
        <v>0</v>
      </c>
    </row>
    <row r="60" spans="1:22">
      <c r="B60" s="1327" t="s">
        <v>843</v>
      </c>
      <c r="C60" s="1328"/>
      <c r="D60" s="1328"/>
      <c r="E60" s="1327"/>
      <c r="F60" s="1327"/>
      <c r="G60" s="1329"/>
      <c r="H60" s="1327"/>
      <c r="I60" s="1327"/>
      <c r="J60" s="1330">
        <f>SUM(J53:J59)</f>
        <v>0</v>
      </c>
      <c r="K60" s="1331">
        <f ca="1">IFERROR(SUMPRODUCT(K53:K59,M53:M59)/SUM(M53:M59),0)</f>
        <v>0</v>
      </c>
      <c r="L60" s="1327"/>
      <c r="M60" s="1332">
        <f ca="1">SUM(M53:M59)</f>
        <v>0</v>
      </c>
      <c r="N60" s="1332">
        <f ca="1">SUM(N53:N59)</f>
        <v>0</v>
      </c>
    </row>
    <row r="61" spans="1:22">
      <c r="C61" s="424"/>
      <c r="D61" s="424"/>
      <c r="E61" s="424"/>
      <c r="K61" s="68" t="s">
        <v>2191</v>
      </c>
    </row>
    <row r="62" spans="1:22" ht="15.75">
      <c r="B62" s="1333" t="s">
        <v>1218</v>
      </c>
      <c r="C62" s="1334" t="s">
        <v>1219</v>
      </c>
      <c r="D62" s="1335"/>
      <c r="E62" s="1336" t="s">
        <v>1220</v>
      </c>
      <c r="F62" s="1336" t="s">
        <v>1221</v>
      </c>
      <c r="H62" s="1337" t="s">
        <v>1222</v>
      </c>
      <c r="I62" s="1338" t="s">
        <v>42</v>
      </c>
      <c r="J62" s="1339" t="s">
        <v>43</v>
      </c>
      <c r="K62" s="1340" t="s">
        <v>1190</v>
      </c>
    </row>
    <row r="63" spans="1:22" ht="15.75">
      <c r="B63" s="78" t="s">
        <v>1223</v>
      </c>
      <c r="C63" s="846">
        <f>IF(ISERROR(VLOOKUP("Angra",AngraCota[],5,FALSE)),0,VLOOKUP("Angra",AngraCota[],5,FALSE))</f>
        <v>0</v>
      </c>
      <c r="D63" s="847">
        <f t="shared" ref="D63:D65" si="15">E63</f>
        <v>0</v>
      </c>
      <c r="E63" s="829">
        <f>IFERROR(VLOOKUP("Angra",AngraCota[],4,FALSE),0)</f>
        <v>0</v>
      </c>
      <c r="F63" s="108">
        <f>C63*E63</f>
        <v>0</v>
      </c>
      <c r="H63" s="1341" t="s">
        <v>1224</v>
      </c>
      <c r="I63" s="1342" cm="1">
        <f t="array" ref="I63">GSFRH[GSF previsto]</f>
        <v>0.88500000000000001</v>
      </c>
      <c r="J63" s="1343" cm="1">
        <f t="array" ref="J63">GSFRH[PLD]</f>
        <v>195.04</v>
      </c>
      <c r="K63" s="1344">
        <f>(J63*(1-I63)*(C64+C65))</f>
        <v>0</v>
      </c>
    </row>
    <row r="64" spans="1:22" ht="15.75">
      <c r="B64" s="78" t="s">
        <v>1224</v>
      </c>
      <c r="C64" s="846">
        <f>BD!AE22</f>
        <v>0</v>
      </c>
      <c r="D64" s="847">
        <f t="shared" si="15"/>
        <v>0</v>
      </c>
      <c r="E64" s="829">
        <f>BD!AG22</f>
        <v>0</v>
      </c>
      <c r="F64" s="108">
        <f>C64*E64</f>
        <v>0</v>
      </c>
      <c r="H64" s="840" t="s">
        <v>1225</v>
      </c>
      <c r="I64" s="841">
        <f>I63</f>
        <v>0.88500000000000001</v>
      </c>
      <c r="J64" s="842">
        <f>J63</f>
        <v>195.04</v>
      </c>
      <c r="K64" s="843"/>
    </row>
    <row r="65" spans="1:11" ht="15.75">
      <c r="B65" s="78" t="s">
        <v>1224</v>
      </c>
      <c r="C65" s="846">
        <f>BD!AE23</f>
        <v>0</v>
      </c>
      <c r="D65" s="847">
        <f t="shared" si="15"/>
        <v>0</v>
      </c>
      <c r="E65" s="829">
        <f>BD!AG23</f>
        <v>0</v>
      </c>
      <c r="F65" s="108">
        <f>C65*E65</f>
        <v>0</v>
      </c>
      <c r="H65" s="844" t="s">
        <v>1226</v>
      </c>
      <c r="I65" s="841">
        <f>I64</f>
        <v>0.88500000000000001</v>
      </c>
      <c r="J65" s="842">
        <f>J64</f>
        <v>195.04</v>
      </c>
      <c r="K65" s="843">
        <f>(J65*(1-I65)*I68*K68*365*24)</f>
        <v>0</v>
      </c>
    </row>
    <row r="66" spans="1:11" ht="15.75">
      <c r="B66" s="831"/>
      <c r="C66" s="831">
        <f>SUM(C63:C65)</f>
        <v>0</v>
      </c>
      <c r="D66" s="831"/>
      <c r="E66" s="831"/>
      <c r="F66" s="831">
        <f>SUM(F63:F65)</f>
        <v>0</v>
      </c>
      <c r="H66" s="825" t="s">
        <v>1227</v>
      </c>
      <c r="I66" s="1345"/>
      <c r="J66" s="1346"/>
      <c r="K66" s="1347">
        <f>SUM(K63:K65)</f>
        <v>0</v>
      </c>
    </row>
    <row r="67" spans="1:11" ht="15.75">
      <c r="H67" s="1752" t="s">
        <v>45</v>
      </c>
      <c r="I67" s="1752"/>
      <c r="J67" s="1348"/>
      <c r="K67" s="1348" t="s">
        <v>44</v>
      </c>
    </row>
    <row r="68" spans="1:11" ht="15.75">
      <c r="C68" s="124">
        <f ca="1">+C64*N30</f>
        <v>0</v>
      </c>
      <c r="H68" s="826" t="str">
        <f>CAPA!C9</f>
        <v>Celetro</v>
      </c>
      <c r="I68" s="848" cm="1">
        <f t="array" ref="I68">GSFRH[Fator de rateio]</f>
        <v>0</v>
      </c>
      <c r="J68" s="992">
        <f>J63</f>
        <v>195.04</v>
      </c>
      <c r="K68" s="827" cm="1">
        <f t="array" ref="K68">GSFRH[MWm repactuado]</f>
        <v>14739.74</v>
      </c>
    </row>
    <row r="69" spans="1:11" ht="15">
      <c r="B69" s="1333" t="s">
        <v>1228</v>
      </c>
      <c r="C69" s="1334" t="s">
        <v>1219</v>
      </c>
      <c r="D69" s="1335"/>
      <c r="E69" s="1336" t="s">
        <v>1220</v>
      </c>
      <c r="F69" s="1336" t="s">
        <v>1221</v>
      </c>
    </row>
    <row r="70" spans="1:11">
      <c r="B70" s="78" t="s">
        <v>1229</v>
      </c>
      <c r="C70" s="846">
        <f>CAPA!D58</f>
        <v>0</v>
      </c>
      <c r="D70" s="847">
        <f t="shared" ref="D70" si="16">E70</f>
        <v>0</v>
      </c>
      <c r="E70" s="829">
        <v>0</v>
      </c>
      <c r="F70" s="108">
        <f>C70*E70</f>
        <v>0</v>
      </c>
    </row>
    <row r="71" spans="1:11">
      <c r="B71" s="78"/>
      <c r="C71" s="846"/>
      <c r="D71" s="847"/>
      <c r="E71" s="829"/>
      <c r="F71" s="108"/>
      <c r="J71" s="142"/>
    </row>
    <row r="72" spans="1:11">
      <c r="B72" s="831"/>
      <c r="C72" s="831">
        <f>SUM(C70:C71)</f>
        <v>0</v>
      </c>
      <c r="D72" s="831"/>
      <c r="E72" s="831"/>
      <c r="F72" s="831">
        <f>SUM(F70:F71)</f>
        <v>0</v>
      </c>
      <c r="J72" s="142"/>
    </row>
    <row r="77" spans="1:11">
      <c r="A77" s="68" t="s">
        <v>1230</v>
      </c>
    </row>
    <row r="78" spans="1:11">
      <c r="A78" s="68" t="str">
        <f>TRIM(LEFT(C28,3))</f>
        <v>A4</v>
      </c>
    </row>
    <row r="79" spans="1:11">
      <c r="A79" s="68" t="str">
        <f t="shared" ref="A79:A84" si="17">TRIM(LEFT(C29,3))</f>
        <v>A4</v>
      </c>
    </row>
    <row r="80" spans="1:11">
      <c r="A80" s="68" t="str">
        <f t="shared" si="17"/>
        <v/>
      </c>
    </row>
    <row r="81" spans="1:1">
      <c r="A81" s="68" t="str">
        <f t="shared" si="17"/>
        <v/>
      </c>
    </row>
    <row r="82" spans="1:1">
      <c r="A82" s="68" t="str">
        <f t="shared" si="17"/>
        <v/>
      </c>
    </row>
    <row r="83" spans="1:1">
      <c r="A83" s="68" t="str">
        <f t="shared" si="17"/>
        <v/>
      </c>
    </row>
    <row r="84" spans="1:1">
      <c r="A84" s="68" t="str">
        <f t="shared" si="17"/>
        <v/>
      </c>
    </row>
  </sheetData>
  <mergeCells count="2">
    <mergeCell ref="K32:L32"/>
    <mergeCell ref="H67:I67"/>
  </mergeCells>
  <conditionalFormatting sqref="K13:M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L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9 T4:U6 T2:AC3 V4:AC11 S20:AB20 T12:AA19 O88:AC1048576 P32:AC33 P34:U34 W34:AC34 P35:AC87 P22:AA28 O23:O29 S21:Z21 N62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M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T12:AA19 V4:AC11 T4:U6 S19 S20:AB20 T2:AC3 O88:AC1048576 P32:AC33 P34:U34 W34:AC34 P35:AC87 P22:AA28 O23:O29 S21:Z21 N62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20:AB20 T2:AC11 O88:AC1048576 P32:AC33 P34:U34 W34:AC34 P35:AC87 P22:AA28 O23:O29 S15:AA19 S21:Z21 T12:AA14 N62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5:AA19 T2:AC11 O88:AC1048576 P32:AC33 P34:U34 W34:AC34 P35:AC87 P22:AA28 O23:O29 S21:Z21 S20:AB20 T12:AA14 N62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49" t="s">
        <v>704</v>
      </c>
      <c r="C1" s="1136">
        <f>Resultado!C1</f>
        <v>0</v>
      </c>
      <c r="D1" s="1350"/>
      <c r="E1" s="1351"/>
      <c r="F1" s="1352"/>
      <c r="G1" s="1249" t="s">
        <v>948</v>
      </c>
      <c r="H1" s="1353">
        <f ca="1">LnkTXTIRTEco</f>
        <v>6.4299999999999996E-2</v>
      </c>
    </row>
    <row r="2" spans="2:27">
      <c r="B2" s="138" t="str">
        <f>CAPA!C9</f>
        <v>Celetro</v>
      </c>
      <c r="C2" s="70"/>
      <c r="D2" s="70"/>
      <c r="G2" s="121" t="s">
        <v>952</v>
      </c>
      <c r="H2" s="148">
        <f ca="1">LnkTXTIRTTotal</f>
        <v>-0.2445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54" t="s">
        <v>1231</v>
      </c>
      <c r="C6" s="1354"/>
      <c r="D6" s="1354"/>
      <c r="E6" s="1354"/>
      <c r="F6" s="1354"/>
      <c r="G6" s="1354"/>
      <c r="H6" s="1354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55" t="s">
        <v>852</v>
      </c>
      <c r="C8" s="1355" t="s">
        <v>1232</v>
      </c>
      <c r="D8" s="1355" t="s">
        <v>1233</v>
      </c>
      <c r="E8" s="1355" t="s">
        <v>1234</v>
      </c>
      <c r="H8" s="152"/>
    </row>
    <row r="9" spans="2:27">
      <c r="B9" s="158" t="s">
        <v>968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56" t="s">
        <v>1235</v>
      </c>
      <c r="C10" s="1357">
        <f>SUMIFS($M$18:$M$63,$D$18:$D$63,"Fora Ponta")</f>
        <v>0</v>
      </c>
      <c r="D10" s="1357">
        <f>SUMIFS($J$18:$J$63,$D$18:$D$63,"Fora Ponta")</f>
        <v>0</v>
      </c>
      <c r="E10" s="1357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58" t="s">
        <v>1236</v>
      </c>
      <c r="G14" s="1359"/>
      <c r="H14" s="1359"/>
      <c r="I14" s="1359"/>
      <c r="J14" s="1359"/>
      <c r="K14" s="1359"/>
      <c r="L14" s="1359"/>
      <c r="M14" s="1359"/>
      <c r="N14" s="1359"/>
      <c r="O14" s="1359"/>
      <c r="P14" s="1359"/>
      <c r="Q14" s="1359"/>
      <c r="R14" s="1360"/>
    </row>
    <row r="15" spans="2:27">
      <c r="B15" s="1763" t="s">
        <v>1237</v>
      </c>
      <c r="C15" s="1764" t="s">
        <v>1238</v>
      </c>
      <c r="D15" s="1765" t="s">
        <v>78</v>
      </c>
      <c r="E15" s="1766" t="s">
        <v>1239</v>
      </c>
      <c r="F15" s="1766"/>
      <c r="G15" s="1766"/>
      <c r="H15" s="1767"/>
      <c r="I15" s="1768" t="s">
        <v>1240</v>
      </c>
      <c r="J15" s="1769"/>
      <c r="K15" s="1769"/>
      <c r="L15" s="1769"/>
      <c r="M15" s="1753" t="s">
        <v>1241</v>
      </c>
      <c r="N15" s="1754"/>
      <c r="O15" s="1754"/>
      <c r="P15" s="1754"/>
      <c r="Q15" s="1754"/>
      <c r="R15" s="1754"/>
      <c r="S15" s="1754"/>
      <c r="T15" s="1754"/>
      <c r="U15" s="1754"/>
      <c r="V15" s="1754"/>
      <c r="W15" s="1754"/>
      <c r="X15" s="1754"/>
      <c r="Y15" s="1754"/>
      <c r="Z15" s="65"/>
      <c r="AA15" s="387"/>
    </row>
    <row r="16" spans="2:27">
      <c r="B16" s="1763"/>
      <c r="C16" s="1764"/>
      <c r="D16" s="1765"/>
      <c r="E16" s="1757" t="s">
        <v>123</v>
      </c>
      <c r="F16" s="1758"/>
      <c r="G16" s="1758" t="s">
        <v>1242</v>
      </c>
      <c r="H16" s="1759"/>
      <c r="I16" s="1760" t="s">
        <v>123</v>
      </c>
      <c r="J16" s="1761"/>
      <c r="K16" s="1761" t="s">
        <v>1242</v>
      </c>
      <c r="L16" s="1762"/>
      <c r="M16" s="1755"/>
      <c r="N16" s="1756"/>
      <c r="O16" s="1756"/>
      <c r="P16" s="1756"/>
      <c r="Q16" s="1756"/>
      <c r="R16" s="1756"/>
      <c r="S16" s="1756"/>
      <c r="T16" s="1756"/>
      <c r="U16" s="1756"/>
      <c r="V16" s="1756"/>
      <c r="W16" s="1756"/>
      <c r="X16" s="1756"/>
      <c r="Y16" s="1756"/>
      <c r="Z16" s="65"/>
      <c r="AA16" s="387"/>
    </row>
    <row r="17" spans="2:27">
      <c r="B17" s="1763"/>
      <c r="C17" s="1764"/>
      <c r="D17" s="1765"/>
      <c r="E17" s="388" t="s">
        <v>769</v>
      </c>
      <c r="F17" s="389" t="s">
        <v>770</v>
      </c>
      <c r="G17" s="389" t="s">
        <v>769</v>
      </c>
      <c r="H17" s="390" t="s">
        <v>770</v>
      </c>
      <c r="I17" s="391" t="s">
        <v>769</v>
      </c>
      <c r="J17" s="392" t="s">
        <v>770</v>
      </c>
      <c r="K17" s="392" t="s">
        <v>769</v>
      </c>
      <c r="L17" s="392" t="s">
        <v>770</v>
      </c>
      <c r="M17" s="393" t="s">
        <v>843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856</v>
      </c>
    </row>
    <row r="18" spans="2:27" hidden="1">
      <c r="B18" s="1361">
        <f>RBBD!B3</f>
        <v>0</v>
      </c>
      <c r="C18" s="1361">
        <f>RBBD!C3</f>
        <v>0</v>
      </c>
      <c r="D18" s="1361">
        <f>RBBD!D3</f>
        <v>0</v>
      </c>
      <c r="E18" s="1361">
        <f>RBBD!E3</f>
        <v>0</v>
      </c>
      <c r="F18" s="1361">
        <f>RBBD!F3</f>
        <v>0</v>
      </c>
      <c r="G18" s="1361">
        <f>RBBD!G3</f>
        <v>0</v>
      </c>
      <c r="H18" s="1361">
        <f>RBBD!H3</f>
        <v>0</v>
      </c>
      <c r="I18" s="1361">
        <f>E18*$M18</f>
        <v>0</v>
      </c>
      <c r="J18" s="1361">
        <f>F18*$M18</f>
        <v>0</v>
      </c>
      <c r="K18" s="1361">
        <f>G18*$M18</f>
        <v>0</v>
      </c>
      <c r="L18" s="1361">
        <f>H18*$M18</f>
        <v>0</v>
      </c>
      <c r="M18" s="1361">
        <f>SUM(N18:Y18)</f>
        <v>0</v>
      </c>
      <c r="N18" s="1361">
        <f>RBBD!I3</f>
        <v>0</v>
      </c>
      <c r="O18" s="1361">
        <f>RBBD!J3</f>
        <v>0</v>
      </c>
      <c r="P18" s="1361">
        <f>RBBD!K3</f>
        <v>0</v>
      </c>
      <c r="Q18" s="1361">
        <f>RBBD!L3</f>
        <v>0</v>
      </c>
      <c r="R18" s="1361">
        <f>RBBD!M3</f>
        <v>0</v>
      </c>
      <c r="S18" s="1361">
        <f>RBBD!N3</f>
        <v>0</v>
      </c>
      <c r="T18" s="1361">
        <f>RBBD!O3</f>
        <v>0</v>
      </c>
      <c r="U18" s="1361">
        <f>RBBD!P3</f>
        <v>0</v>
      </c>
      <c r="V18" s="1361">
        <f>RBBD!Q3</f>
        <v>0</v>
      </c>
      <c r="W18" s="1361">
        <f>RBBD!R3</f>
        <v>0</v>
      </c>
      <c r="X18" s="1361">
        <f>RBBD!S3</f>
        <v>0</v>
      </c>
      <c r="Y18" s="1361">
        <f>RBBD!T3</f>
        <v>0</v>
      </c>
      <c r="Z18" s="65"/>
      <c r="AA18" s="329">
        <f t="shared" ref="AA18:AA23" si="1">IF(B18=0,0,1)</f>
        <v>0</v>
      </c>
    </row>
    <row r="19" spans="2:27" hidden="1">
      <c r="B19" s="1361">
        <f>RBBD!B4</f>
        <v>0</v>
      </c>
      <c r="C19" s="1361">
        <f>RBBD!C4</f>
        <v>0</v>
      </c>
      <c r="D19" s="1361">
        <f>RBBD!D4</f>
        <v>0</v>
      </c>
      <c r="E19" s="1361">
        <f>RBBD!E4</f>
        <v>0</v>
      </c>
      <c r="F19" s="1361">
        <f>RBBD!F4</f>
        <v>0</v>
      </c>
      <c r="G19" s="1361">
        <f>RBBD!G4</f>
        <v>0</v>
      </c>
      <c r="H19" s="1361">
        <f>RBBD!H4</f>
        <v>0</v>
      </c>
      <c r="I19" s="1361">
        <f t="shared" ref="I19:L60" si="2">E19*$M19</f>
        <v>0</v>
      </c>
      <c r="J19" s="1361">
        <f t="shared" si="2"/>
        <v>0</v>
      </c>
      <c r="K19" s="1361">
        <f t="shared" si="2"/>
        <v>0</v>
      </c>
      <c r="L19" s="1361">
        <f t="shared" si="2"/>
        <v>0</v>
      </c>
      <c r="M19" s="1361">
        <f t="shared" ref="M19:M60" si="3">SUM(N19:Y19)</f>
        <v>0</v>
      </c>
      <c r="N19" s="1361">
        <f>RBBD!I4</f>
        <v>0</v>
      </c>
      <c r="O19" s="1361">
        <f>RBBD!J4</f>
        <v>0</v>
      </c>
      <c r="P19" s="1361">
        <f>RBBD!K4</f>
        <v>0</v>
      </c>
      <c r="Q19" s="1361">
        <f>RBBD!L4</f>
        <v>0</v>
      </c>
      <c r="R19" s="1361">
        <f>RBBD!M4</f>
        <v>0</v>
      </c>
      <c r="S19" s="1361">
        <f>RBBD!N4</f>
        <v>0</v>
      </c>
      <c r="T19" s="1361">
        <f>RBBD!O4</f>
        <v>0</v>
      </c>
      <c r="U19" s="1361">
        <f>RBBD!P4</f>
        <v>0</v>
      </c>
      <c r="V19" s="1361">
        <f>RBBD!Q4</f>
        <v>0</v>
      </c>
      <c r="W19" s="1361">
        <f>RBBD!R4</f>
        <v>0</v>
      </c>
      <c r="X19" s="1361">
        <f>RBBD!S4</f>
        <v>0</v>
      </c>
      <c r="Y19" s="1361">
        <f>RBBD!T4</f>
        <v>0</v>
      </c>
      <c r="Z19" s="65"/>
      <c r="AA19" s="329">
        <f t="shared" si="1"/>
        <v>0</v>
      </c>
    </row>
    <row r="20" spans="2:27" hidden="1">
      <c r="B20" s="1361">
        <f>RBBD!B5</f>
        <v>0</v>
      </c>
      <c r="C20" s="1361">
        <f>RBBD!C5</f>
        <v>0</v>
      </c>
      <c r="D20" s="1361">
        <f>RBBD!D5</f>
        <v>0</v>
      </c>
      <c r="E20" s="1361">
        <f>RBBD!E5</f>
        <v>0</v>
      </c>
      <c r="F20" s="1361">
        <f>RBBD!F5</f>
        <v>0</v>
      </c>
      <c r="G20" s="1361">
        <f>RBBD!G5</f>
        <v>0</v>
      </c>
      <c r="H20" s="1361">
        <f>RBBD!H5</f>
        <v>0</v>
      </c>
      <c r="I20" s="1361">
        <f t="shared" si="2"/>
        <v>0</v>
      </c>
      <c r="J20" s="1361">
        <f t="shared" si="2"/>
        <v>0</v>
      </c>
      <c r="K20" s="1361">
        <f t="shared" si="2"/>
        <v>0</v>
      </c>
      <c r="L20" s="1361">
        <f t="shared" si="2"/>
        <v>0</v>
      </c>
      <c r="M20" s="1361">
        <f t="shared" si="3"/>
        <v>0</v>
      </c>
      <c r="N20" s="1361">
        <f>RBBD!I5</f>
        <v>0</v>
      </c>
      <c r="O20" s="1361">
        <f>RBBD!J5</f>
        <v>0</v>
      </c>
      <c r="P20" s="1361">
        <f>RBBD!K5</f>
        <v>0</v>
      </c>
      <c r="Q20" s="1361">
        <f>RBBD!L5</f>
        <v>0</v>
      </c>
      <c r="R20" s="1361">
        <f>RBBD!M5</f>
        <v>0</v>
      </c>
      <c r="S20" s="1361">
        <f>RBBD!N5</f>
        <v>0</v>
      </c>
      <c r="T20" s="1361">
        <f>RBBD!O5</f>
        <v>0</v>
      </c>
      <c r="U20" s="1361">
        <f>RBBD!P5</f>
        <v>0</v>
      </c>
      <c r="V20" s="1361">
        <f>RBBD!Q5</f>
        <v>0</v>
      </c>
      <c r="W20" s="1361">
        <f>RBBD!R5</f>
        <v>0</v>
      </c>
      <c r="X20" s="1361">
        <f>RBBD!S5</f>
        <v>0</v>
      </c>
      <c r="Y20" s="1361">
        <f>RBBD!T5</f>
        <v>0</v>
      </c>
      <c r="Z20" s="65"/>
      <c r="AA20" s="329">
        <f t="shared" si="1"/>
        <v>0</v>
      </c>
    </row>
    <row r="21" spans="2:27" hidden="1">
      <c r="B21" s="1361">
        <f>RBBD!B6</f>
        <v>0</v>
      </c>
      <c r="C21" s="1361">
        <f>RBBD!C6</f>
        <v>0</v>
      </c>
      <c r="D21" s="1361">
        <f>RBBD!D6</f>
        <v>0</v>
      </c>
      <c r="E21" s="1361">
        <f>RBBD!E6</f>
        <v>0</v>
      </c>
      <c r="F21" s="1361">
        <f>RBBD!F6</f>
        <v>0</v>
      </c>
      <c r="G21" s="1361">
        <f>RBBD!G6</f>
        <v>0</v>
      </c>
      <c r="H21" s="1361">
        <f>RBBD!H6</f>
        <v>0</v>
      </c>
      <c r="I21" s="1361">
        <f t="shared" si="2"/>
        <v>0</v>
      </c>
      <c r="J21" s="1361">
        <f t="shared" si="2"/>
        <v>0</v>
      </c>
      <c r="K21" s="1361">
        <f t="shared" si="2"/>
        <v>0</v>
      </c>
      <c r="L21" s="1361">
        <f t="shared" si="2"/>
        <v>0</v>
      </c>
      <c r="M21" s="1361">
        <f t="shared" si="3"/>
        <v>0</v>
      </c>
      <c r="N21" s="1361">
        <f>RBBD!I6</f>
        <v>0</v>
      </c>
      <c r="O21" s="1361">
        <f>RBBD!J6</f>
        <v>0</v>
      </c>
      <c r="P21" s="1361">
        <f>RBBD!K6</f>
        <v>0</v>
      </c>
      <c r="Q21" s="1361">
        <f>RBBD!L6</f>
        <v>0</v>
      </c>
      <c r="R21" s="1361">
        <f>RBBD!M6</f>
        <v>0</v>
      </c>
      <c r="S21" s="1361">
        <f>RBBD!N6</f>
        <v>0</v>
      </c>
      <c r="T21" s="1361">
        <f>RBBD!O6</f>
        <v>0</v>
      </c>
      <c r="U21" s="1361">
        <f>RBBD!P6</f>
        <v>0</v>
      </c>
      <c r="V21" s="1361">
        <f>RBBD!Q6</f>
        <v>0</v>
      </c>
      <c r="W21" s="1361">
        <f>RBBD!R6</f>
        <v>0</v>
      </c>
      <c r="X21" s="1361">
        <f>RBBD!S6</f>
        <v>0</v>
      </c>
      <c r="Y21" s="1361">
        <f>RBBD!T6</f>
        <v>0</v>
      </c>
      <c r="Z21" s="65"/>
      <c r="AA21" s="329">
        <f t="shared" si="1"/>
        <v>0</v>
      </c>
    </row>
    <row r="22" spans="2:27" hidden="1">
      <c r="B22" s="1361">
        <f>RBBD!B7</f>
        <v>0</v>
      </c>
      <c r="C22" s="1361">
        <f>RBBD!C7</f>
        <v>0</v>
      </c>
      <c r="D22" s="1361">
        <f>RBBD!D7</f>
        <v>0</v>
      </c>
      <c r="E22" s="1361">
        <f>RBBD!E7</f>
        <v>0</v>
      </c>
      <c r="F22" s="1361">
        <f>RBBD!F7</f>
        <v>0</v>
      </c>
      <c r="G22" s="1361">
        <f>RBBD!G7</f>
        <v>0</v>
      </c>
      <c r="H22" s="1361">
        <f>RBBD!H7</f>
        <v>0</v>
      </c>
      <c r="I22" s="1361">
        <f t="shared" si="2"/>
        <v>0</v>
      </c>
      <c r="J22" s="1361">
        <f t="shared" si="2"/>
        <v>0</v>
      </c>
      <c r="K22" s="1361">
        <f t="shared" si="2"/>
        <v>0</v>
      </c>
      <c r="L22" s="1361">
        <f t="shared" si="2"/>
        <v>0</v>
      </c>
      <c r="M22" s="1361">
        <f t="shared" si="3"/>
        <v>0</v>
      </c>
      <c r="N22" s="1361">
        <f>RBBD!I7</f>
        <v>0</v>
      </c>
      <c r="O22" s="1361">
        <f>RBBD!J7</f>
        <v>0</v>
      </c>
      <c r="P22" s="1361">
        <f>RBBD!K7</f>
        <v>0</v>
      </c>
      <c r="Q22" s="1361">
        <f>RBBD!L7</f>
        <v>0</v>
      </c>
      <c r="R22" s="1361">
        <f>RBBD!M7</f>
        <v>0</v>
      </c>
      <c r="S22" s="1361">
        <f>RBBD!N7</f>
        <v>0</v>
      </c>
      <c r="T22" s="1361">
        <f>RBBD!O7</f>
        <v>0</v>
      </c>
      <c r="U22" s="1361">
        <f>RBBD!P7</f>
        <v>0</v>
      </c>
      <c r="V22" s="1361">
        <f>RBBD!Q7</f>
        <v>0</v>
      </c>
      <c r="W22" s="1361">
        <f>RBBD!R7</f>
        <v>0</v>
      </c>
      <c r="X22" s="1361">
        <f>RBBD!S7</f>
        <v>0</v>
      </c>
      <c r="Y22" s="1361">
        <f>RBBD!T7</f>
        <v>0</v>
      </c>
      <c r="Z22" s="65"/>
      <c r="AA22" s="329">
        <f t="shared" si="1"/>
        <v>0</v>
      </c>
    </row>
    <row r="23" spans="2:27" hidden="1">
      <c r="B23" s="1361">
        <f>RBBD!B8</f>
        <v>0</v>
      </c>
      <c r="C23" s="1361">
        <f>RBBD!C8</f>
        <v>0</v>
      </c>
      <c r="D23" s="1361">
        <f>RBBD!D8</f>
        <v>0</v>
      </c>
      <c r="E23" s="1361">
        <f>RBBD!E8</f>
        <v>0</v>
      </c>
      <c r="F23" s="1361">
        <f>RBBD!F8</f>
        <v>0</v>
      </c>
      <c r="G23" s="1361">
        <f>RBBD!G8</f>
        <v>0</v>
      </c>
      <c r="H23" s="1361">
        <f>RBBD!H8</f>
        <v>0</v>
      </c>
      <c r="I23" s="1361">
        <f t="shared" si="2"/>
        <v>0</v>
      </c>
      <c r="J23" s="1361">
        <f t="shared" si="2"/>
        <v>0</v>
      </c>
      <c r="K23" s="1361">
        <f t="shared" si="2"/>
        <v>0</v>
      </c>
      <c r="L23" s="1361">
        <f t="shared" si="2"/>
        <v>0</v>
      </c>
      <c r="M23" s="1361">
        <f t="shared" si="3"/>
        <v>0</v>
      </c>
      <c r="N23" s="1361">
        <f>RBBD!I8</f>
        <v>0</v>
      </c>
      <c r="O23" s="1361">
        <f>RBBD!J8</f>
        <v>0</v>
      </c>
      <c r="P23" s="1361">
        <f>RBBD!K8</f>
        <v>0</v>
      </c>
      <c r="Q23" s="1361">
        <f>RBBD!L8</f>
        <v>0</v>
      </c>
      <c r="R23" s="1361">
        <f>RBBD!M8</f>
        <v>0</v>
      </c>
      <c r="S23" s="1361">
        <f>RBBD!N8</f>
        <v>0</v>
      </c>
      <c r="T23" s="1361">
        <f>RBBD!O8</f>
        <v>0</v>
      </c>
      <c r="U23" s="1361">
        <f>RBBD!P8</f>
        <v>0</v>
      </c>
      <c r="V23" s="1361">
        <f>RBBD!Q8</f>
        <v>0</v>
      </c>
      <c r="W23" s="1361">
        <f>RBBD!R8</f>
        <v>0</v>
      </c>
      <c r="X23" s="1361">
        <f>RBBD!S8</f>
        <v>0</v>
      </c>
      <c r="Y23" s="1361">
        <f>RBBD!T8</f>
        <v>0</v>
      </c>
      <c r="Z23" s="65"/>
      <c r="AA23" s="329">
        <f t="shared" si="1"/>
        <v>0</v>
      </c>
    </row>
    <row r="24" spans="2:27" hidden="1">
      <c r="B24" s="1361">
        <f>RBBD!B9</f>
        <v>0</v>
      </c>
      <c r="C24" s="1361">
        <f>RBBD!C9</f>
        <v>0</v>
      </c>
      <c r="D24" s="1361">
        <f>RBBD!D9</f>
        <v>0</v>
      </c>
      <c r="E24" s="1361">
        <f>RBBD!E9</f>
        <v>0</v>
      </c>
      <c r="F24" s="1361">
        <f>RBBD!F9</f>
        <v>0</v>
      </c>
      <c r="G24" s="1361">
        <f>RBBD!G9</f>
        <v>0</v>
      </c>
      <c r="H24" s="1361">
        <f>RBBD!H9</f>
        <v>0</v>
      </c>
      <c r="I24" s="1361">
        <f t="shared" si="2"/>
        <v>0</v>
      </c>
      <c r="J24" s="1361">
        <f t="shared" si="2"/>
        <v>0</v>
      </c>
      <c r="K24" s="1361">
        <f t="shared" si="2"/>
        <v>0</v>
      </c>
      <c r="L24" s="1361">
        <f t="shared" si="2"/>
        <v>0</v>
      </c>
      <c r="M24" s="1361">
        <f t="shared" si="3"/>
        <v>0</v>
      </c>
      <c r="N24" s="1361">
        <f>RBBD!I9</f>
        <v>0</v>
      </c>
      <c r="O24" s="1361">
        <f>RBBD!J9</f>
        <v>0</v>
      </c>
      <c r="P24" s="1361">
        <f>RBBD!K9</f>
        <v>0</v>
      </c>
      <c r="Q24" s="1361">
        <f>RBBD!L9</f>
        <v>0</v>
      </c>
      <c r="R24" s="1361">
        <f>RBBD!M9</f>
        <v>0</v>
      </c>
      <c r="S24" s="1361">
        <f>RBBD!N9</f>
        <v>0</v>
      </c>
      <c r="T24" s="1361">
        <f>RBBD!O9</f>
        <v>0</v>
      </c>
      <c r="U24" s="1361">
        <f>RBBD!P9</f>
        <v>0</v>
      </c>
      <c r="V24" s="1361">
        <f>RBBD!Q9</f>
        <v>0</v>
      </c>
      <c r="W24" s="1361">
        <f>RBBD!R9</f>
        <v>0</v>
      </c>
      <c r="X24" s="1361">
        <f>RBBD!S9</f>
        <v>0</v>
      </c>
      <c r="Y24" s="1361">
        <f>RBBD!T9</f>
        <v>0</v>
      </c>
      <c r="Z24" s="65"/>
      <c r="AA24" s="329">
        <f t="shared" ref="AA24:AA38" si="4">IF(B24=0,0,1)</f>
        <v>0</v>
      </c>
    </row>
    <row r="25" spans="2:27" hidden="1">
      <c r="B25" s="1361">
        <f>RBBD!B10</f>
        <v>0</v>
      </c>
      <c r="C25" s="1361">
        <f>RBBD!C10</f>
        <v>0</v>
      </c>
      <c r="D25" s="1361">
        <f>RBBD!D10</f>
        <v>0</v>
      </c>
      <c r="E25" s="1361">
        <f>RBBD!E10</f>
        <v>0</v>
      </c>
      <c r="F25" s="1361">
        <f>RBBD!F10</f>
        <v>0</v>
      </c>
      <c r="G25" s="1361">
        <f>RBBD!G10</f>
        <v>0</v>
      </c>
      <c r="H25" s="1361">
        <f>RBBD!H10</f>
        <v>0</v>
      </c>
      <c r="I25" s="1361">
        <f t="shared" si="2"/>
        <v>0</v>
      </c>
      <c r="J25" s="1361">
        <f t="shared" si="2"/>
        <v>0</v>
      </c>
      <c r="K25" s="1361">
        <f t="shared" si="2"/>
        <v>0</v>
      </c>
      <c r="L25" s="1361">
        <f t="shared" si="2"/>
        <v>0</v>
      </c>
      <c r="M25" s="1361">
        <f t="shared" si="3"/>
        <v>0</v>
      </c>
      <c r="N25" s="1361">
        <f>RBBD!I10</f>
        <v>0</v>
      </c>
      <c r="O25" s="1361">
        <f>RBBD!J10</f>
        <v>0</v>
      </c>
      <c r="P25" s="1361">
        <f>RBBD!K10</f>
        <v>0</v>
      </c>
      <c r="Q25" s="1361">
        <f>RBBD!L10</f>
        <v>0</v>
      </c>
      <c r="R25" s="1361">
        <f>RBBD!M10</f>
        <v>0</v>
      </c>
      <c r="S25" s="1361">
        <f>RBBD!N10</f>
        <v>0</v>
      </c>
      <c r="T25" s="1361">
        <f>RBBD!O10</f>
        <v>0</v>
      </c>
      <c r="U25" s="1361">
        <f>RBBD!P10</f>
        <v>0</v>
      </c>
      <c r="V25" s="1361">
        <f>RBBD!Q10</f>
        <v>0</v>
      </c>
      <c r="W25" s="1361">
        <f>RBBD!R10</f>
        <v>0</v>
      </c>
      <c r="X25" s="1361">
        <f>RBBD!S10</f>
        <v>0</v>
      </c>
      <c r="Y25" s="1361">
        <f>RBBD!T10</f>
        <v>0</v>
      </c>
      <c r="Z25" s="65"/>
      <c r="AA25" s="329">
        <f t="shared" si="4"/>
        <v>0</v>
      </c>
    </row>
    <row r="26" spans="2:27" hidden="1">
      <c r="B26" s="1361">
        <f>RBBD!B11</f>
        <v>0</v>
      </c>
      <c r="C26" s="1361">
        <f>RBBD!C11</f>
        <v>0</v>
      </c>
      <c r="D26" s="1361">
        <f>RBBD!D11</f>
        <v>0</v>
      </c>
      <c r="E26" s="1361">
        <f>RBBD!E11</f>
        <v>0</v>
      </c>
      <c r="F26" s="1361">
        <f>RBBD!F11</f>
        <v>0</v>
      </c>
      <c r="G26" s="1361">
        <f>RBBD!G11</f>
        <v>0</v>
      </c>
      <c r="H26" s="1361">
        <f>RBBD!H11</f>
        <v>0</v>
      </c>
      <c r="I26" s="1361">
        <f t="shared" si="2"/>
        <v>0</v>
      </c>
      <c r="J26" s="1361">
        <f t="shared" si="2"/>
        <v>0</v>
      </c>
      <c r="K26" s="1361">
        <f t="shared" si="2"/>
        <v>0</v>
      </c>
      <c r="L26" s="1361">
        <f t="shared" si="2"/>
        <v>0</v>
      </c>
      <c r="M26" s="1361">
        <f t="shared" si="3"/>
        <v>0</v>
      </c>
      <c r="N26" s="1361">
        <f>RBBD!I11</f>
        <v>0</v>
      </c>
      <c r="O26" s="1361">
        <f>RBBD!J11</f>
        <v>0</v>
      </c>
      <c r="P26" s="1361">
        <f>RBBD!K11</f>
        <v>0</v>
      </c>
      <c r="Q26" s="1361">
        <f>RBBD!L11</f>
        <v>0</v>
      </c>
      <c r="R26" s="1361">
        <f>RBBD!M11</f>
        <v>0</v>
      </c>
      <c r="S26" s="1361">
        <f>RBBD!N11</f>
        <v>0</v>
      </c>
      <c r="T26" s="1361">
        <f>RBBD!O11</f>
        <v>0</v>
      </c>
      <c r="U26" s="1361">
        <f>RBBD!P11</f>
        <v>0</v>
      </c>
      <c r="V26" s="1361">
        <f>RBBD!Q11</f>
        <v>0</v>
      </c>
      <c r="W26" s="1361">
        <f>RBBD!R11</f>
        <v>0</v>
      </c>
      <c r="X26" s="1361">
        <f>RBBD!S11</f>
        <v>0</v>
      </c>
      <c r="Y26" s="1361">
        <f>RBBD!T11</f>
        <v>0</v>
      </c>
      <c r="Z26" s="65"/>
      <c r="AA26" s="329">
        <f t="shared" si="4"/>
        <v>0</v>
      </c>
    </row>
    <row r="27" spans="2:27" hidden="1">
      <c r="B27" s="1361">
        <f>RBBD!B12</f>
        <v>0</v>
      </c>
      <c r="C27" s="1361">
        <f>RBBD!C12</f>
        <v>0</v>
      </c>
      <c r="D27" s="1361">
        <f>RBBD!D12</f>
        <v>0</v>
      </c>
      <c r="E27" s="1361">
        <f>RBBD!E12</f>
        <v>0</v>
      </c>
      <c r="F27" s="1361">
        <f>RBBD!F12</f>
        <v>0</v>
      </c>
      <c r="G27" s="1361">
        <f>RBBD!G12</f>
        <v>0</v>
      </c>
      <c r="H27" s="1361">
        <f>RBBD!H12</f>
        <v>0</v>
      </c>
      <c r="I27" s="1361">
        <f t="shared" si="2"/>
        <v>0</v>
      </c>
      <c r="J27" s="1361">
        <f t="shared" si="2"/>
        <v>0</v>
      </c>
      <c r="K27" s="1361">
        <f t="shared" si="2"/>
        <v>0</v>
      </c>
      <c r="L27" s="1361">
        <f t="shared" si="2"/>
        <v>0</v>
      </c>
      <c r="M27" s="1361">
        <f t="shared" si="3"/>
        <v>0</v>
      </c>
      <c r="N27" s="1361">
        <f>RBBD!I12</f>
        <v>0</v>
      </c>
      <c r="O27" s="1361">
        <f>RBBD!J12</f>
        <v>0</v>
      </c>
      <c r="P27" s="1361">
        <f>RBBD!K12</f>
        <v>0</v>
      </c>
      <c r="Q27" s="1361">
        <f>RBBD!L12</f>
        <v>0</v>
      </c>
      <c r="R27" s="1361">
        <f>RBBD!M12</f>
        <v>0</v>
      </c>
      <c r="S27" s="1361">
        <f>RBBD!N12</f>
        <v>0</v>
      </c>
      <c r="T27" s="1361">
        <f>RBBD!O12</f>
        <v>0</v>
      </c>
      <c r="U27" s="1361">
        <f>RBBD!P12</f>
        <v>0</v>
      </c>
      <c r="V27" s="1361">
        <f>RBBD!Q12</f>
        <v>0</v>
      </c>
      <c r="W27" s="1361">
        <f>RBBD!R12</f>
        <v>0</v>
      </c>
      <c r="X27" s="1361">
        <f>RBBD!S12</f>
        <v>0</v>
      </c>
      <c r="Y27" s="1361">
        <f>RBBD!T12</f>
        <v>0</v>
      </c>
      <c r="Z27" s="65"/>
      <c r="AA27" s="329">
        <f t="shared" si="4"/>
        <v>0</v>
      </c>
    </row>
    <row r="28" spans="2:27" hidden="1">
      <c r="B28" s="1361">
        <f>RBBD!B13</f>
        <v>0</v>
      </c>
      <c r="C28" s="1361">
        <f>RBBD!C13</f>
        <v>0</v>
      </c>
      <c r="D28" s="1361">
        <f>RBBD!D13</f>
        <v>0</v>
      </c>
      <c r="E28" s="1361">
        <f>RBBD!G13</f>
        <v>0</v>
      </c>
      <c r="F28" s="1361">
        <f>RBBD!H13</f>
        <v>0</v>
      </c>
      <c r="G28" s="1361">
        <f>RBBD!E13</f>
        <v>0</v>
      </c>
      <c r="H28" s="1361">
        <f>RBBD!F13</f>
        <v>0</v>
      </c>
      <c r="I28" s="1361">
        <f t="shared" si="2"/>
        <v>0</v>
      </c>
      <c r="J28" s="1361">
        <f t="shared" si="2"/>
        <v>0</v>
      </c>
      <c r="K28" s="1361">
        <f t="shared" si="2"/>
        <v>0</v>
      </c>
      <c r="L28" s="1361">
        <f t="shared" si="2"/>
        <v>0</v>
      </c>
      <c r="M28" s="1361">
        <f t="shared" si="3"/>
        <v>0</v>
      </c>
      <c r="N28" s="1361">
        <f>RBBD!I13</f>
        <v>0</v>
      </c>
      <c r="O28" s="1361">
        <f>RBBD!J13</f>
        <v>0</v>
      </c>
      <c r="P28" s="1361">
        <f>RBBD!K13</f>
        <v>0</v>
      </c>
      <c r="Q28" s="1361">
        <f>RBBD!L13</f>
        <v>0</v>
      </c>
      <c r="R28" s="1361">
        <f>RBBD!M13</f>
        <v>0</v>
      </c>
      <c r="S28" s="1361">
        <f>RBBD!N13</f>
        <v>0</v>
      </c>
      <c r="T28" s="1361">
        <f>RBBD!O13</f>
        <v>0</v>
      </c>
      <c r="U28" s="1361">
        <f>RBBD!P13</f>
        <v>0</v>
      </c>
      <c r="V28" s="1361">
        <f>RBBD!Q13</f>
        <v>0</v>
      </c>
      <c r="W28" s="1361">
        <f>RBBD!R13</f>
        <v>0</v>
      </c>
      <c r="X28" s="1361">
        <f>RBBD!S13</f>
        <v>0</v>
      </c>
      <c r="Y28" s="1361">
        <f>RBBD!T13</f>
        <v>0</v>
      </c>
      <c r="Z28" s="65"/>
      <c r="AA28" s="329">
        <f t="shared" si="4"/>
        <v>0</v>
      </c>
    </row>
    <row r="29" spans="2:27" hidden="1">
      <c r="B29" s="1361">
        <f>RBBD!B14</f>
        <v>0</v>
      </c>
      <c r="C29" s="1361">
        <f>RBBD!C14</f>
        <v>0</v>
      </c>
      <c r="D29" s="1361">
        <f>RBBD!D14</f>
        <v>0</v>
      </c>
      <c r="E29" s="1361">
        <f>RBBD!G14</f>
        <v>0</v>
      </c>
      <c r="F29" s="1361">
        <f>RBBD!H14</f>
        <v>0</v>
      </c>
      <c r="G29" s="1361">
        <f>RBBD!E14</f>
        <v>0</v>
      </c>
      <c r="H29" s="1361">
        <f>RBBD!F14</f>
        <v>0</v>
      </c>
      <c r="I29" s="1361">
        <f t="shared" si="2"/>
        <v>0</v>
      </c>
      <c r="J29" s="1361">
        <f t="shared" si="2"/>
        <v>0</v>
      </c>
      <c r="K29" s="1361">
        <f t="shared" si="2"/>
        <v>0</v>
      </c>
      <c r="L29" s="1361">
        <f t="shared" si="2"/>
        <v>0</v>
      </c>
      <c r="M29" s="1361">
        <f t="shared" si="3"/>
        <v>0</v>
      </c>
      <c r="N29" s="1361">
        <f>RBBD!I14</f>
        <v>0</v>
      </c>
      <c r="O29" s="1361">
        <f>RBBD!J14</f>
        <v>0</v>
      </c>
      <c r="P29" s="1361">
        <f>RBBD!K14</f>
        <v>0</v>
      </c>
      <c r="Q29" s="1361">
        <f>RBBD!L14</f>
        <v>0</v>
      </c>
      <c r="R29" s="1361">
        <f>RBBD!M14</f>
        <v>0</v>
      </c>
      <c r="S29" s="1361">
        <f>RBBD!N14</f>
        <v>0</v>
      </c>
      <c r="T29" s="1361">
        <f>RBBD!O14</f>
        <v>0</v>
      </c>
      <c r="U29" s="1361">
        <f>RBBD!P14</f>
        <v>0</v>
      </c>
      <c r="V29" s="1361">
        <f>RBBD!Q14</f>
        <v>0</v>
      </c>
      <c r="W29" s="1361">
        <f>RBBD!R14</f>
        <v>0</v>
      </c>
      <c r="X29" s="1361">
        <f>RBBD!S14</f>
        <v>0</v>
      </c>
      <c r="Y29" s="1361">
        <f>RBBD!T14</f>
        <v>0</v>
      </c>
      <c r="Z29" s="65"/>
      <c r="AA29" s="329">
        <f t="shared" si="4"/>
        <v>0</v>
      </c>
    </row>
    <row r="30" spans="2:27" hidden="1">
      <c r="B30" s="1361">
        <f>RBBD!B15</f>
        <v>0</v>
      </c>
      <c r="C30" s="1361">
        <f>RBBD!C15</f>
        <v>0</v>
      </c>
      <c r="D30" s="1361">
        <f>RBBD!D15</f>
        <v>0</v>
      </c>
      <c r="E30" s="1361">
        <f>RBBD!G15</f>
        <v>0</v>
      </c>
      <c r="F30" s="1361">
        <f>RBBD!H15</f>
        <v>0</v>
      </c>
      <c r="G30" s="1361">
        <f>RBBD!E15</f>
        <v>0</v>
      </c>
      <c r="H30" s="1361">
        <f>RBBD!F15</f>
        <v>0</v>
      </c>
      <c r="I30" s="1361">
        <f t="shared" si="2"/>
        <v>0</v>
      </c>
      <c r="J30" s="1361">
        <f t="shared" si="2"/>
        <v>0</v>
      </c>
      <c r="K30" s="1361">
        <f t="shared" si="2"/>
        <v>0</v>
      </c>
      <c r="L30" s="1361">
        <f t="shared" si="2"/>
        <v>0</v>
      </c>
      <c r="M30" s="1361">
        <f t="shared" si="3"/>
        <v>0</v>
      </c>
      <c r="N30" s="1361">
        <f>RBBD!I15</f>
        <v>0</v>
      </c>
      <c r="O30" s="1361">
        <f>RBBD!J15</f>
        <v>0</v>
      </c>
      <c r="P30" s="1361">
        <f>RBBD!K15</f>
        <v>0</v>
      </c>
      <c r="Q30" s="1361">
        <f>RBBD!L15</f>
        <v>0</v>
      </c>
      <c r="R30" s="1361">
        <f>RBBD!M15</f>
        <v>0</v>
      </c>
      <c r="S30" s="1361">
        <f>RBBD!N15</f>
        <v>0</v>
      </c>
      <c r="T30" s="1361">
        <f>RBBD!O15</f>
        <v>0</v>
      </c>
      <c r="U30" s="1361">
        <f>RBBD!P15</f>
        <v>0</v>
      </c>
      <c r="V30" s="1361">
        <f>RBBD!Q15</f>
        <v>0</v>
      </c>
      <c r="W30" s="1361">
        <f>RBBD!R15</f>
        <v>0</v>
      </c>
      <c r="X30" s="1361">
        <f>RBBD!S15</f>
        <v>0</v>
      </c>
      <c r="Y30" s="1361">
        <f>RBBD!T15</f>
        <v>0</v>
      </c>
      <c r="Z30" s="65"/>
      <c r="AA30" s="329">
        <f t="shared" si="4"/>
        <v>0</v>
      </c>
    </row>
    <row r="31" spans="2:27" hidden="1">
      <c r="B31" s="1361">
        <f>RBBD!B16</f>
        <v>0</v>
      </c>
      <c r="C31" s="1361">
        <f>RBBD!C16</f>
        <v>0</v>
      </c>
      <c r="D31" s="1361">
        <f>RBBD!D16</f>
        <v>0</v>
      </c>
      <c r="E31" s="1361">
        <f>RBBD!G16</f>
        <v>0</v>
      </c>
      <c r="F31" s="1361">
        <f>RBBD!H16</f>
        <v>0</v>
      </c>
      <c r="G31" s="1361">
        <f>RBBD!E16</f>
        <v>0</v>
      </c>
      <c r="H31" s="1361">
        <f>RBBD!F16</f>
        <v>0</v>
      </c>
      <c r="I31" s="1361">
        <f t="shared" si="2"/>
        <v>0</v>
      </c>
      <c r="J31" s="1361">
        <f t="shared" si="2"/>
        <v>0</v>
      </c>
      <c r="K31" s="1361">
        <f t="shared" si="2"/>
        <v>0</v>
      </c>
      <c r="L31" s="1361">
        <f t="shared" si="2"/>
        <v>0</v>
      </c>
      <c r="M31" s="1361">
        <f t="shared" si="3"/>
        <v>0</v>
      </c>
      <c r="N31" s="1361">
        <f>RBBD!I16</f>
        <v>0</v>
      </c>
      <c r="O31" s="1361">
        <f>RBBD!J16</f>
        <v>0</v>
      </c>
      <c r="P31" s="1361">
        <f>RBBD!K16</f>
        <v>0</v>
      </c>
      <c r="Q31" s="1361">
        <f>RBBD!L16</f>
        <v>0</v>
      </c>
      <c r="R31" s="1361">
        <f>RBBD!M16</f>
        <v>0</v>
      </c>
      <c r="S31" s="1361">
        <f>RBBD!N16</f>
        <v>0</v>
      </c>
      <c r="T31" s="1361">
        <f>RBBD!O16</f>
        <v>0</v>
      </c>
      <c r="U31" s="1361">
        <f>RBBD!P16</f>
        <v>0</v>
      </c>
      <c r="V31" s="1361">
        <f>RBBD!Q16</f>
        <v>0</v>
      </c>
      <c r="W31" s="1361">
        <f>RBBD!R16</f>
        <v>0</v>
      </c>
      <c r="X31" s="1361">
        <f>RBBD!S16</f>
        <v>0</v>
      </c>
      <c r="Y31" s="1361">
        <f>RBBD!T16</f>
        <v>0</v>
      </c>
      <c r="Z31" s="65"/>
      <c r="AA31" s="329">
        <f t="shared" si="4"/>
        <v>0</v>
      </c>
    </row>
    <row r="32" spans="2:27" hidden="1">
      <c r="B32" s="1361">
        <f>RBBD!B17</f>
        <v>0</v>
      </c>
      <c r="C32" s="1361">
        <f>RBBD!C17</f>
        <v>0</v>
      </c>
      <c r="D32" s="1361">
        <f>RBBD!D17</f>
        <v>0</v>
      </c>
      <c r="E32" s="1361">
        <f>RBBD!G17</f>
        <v>0</v>
      </c>
      <c r="F32" s="1361">
        <f>RBBD!H17</f>
        <v>0</v>
      </c>
      <c r="G32" s="1361">
        <f>RBBD!E17</f>
        <v>0</v>
      </c>
      <c r="H32" s="1361">
        <f>RBBD!F17</f>
        <v>0</v>
      </c>
      <c r="I32" s="1361">
        <f t="shared" si="2"/>
        <v>0</v>
      </c>
      <c r="J32" s="1361">
        <f t="shared" si="2"/>
        <v>0</v>
      </c>
      <c r="K32" s="1361">
        <f t="shared" si="2"/>
        <v>0</v>
      </c>
      <c r="L32" s="1361">
        <f t="shared" si="2"/>
        <v>0</v>
      </c>
      <c r="M32" s="1361">
        <f t="shared" si="3"/>
        <v>0</v>
      </c>
      <c r="N32" s="1361">
        <f>RBBD!I17</f>
        <v>0</v>
      </c>
      <c r="O32" s="1361">
        <f>RBBD!J17</f>
        <v>0</v>
      </c>
      <c r="P32" s="1361">
        <f>RBBD!K17</f>
        <v>0</v>
      </c>
      <c r="Q32" s="1361">
        <f>RBBD!L17</f>
        <v>0</v>
      </c>
      <c r="R32" s="1361">
        <f>RBBD!M17</f>
        <v>0</v>
      </c>
      <c r="S32" s="1361">
        <f>RBBD!N17</f>
        <v>0</v>
      </c>
      <c r="T32" s="1361">
        <f>RBBD!O17</f>
        <v>0</v>
      </c>
      <c r="U32" s="1361">
        <f>RBBD!P17</f>
        <v>0</v>
      </c>
      <c r="V32" s="1361">
        <f>RBBD!Q17</f>
        <v>0</v>
      </c>
      <c r="W32" s="1361">
        <f>RBBD!R17</f>
        <v>0</v>
      </c>
      <c r="X32" s="1361">
        <f>RBBD!S17</f>
        <v>0</v>
      </c>
      <c r="Y32" s="1361">
        <f>RBBD!T17</f>
        <v>0</v>
      </c>
      <c r="Z32" s="65"/>
      <c r="AA32" s="329">
        <f t="shared" si="4"/>
        <v>0</v>
      </c>
    </row>
    <row r="33" spans="2:27" hidden="1">
      <c r="B33" s="1361">
        <f>RBBD!B18</f>
        <v>0</v>
      </c>
      <c r="C33" s="1361">
        <f>RBBD!C18</f>
        <v>0</v>
      </c>
      <c r="D33" s="1361">
        <f>RBBD!D18</f>
        <v>0</v>
      </c>
      <c r="E33" s="1361">
        <f>RBBD!G18</f>
        <v>0</v>
      </c>
      <c r="F33" s="1361">
        <f>RBBD!H18</f>
        <v>0</v>
      </c>
      <c r="G33" s="1361">
        <f>RBBD!E18</f>
        <v>0</v>
      </c>
      <c r="H33" s="1361">
        <f>RBBD!F18</f>
        <v>0</v>
      </c>
      <c r="I33" s="1361">
        <f t="shared" si="2"/>
        <v>0</v>
      </c>
      <c r="J33" s="1361">
        <f t="shared" si="2"/>
        <v>0</v>
      </c>
      <c r="K33" s="1361">
        <f t="shared" si="2"/>
        <v>0</v>
      </c>
      <c r="L33" s="1361">
        <f t="shared" si="2"/>
        <v>0</v>
      </c>
      <c r="M33" s="1361">
        <f t="shared" si="3"/>
        <v>0</v>
      </c>
      <c r="N33" s="1361">
        <f>RBBD!I18</f>
        <v>0</v>
      </c>
      <c r="O33" s="1361">
        <f>RBBD!J18</f>
        <v>0</v>
      </c>
      <c r="P33" s="1361">
        <f>RBBD!K18</f>
        <v>0</v>
      </c>
      <c r="Q33" s="1361">
        <f>RBBD!L18</f>
        <v>0</v>
      </c>
      <c r="R33" s="1361">
        <f>RBBD!M18</f>
        <v>0</v>
      </c>
      <c r="S33" s="1361">
        <f>RBBD!N18</f>
        <v>0</v>
      </c>
      <c r="T33" s="1361">
        <f>RBBD!O18</f>
        <v>0</v>
      </c>
      <c r="U33" s="1361">
        <f>RBBD!P18</f>
        <v>0</v>
      </c>
      <c r="V33" s="1361">
        <f>RBBD!Q18</f>
        <v>0</v>
      </c>
      <c r="W33" s="1361">
        <f>RBBD!R18</f>
        <v>0</v>
      </c>
      <c r="X33" s="1361">
        <f>RBBD!S18</f>
        <v>0</v>
      </c>
      <c r="Y33" s="1361">
        <f>RBBD!T18</f>
        <v>0</v>
      </c>
      <c r="Z33" s="65"/>
      <c r="AA33" s="329">
        <f t="shared" si="4"/>
        <v>0</v>
      </c>
    </row>
    <row r="34" spans="2:27" hidden="1">
      <c r="B34" s="1361">
        <f>RBBD!B19</f>
        <v>0</v>
      </c>
      <c r="C34" s="1361">
        <f>RBBD!C19</f>
        <v>0</v>
      </c>
      <c r="D34" s="1361">
        <f>RBBD!D19</f>
        <v>0</v>
      </c>
      <c r="E34" s="1361">
        <f>RBBD!G19</f>
        <v>0</v>
      </c>
      <c r="F34" s="1361">
        <f>RBBD!H19</f>
        <v>0</v>
      </c>
      <c r="G34" s="1361">
        <f>RBBD!E19</f>
        <v>0</v>
      </c>
      <c r="H34" s="1361">
        <f>RBBD!F19</f>
        <v>0</v>
      </c>
      <c r="I34" s="1361">
        <f t="shared" si="2"/>
        <v>0</v>
      </c>
      <c r="J34" s="1361">
        <f t="shared" si="2"/>
        <v>0</v>
      </c>
      <c r="K34" s="1361">
        <f t="shared" si="2"/>
        <v>0</v>
      </c>
      <c r="L34" s="1361">
        <f t="shared" si="2"/>
        <v>0</v>
      </c>
      <c r="M34" s="1361">
        <f t="shared" si="3"/>
        <v>0</v>
      </c>
      <c r="N34" s="1361">
        <f>RBBD!I19</f>
        <v>0</v>
      </c>
      <c r="O34" s="1361">
        <f>RBBD!J19</f>
        <v>0</v>
      </c>
      <c r="P34" s="1361">
        <f>RBBD!K19</f>
        <v>0</v>
      </c>
      <c r="Q34" s="1361">
        <f>RBBD!L19</f>
        <v>0</v>
      </c>
      <c r="R34" s="1361">
        <f>RBBD!M19</f>
        <v>0</v>
      </c>
      <c r="S34" s="1361">
        <f>RBBD!N19</f>
        <v>0</v>
      </c>
      <c r="T34" s="1361">
        <f>RBBD!O19</f>
        <v>0</v>
      </c>
      <c r="U34" s="1361">
        <f>RBBD!P19</f>
        <v>0</v>
      </c>
      <c r="V34" s="1361">
        <f>RBBD!Q19</f>
        <v>0</v>
      </c>
      <c r="W34" s="1361">
        <f>RBBD!R19</f>
        <v>0</v>
      </c>
      <c r="X34" s="1361">
        <f>RBBD!S19</f>
        <v>0</v>
      </c>
      <c r="Y34" s="1361">
        <f>RBBD!T19</f>
        <v>0</v>
      </c>
      <c r="Z34" s="65"/>
      <c r="AA34" s="329">
        <f t="shared" si="4"/>
        <v>0</v>
      </c>
    </row>
    <row r="35" spans="2:27" hidden="1">
      <c r="B35" s="1361">
        <f>RBBD!B20</f>
        <v>0</v>
      </c>
      <c r="C35" s="1361">
        <f>RBBD!C20</f>
        <v>0</v>
      </c>
      <c r="D35" s="1361">
        <f>RBBD!D20</f>
        <v>0</v>
      </c>
      <c r="E35" s="1361">
        <f>RBBD!G20</f>
        <v>0</v>
      </c>
      <c r="F35" s="1361">
        <f>RBBD!H20</f>
        <v>0</v>
      </c>
      <c r="G35" s="1361">
        <f>RBBD!E20</f>
        <v>0</v>
      </c>
      <c r="H35" s="1361">
        <f>RBBD!F20</f>
        <v>0</v>
      </c>
      <c r="I35" s="1361">
        <f t="shared" si="2"/>
        <v>0</v>
      </c>
      <c r="J35" s="1361">
        <f t="shared" si="2"/>
        <v>0</v>
      </c>
      <c r="K35" s="1361">
        <f t="shared" si="2"/>
        <v>0</v>
      </c>
      <c r="L35" s="1361">
        <f t="shared" si="2"/>
        <v>0</v>
      </c>
      <c r="M35" s="1361">
        <f t="shared" si="3"/>
        <v>0</v>
      </c>
      <c r="N35" s="1361">
        <f>RBBD!I20</f>
        <v>0</v>
      </c>
      <c r="O35" s="1361">
        <f>RBBD!J20</f>
        <v>0</v>
      </c>
      <c r="P35" s="1361">
        <f>RBBD!K20</f>
        <v>0</v>
      </c>
      <c r="Q35" s="1361">
        <f>RBBD!L20</f>
        <v>0</v>
      </c>
      <c r="R35" s="1361">
        <f>RBBD!M20</f>
        <v>0</v>
      </c>
      <c r="S35" s="1361">
        <f>RBBD!N20</f>
        <v>0</v>
      </c>
      <c r="T35" s="1361">
        <f>RBBD!O20</f>
        <v>0</v>
      </c>
      <c r="U35" s="1361">
        <f>RBBD!P20</f>
        <v>0</v>
      </c>
      <c r="V35" s="1361">
        <f>RBBD!Q20</f>
        <v>0</v>
      </c>
      <c r="W35" s="1361">
        <f>RBBD!R20</f>
        <v>0</v>
      </c>
      <c r="X35" s="1361">
        <f>RBBD!S20</f>
        <v>0</v>
      </c>
      <c r="Y35" s="1361">
        <f>RBBD!T20</f>
        <v>0</v>
      </c>
      <c r="Z35" s="65"/>
      <c r="AA35" s="329">
        <f t="shared" si="4"/>
        <v>0</v>
      </c>
    </row>
    <row r="36" spans="2:27" hidden="1">
      <c r="B36" s="1361">
        <f>RBBD!B21</f>
        <v>0</v>
      </c>
      <c r="C36" s="1361">
        <f>RBBD!C21</f>
        <v>0</v>
      </c>
      <c r="D36" s="1361">
        <f>RBBD!D21</f>
        <v>0</v>
      </c>
      <c r="E36" s="1361">
        <f>RBBD!G21</f>
        <v>0</v>
      </c>
      <c r="F36" s="1361">
        <f>RBBD!H21</f>
        <v>0</v>
      </c>
      <c r="G36" s="1361">
        <f>RBBD!E21</f>
        <v>0</v>
      </c>
      <c r="H36" s="1361">
        <f>RBBD!F21</f>
        <v>0</v>
      </c>
      <c r="I36" s="1361">
        <f t="shared" si="2"/>
        <v>0</v>
      </c>
      <c r="J36" s="1361">
        <f t="shared" si="2"/>
        <v>0</v>
      </c>
      <c r="K36" s="1361">
        <f t="shared" si="2"/>
        <v>0</v>
      </c>
      <c r="L36" s="1361">
        <f t="shared" si="2"/>
        <v>0</v>
      </c>
      <c r="M36" s="1361">
        <f t="shared" si="3"/>
        <v>0</v>
      </c>
      <c r="N36" s="1361">
        <f>RBBD!I21</f>
        <v>0</v>
      </c>
      <c r="O36" s="1361">
        <f>RBBD!J21</f>
        <v>0</v>
      </c>
      <c r="P36" s="1361">
        <f>RBBD!K21</f>
        <v>0</v>
      </c>
      <c r="Q36" s="1361">
        <f>RBBD!L21</f>
        <v>0</v>
      </c>
      <c r="R36" s="1361">
        <f>RBBD!M21</f>
        <v>0</v>
      </c>
      <c r="S36" s="1361">
        <f>RBBD!N21</f>
        <v>0</v>
      </c>
      <c r="T36" s="1361">
        <f>RBBD!O21</f>
        <v>0</v>
      </c>
      <c r="U36" s="1361">
        <f>RBBD!P21</f>
        <v>0</v>
      </c>
      <c r="V36" s="1361">
        <f>RBBD!Q21</f>
        <v>0</v>
      </c>
      <c r="W36" s="1361">
        <f>RBBD!R21</f>
        <v>0</v>
      </c>
      <c r="X36" s="1361">
        <f>RBBD!S21</f>
        <v>0</v>
      </c>
      <c r="Y36" s="1361">
        <f>RBBD!T21</f>
        <v>0</v>
      </c>
      <c r="Z36" s="65"/>
      <c r="AA36" s="329">
        <f t="shared" si="4"/>
        <v>0</v>
      </c>
    </row>
    <row r="37" spans="2:27" hidden="1">
      <c r="B37" s="1361">
        <f>RBBD!B22</f>
        <v>0</v>
      </c>
      <c r="C37" s="1361">
        <f>RBBD!C22</f>
        <v>0</v>
      </c>
      <c r="D37" s="1361">
        <f>RBBD!D22</f>
        <v>0</v>
      </c>
      <c r="E37" s="1361">
        <f>RBBD!G22</f>
        <v>0</v>
      </c>
      <c r="F37" s="1361">
        <f>RBBD!H22</f>
        <v>0</v>
      </c>
      <c r="G37" s="1361">
        <f>RBBD!E22</f>
        <v>0</v>
      </c>
      <c r="H37" s="1361">
        <f>RBBD!F22</f>
        <v>0</v>
      </c>
      <c r="I37" s="1361">
        <f t="shared" si="2"/>
        <v>0</v>
      </c>
      <c r="J37" s="1361">
        <f t="shared" si="2"/>
        <v>0</v>
      </c>
      <c r="K37" s="1361">
        <f t="shared" si="2"/>
        <v>0</v>
      </c>
      <c r="L37" s="1361">
        <f t="shared" si="2"/>
        <v>0</v>
      </c>
      <c r="M37" s="1361">
        <f t="shared" si="3"/>
        <v>0</v>
      </c>
      <c r="N37" s="1361">
        <f>RBBD!I22</f>
        <v>0</v>
      </c>
      <c r="O37" s="1361">
        <f>RBBD!J22</f>
        <v>0</v>
      </c>
      <c r="P37" s="1361">
        <f>RBBD!K22</f>
        <v>0</v>
      </c>
      <c r="Q37" s="1361">
        <f>RBBD!L22</f>
        <v>0</v>
      </c>
      <c r="R37" s="1361">
        <f>RBBD!M22</f>
        <v>0</v>
      </c>
      <c r="S37" s="1361">
        <f>RBBD!N22</f>
        <v>0</v>
      </c>
      <c r="T37" s="1361">
        <f>RBBD!O22</f>
        <v>0</v>
      </c>
      <c r="U37" s="1361">
        <f>RBBD!P22</f>
        <v>0</v>
      </c>
      <c r="V37" s="1361">
        <f>RBBD!Q22</f>
        <v>0</v>
      </c>
      <c r="W37" s="1361">
        <f>RBBD!R22</f>
        <v>0</v>
      </c>
      <c r="X37" s="1361">
        <f>RBBD!S22</f>
        <v>0</v>
      </c>
      <c r="Y37" s="1361">
        <f>RBBD!T22</f>
        <v>0</v>
      </c>
      <c r="Z37" s="65"/>
      <c r="AA37" s="329">
        <f t="shared" si="4"/>
        <v>0</v>
      </c>
    </row>
    <row r="38" spans="2:27" hidden="1">
      <c r="B38" s="1361">
        <f>RBBD!B23</f>
        <v>0</v>
      </c>
      <c r="C38" s="1361">
        <f>RBBD!C23</f>
        <v>0</v>
      </c>
      <c r="D38" s="1361">
        <f>RBBD!D23</f>
        <v>0</v>
      </c>
      <c r="E38" s="1361">
        <f>RBBD!G23</f>
        <v>0</v>
      </c>
      <c r="F38" s="1361">
        <f>RBBD!H23</f>
        <v>0</v>
      </c>
      <c r="G38" s="1361">
        <f>RBBD!E23</f>
        <v>0</v>
      </c>
      <c r="H38" s="1361">
        <f>RBBD!F23</f>
        <v>0</v>
      </c>
      <c r="I38" s="1361">
        <f t="shared" si="2"/>
        <v>0</v>
      </c>
      <c r="J38" s="1361">
        <f t="shared" si="2"/>
        <v>0</v>
      </c>
      <c r="K38" s="1361">
        <f t="shared" si="2"/>
        <v>0</v>
      </c>
      <c r="L38" s="1361">
        <f t="shared" si="2"/>
        <v>0</v>
      </c>
      <c r="M38" s="1361">
        <f t="shared" si="3"/>
        <v>0</v>
      </c>
      <c r="N38" s="1361">
        <f>RBBD!I23</f>
        <v>0</v>
      </c>
      <c r="O38" s="1361">
        <f>RBBD!J23</f>
        <v>0</v>
      </c>
      <c r="P38" s="1361">
        <f>RBBD!K23</f>
        <v>0</v>
      </c>
      <c r="Q38" s="1361">
        <f>RBBD!L23</f>
        <v>0</v>
      </c>
      <c r="R38" s="1361">
        <f>RBBD!M23</f>
        <v>0</v>
      </c>
      <c r="S38" s="1361">
        <f>RBBD!N23</f>
        <v>0</v>
      </c>
      <c r="T38" s="1361">
        <f>RBBD!O23</f>
        <v>0</v>
      </c>
      <c r="U38" s="1361">
        <f>RBBD!P23</f>
        <v>0</v>
      </c>
      <c r="V38" s="1361">
        <f>RBBD!Q23</f>
        <v>0</v>
      </c>
      <c r="W38" s="1361">
        <f>RBBD!R23</f>
        <v>0</v>
      </c>
      <c r="X38" s="1361">
        <f>RBBD!S23</f>
        <v>0</v>
      </c>
      <c r="Y38" s="1361">
        <f>RBBD!T23</f>
        <v>0</v>
      </c>
      <c r="Z38" s="65"/>
      <c r="AA38" s="329">
        <f t="shared" si="4"/>
        <v>0</v>
      </c>
    </row>
    <row r="39" spans="2:27" hidden="1">
      <c r="B39" s="1361">
        <f>RBBD!B24</f>
        <v>0</v>
      </c>
      <c r="C39" s="1361">
        <f>RBBD!C24</f>
        <v>0</v>
      </c>
      <c r="D39" s="1361">
        <f>RBBD!D24</f>
        <v>0</v>
      </c>
      <c r="E39" s="1361">
        <f>RBBD!G24</f>
        <v>0</v>
      </c>
      <c r="F39" s="1361">
        <f>RBBD!H24</f>
        <v>0</v>
      </c>
      <c r="G39" s="1361">
        <f>RBBD!E24</f>
        <v>0</v>
      </c>
      <c r="H39" s="1361">
        <f>RBBD!F24</f>
        <v>0</v>
      </c>
      <c r="I39" s="1361">
        <f t="shared" si="2"/>
        <v>0</v>
      </c>
      <c r="J39" s="1361">
        <f t="shared" si="2"/>
        <v>0</v>
      </c>
      <c r="K39" s="1361">
        <f t="shared" si="2"/>
        <v>0</v>
      </c>
      <c r="L39" s="1361">
        <f t="shared" si="2"/>
        <v>0</v>
      </c>
      <c r="M39" s="1361">
        <f t="shared" si="3"/>
        <v>0</v>
      </c>
      <c r="N39" s="1361">
        <f>RBBD!I24</f>
        <v>0</v>
      </c>
      <c r="O39" s="1361">
        <f>RBBD!J24</f>
        <v>0</v>
      </c>
      <c r="P39" s="1361">
        <f>RBBD!K24</f>
        <v>0</v>
      </c>
      <c r="Q39" s="1361">
        <f>RBBD!L24</f>
        <v>0</v>
      </c>
      <c r="R39" s="1361">
        <f>RBBD!M24</f>
        <v>0</v>
      </c>
      <c r="S39" s="1361">
        <f>RBBD!N24</f>
        <v>0</v>
      </c>
      <c r="T39" s="1361">
        <f>RBBD!O24</f>
        <v>0</v>
      </c>
      <c r="U39" s="1361">
        <f>RBBD!P24</f>
        <v>0</v>
      </c>
      <c r="V39" s="1361">
        <f>RBBD!Q24</f>
        <v>0</v>
      </c>
      <c r="W39" s="1361">
        <f>RBBD!R24</f>
        <v>0</v>
      </c>
      <c r="X39" s="1361">
        <f>RBBD!S24</f>
        <v>0</v>
      </c>
      <c r="Y39" s="1361">
        <f>RBBD!T24</f>
        <v>0</v>
      </c>
      <c r="Z39" s="65"/>
      <c r="AA39" s="329">
        <f t="shared" ref="AA39:AA60" si="5">IF(B39=0,0,1)</f>
        <v>0</v>
      </c>
    </row>
    <row r="40" spans="2:27" hidden="1">
      <c r="B40" s="1361">
        <f>RBBD!B25</f>
        <v>0</v>
      </c>
      <c r="C40" s="1361">
        <f>RBBD!C25</f>
        <v>0</v>
      </c>
      <c r="D40" s="1361">
        <f>RBBD!D25</f>
        <v>0</v>
      </c>
      <c r="E40" s="1361">
        <f>RBBD!G25</f>
        <v>0</v>
      </c>
      <c r="F40" s="1361">
        <f>RBBD!H25</f>
        <v>0</v>
      </c>
      <c r="G40" s="1361">
        <f>RBBD!E25</f>
        <v>0</v>
      </c>
      <c r="H40" s="1361">
        <f>RBBD!F25</f>
        <v>0</v>
      </c>
      <c r="I40" s="1361">
        <f t="shared" si="2"/>
        <v>0</v>
      </c>
      <c r="J40" s="1361">
        <f t="shared" si="2"/>
        <v>0</v>
      </c>
      <c r="K40" s="1361">
        <f t="shared" si="2"/>
        <v>0</v>
      </c>
      <c r="L40" s="1361">
        <f t="shared" si="2"/>
        <v>0</v>
      </c>
      <c r="M40" s="1361">
        <f t="shared" si="3"/>
        <v>0</v>
      </c>
      <c r="N40" s="1361">
        <f>RBBD!I25</f>
        <v>0</v>
      </c>
      <c r="O40" s="1361">
        <f>RBBD!J25</f>
        <v>0</v>
      </c>
      <c r="P40" s="1361">
        <f>RBBD!K25</f>
        <v>0</v>
      </c>
      <c r="Q40" s="1361">
        <f>RBBD!L25</f>
        <v>0</v>
      </c>
      <c r="R40" s="1361">
        <f>RBBD!M25</f>
        <v>0</v>
      </c>
      <c r="S40" s="1361">
        <f>RBBD!N25</f>
        <v>0</v>
      </c>
      <c r="T40" s="1361">
        <f>RBBD!O25</f>
        <v>0</v>
      </c>
      <c r="U40" s="1361">
        <f>RBBD!P25</f>
        <v>0</v>
      </c>
      <c r="V40" s="1361">
        <f>RBBD!Q25</f>
        <v>0</v>
      </c>
      <c r="W40" s="1361">
        <f>RBBD!R25</f>
        <v>0</v>
      </c>
      <c r="X40" s="1361">
        <f>RBBD!S25</f>
        <v>0</v>
      </c>
      <c r="Y40" s="1361">
        <f>RBBD!T25</f>
        <v>0</v>
      </c>
      <c r="Z40" s="65"/>
      <c r="AA40" s="329">
        <f t="shared" si="5"/>
        <v>0</v>
      </c>
    </row>
    <row r="41" spans="2:27" hidden="1">
      <c r="B41" s="1361">
        <f>RBBD!B26</f>
        <v>0</v>
      </c>
      <c r="C41" s="1361">
        <f>RBBD!C26</f>
        <v>0</v>
      </c>
      <c r="D41" s="1361">
        <f>RBBD!D26</f>
        <v>0</v>
      </c>
      <c r="E41" s="1361">
        <f>RBBD!G26</f>
        <v>0</v>
      </c>
      <c r="F41" s="1361">
        <f>RBBD!H26</f>
        <v>0</v>
      </c>
      <c r="G41" s="1361">
        <f>RBBD!E26</f>
        <v>0</v>
      </c>
      <c r="H41" s="1361">
        <f>RBBD!F26</f>
        <v>0</v>
      </c>
      <c r="I41" s="1361">
        <f t="shared" si="2"/>
        <v>0</v>
      </c>
      <c r="J41" s="1361">
        <f t="shared" si="2"/>
        <v>0</v>
      </c>
      <c r="K41" s="1361">
        <f t="shared" si="2"/>
        <v>0</v>
      </c>
      <c r="L41" s="1361">
        <f t="shared" si="2"/>
        <v>0</v>
      </c>
      <c r="M41" s="1361">
        <f t="shared" si="3"/>
        <v>0</v>
      </c>
      <c r="N41" s="1361">
        <f>RBBD!I26</f>
        <v>0</v>
      </c>
      <c r="O41" s="1361">
        <f>RBBD!J26</f>
        <v>0</v>
      </c>
      <c r="P41" s="1361">
        <f>RBBD!K26</f>
        <v>0</v>
      </c>
      <c r="Q41" s="1361">
        <f>RBBD!L26</f>
        <v>0</v>
      </c>
      <c r="R41" s="1361">
        <f>RBBD!M26</f>
        <v>0</v>
      </c>
      <c r="S41" s="1361">
        <f>RBBD!N26</f>
        <v>0</v>
      </c>
      <c r="T41" s="1361">
        <f>RBBD!O26</f>
        <v>0</v>
      </c>
      <c r="U41" s="1361">
        <f>RBBD!P26</f>
        <v>0</v>
      </c>
      <c r="V41" s="1361">
        <f>RBBD!Q26</f>
        <v>0</v>
      </c>
      <c r="W41" s="1361">
        <f>RBBD!R26</f>
        <v>0</v>
      </c>
      <c r="X41" s="1361">
        <f>RBBD!S26</f>
        <v>0</v>
      </c>
      <c r="Y41" s="1361">
        <f>RBBD!T26</f>
        <v>0</v>
      </c>
      <c r="Z41" s="65"/>
      <c r="AA41" s="329">
        <f t="shared" si="5"/>
        <v>0</v>
      </c>
    </row>
    <row r="42" spans="2:27" hidden="1">
      <c r="B42" s="1361">
        <f>RBBD!B27</f>
        <v>0</v>
      </c>
      <c r="C42" s="1361">
        <f>RBBD!C27</f>
        <v>0</v>
      </c>
      <c r="D42" s="1361">
        <f>RBBD!D27</f>
        <v>0</v>
      </c>
      <c r="E42" s="1361">
        <f>RBBD!G27</f>
        <v>0</v>
      </c>
      <c r="F42" s="1361">
        <f>RBBD!H27</f>
        <v>0</v>
      </c>
      <c r="G42" s="1361">
        <f>RBBD!E27</f>
        <v>0</v>
      </c>
      <c r="H42" s="1361">
        <f>RBBD!F27</f>
        <v>0</v>
      </c>
      <c r="I42" s="1361">
        <f t="shared" si="2"/>
        <v>0</v>
      </c>
      <c r="J42" s="1361">
        <f t="shared" si="2"/>
        <v>0</v>
      </c>
      <c r="K42" s="1361">
        <f t="shared" si="2"/>
        <v>0</v>
      </c>
      <c r="L42" s="1361">
        <f t="shared" si="2"/>
        <v>0</v>
      </c>
      <c r="M42" s="1361">
        <f t="shared" si="3"/>
        <v>0</v>
      </c>
      <c r="N42" s="1361">
        <f>RBBD!I27</f>
        <v>0</v>
      </c>
      <c r="O42" s="1361">
        <f>RBBD!J27</f>
        <v>0</v>
      </c>
      <c r="P42" s="1361">
        <f>RBBD!K27</f>
        <v>0</v>
      </c>
      <c r="Q42" s="1361">
        <f>RBBD!L27</f>
        <v>0</v>
      </c>
      <c r="R42" s="1361">
        <f>RBBD!M27</f>
        <v>0</v>
      </c>
      <c r="S42" s="1361">
        <f>RBBD!N27</f>
        <v>0</v>
      </c>
      <c r="T42" s="1361">
        <f>RBBD!O27</f>
        <v>0</v>
      </c>
      <c r="U42" s="1361">
        <f>RBBD!P27</f>
        <v>0</v>
      </c>
      <c r="V42" s="1361">
        <f>RBBD!Q27</f>
        <v>0</v>
      </c>
      <c r="W42" s="1361">
        <f>RBBD!R27</f>
        <v>0</v>
      </c>
      <c r="X42" s="1361">
        <f>RBBD!S27</f>
        <v>0</v>
      </c>
      <c r="Y42" s="1361">
        <f>RBBD!T27</f>
        <v>0</v>
      </c>
      <c r="Z42" s="65"/>
      <c r="AA42" s="329">
        <f t="shared" si="5"/>
        <v>0</v>
      </c>
    </row>
    <row r="43" spans="2:27" hidden="1">
      <c r="B43" s="1361">
        <f>RBBD!B28</f>
        <v>0</v>
      </c>
      <c r="C43" s="1361">
        <f>RBBD!C28</f>
        <v>0</v>
      </c>
      <c r="D43" s="1361">
        <f>RBBD!D28</f>
        <v>0</v>
      </c>
      <c r="E43" s="1361">
        <f>RBBD!G28</f>
        <v>0</v>
      </c>
      <c r="F43" s="1361">
        <f>RBBD!H28</f>
        <v>0</v>
      </c>
      <c r="G43" s="1361">
        <f>RBBD!E28</f>
        <v>0</v>
      </c>
      <c r="H43" s="1361">
        <f>RBBD!F28</f>
        <v>0</v>
      </c>
      <c r="I43" s="1361">
        <f t="shared" si="2"/>
        <v>0</v>
      </c>
      <c r="J43" s="1361">
        <f t="shared" si="2"/>
        <v>0</v>
      </c>
      <c r="K43" s="1361">
        <f t="shared" si="2"/>
        <v>0</v>
      </c>
      <c r="L43" s="1361">
        <f t="shared" si="2"/>
        <v>0</v>
      </c>
      <c r="M43" s="1361">
        <f t="shared" si="3"/>
        <v>0</v>
      </c>
      <c r="N43" s="1361">
        <f>RBBD!I28</f>
        <v>0</v>
      </c>
      <c r="O43" s="1361">
        <f>RBBD!J28</f>
        <v>0</v>
      </c>
      <c r="P43" s="1361">
        <f>RBBD!K28</f>
        <v>0</v>
      </c>
      <c r="Q43" s="1361">
        <f>RBBD!L28</f>
        <v>0</v>
      </c>
      <c r="R43" s="1361">
        <f>RBBD!M28</f>
        <v>0</v>
      </c>
      <c r="S43" s="1361">
        <f>RBBD!N28</f>
        <v>0</v>
      </c>
      <c r="T43" s="1361">
        <f>RBBD!O28</f>
        <v>0</v>
      </c>
      <c r="U43" s="1361">
        <f>RBBD!P28</f>
        <v>0</v>
      </c>
      <c r="V43" s="1361">
        <f>RBBD!Q28</f>
        <v>0</v>
      </c>
      <c r="W43" s="1361">
        <f>RBBD!R28</f>
        <v>0</v>
      </c>
      <c r="X43" s="1361">
        <f>RBBD!S28</f>
        <v>0</v>
      </c>
      <c r="Y43" s="1361">
        <f>RBBD!T28</f>
        <v>0</v>
      </c>
      <c r="Z43" s="65"/>
      <c r="AA43" s="329">
        <f t="shared" si="5"/>
        <v>0</v>
      </c>
    </row>
    <row r="44" spans="2:27" hidden="1">
      <c r="B44" s="1361">
        <f>RBBD!B29</f>
        <v>0</v>
      </c>
      <c r="C44" s="1361">
        <f>RBBD!C29</f>
        <v>0</v>
      </c>
      <c r="D44" s="1361">
        <f>RBBD!D29</f>
        <v>0</v>
      </c>
      <c r="E44" s="1361">
        <f>RBBD!G29</f>
        <v>0</v>
      </c>
      <c r="F44" s="1361">
        <f>RBBD!H29</f>
        <v>0</v>
      </c>
      <c r="G44" s="1361">
        <f>RBBD!E29</f>
        <v>0</v>
      </c>
      <c r="H44" s="1361">
        <f>RBBD!F29</f>
        <v>0</v>
      </c>
      <c r="I44" s="1361">
        <f t="shared" si="2"/>
        <v>0</v>
      </c>
      <c r="J44" s="1361">
        <f t="shared" si="2"/>
        <v>0</v>
      </c>
      <c r="K44" s="1361">
        <f t="shared" si="2"/>
        <v>0</v>
      </c>
      <c r="L44" s="1361">
        <f t="shared" si="2"/>
        <v>0</v>
      </c>
      <c r="M44" s="1361">
        <f t="shared" si="3"/>
        <v>0</v>
      </c>
      <c r="N44" s="1361">
        <f>RBBD!I29</f>
        <v>0</v>
      </c>
      <c r="O44" s="1361">
        <f>RBBD!J29</f>
        <v>0</v>
      </c>
      <c r="P44" s="1361">
        <f>RBBD!K29</f>
        <v>0</v>
      </c>
      <c r="Q44" s="1361">
        <f>RBBD!L29</f>
        <v>0</v>
      </c>
      <c r="R44" s="1361">
        <f>RBBD!M29</f>
        <v>0</v>
      </c>
      <c r="S44" s="1361">
        <f>RBBD!N29</f>
        <v>0</v>
      </c>
      <c r="T44" s="1361">
        <f>RBBD!O29</f>
        <v>0</v>
      </c>
      <c r="U44" s="1361">
        <f>RBBD!P29</f>
        <v>0</v>
      </c>
      <c r="V44" s="1361">
        <f>RBBD!Q29</f>
        <v>0</v>
      </c>
      <c r="W44" s="1361">
        <f>RBBD!R29</f>
        <v>0</v>
      </c>
      <c r="X44" s="1361">
        <f>RBBD!S29</f>
        <v>0</v>
      </c>
      <c r="Y44" s="1361">
        <f>RBBD!T29</f>
        <v>0</v>
      </c>
      <c r="Z44" s="65"/>
      <c r="AA44" s="329">
        <f t="shared" si="5"/>
        <v>0</v>
      </c>
    </row>
    <row r="45" spans="2:27" hidden="1">
      <c r="B45" s="1361">
        <f>RBBD!B30</f>
        <v>0</v>
      </c>
      <c r="C45" s="1361">
        <f>RBBD!C30</f>
        <v>0</v>
      </c>
      <c r="D45" s="1361">
        <f>RBBD!D30</f>
        <v>0</v>
      </c>
      <c r="E45" s="1361">
        <f>RBBD!G30</f>
        <v>0</v>
      </c>
      <c r="F45" s="1361">
        <f>RBBD!H30</f>
        <v>0</v>
      </c>
      <c r="G45" s="1361">
        <f>RBBD!E30</f>
        <v>0</v>
      </c>
      <c r="H45" s="1361">
        <f>RBBD!F30</f>
        <v>0</v>
      </c>
      <c r="I45" s="1361">
        <f t="shared" si="2"/>
        <v>0</v>
      </c>
      <c r="J45" s="1361">
        <f t="shared" si="2"/>
        <v>0</v>
      </c>
      <c r="K45" s="1361">
        <f t="shared" si="2"/>
        <v>0</v>
      </c>
      <c r="L45" s="1361">
        <f t="shared" si="2"/>
        <v>0</v>
      </c>
      <c r="M45" s="1361">
        <f t="shared" si="3"/>
        <v>0</v>
      </c>
      <c r="N45" s="1361">
        <f>RBBD!I30</f>
        <v>0</v>
      </c>
      <c r="O45" s="1361">
        <f>RBBD!J30</f>
        <v>0</v>
      </c>
      <c r="P45" s="1361">
        <f>RBBD!K30</f>
        <v>0</v>
      </c>
      <c r="Q45" s="1361">
        <f>RBBD!L30</f>
        <v>0</v>
      </c>
      <c r="R45" s="1361">
        <f>RBBD!M30</f>
        <v>0</v>
      </c>
      <c r="S45" s="1361">
        <f>RBBD!N30</f>
        <v>0</v>
      </c>
      <c r="T45" s="1361">
        <f>RBBD!O30</f>
        <v>0</v>
      </c>
      <c r="U45" s="1361">
        <f>RBBD!P30</f>
        <v>0</v>
      </c>
      <c r="V45" s="1361">
        <f>RBBD!Q30</f>
        <v>0</v>
      </c>
      <c r="W45" s="1361">
        <f>RBBD!R30</f>
        <v>0</v>
      </c>
      <c r="X45" s="1361">
        <f>RBBD!S30</f>
        <v>0</v>
      </c>
      <c r="Y45" s="1361">
        <f>RBBD!T30</f>
        <v>0</v>
      </c>
      <c r="Z45" s="65"/>
      <c r="AA45" s="329">
        <f t="shared" si="5"/>
        <v>0</v>
      </c>
    </row>
    <row r="46" spans="2:27" hidden="1">
      <c r="B46" s="1361">
        <f>RBBD!B31</f>
        <v>0</v>
      </c>
      <c r="C46" s="1361">
        <f>RBBD!C31</f>
        <v>0</v>
      </c>
      <c r="D46" s="1361">
        <f>RBBD!D31</f>
        <v>0</v>
      </c>
      <c r="E46" s="1361">
        <f>RBBD!G31</f>
        <v>0</v>
      </c>
      <c r="F46" s="1361">
        <f>RBBD!H31</f>
        <v>0</v>
      </c>
      <c r="G46" s="1361">
        <f>RBBD!E31</f>
        <v>0</v>
      </c>
      <c r="H46" s="1361">
        <f>RBBD!F31</f>
        <v>0</v>
      </c>
      <c r="I46" s="1361">
        <f t="shared" si="2"/>
        <v>0</v>
      </c>
      <c r="J46" s="1361">
        <f t="shared" si="2"/>
        <v>0</v>
      </c>
      <c r="K46" s="1361">
        <f t="shared" si="2"/>
        <v>0</v>
      </c>
      <c r="L46" s="1361">
        <f t="shared" si="2"/>
        <v>0</v>
      </c>
      <c r="M46" s="1361">
        <f t="shared" si="3"/>
        <v>0</v>
      </c>
      <c r="N46" s="1361">
        <f>RBBD!I31</f>
        <v>0</v>
      </c>
      <c r="O46" s="1361">
        <f>RBBD!J31</f>
        <v>0</v>
      </c>
      <c r="P46" s="1361">
        <f>RBBD!K31</f>
        <v>0</v>
      </c>
      <c r="Q46" s="1361">
        <f>RBBD!L31</f>
        <v>0</v>
      </c>
      <c r="R46" s="1361">
        <f>RBBD!M31</f>
        <v>0</v>
      </c>
      <c r="S46" s="1361">
        <f>RBBD!N31</f>
        <v>0</v>
      </c>
      <c r="T46" s="1361">
        <f>RBBD!O31</f>
        <v>0</v>
      </c>
      <c r="U46" s="1361">
        <f>RBBD!P31</f>
        <v>0</v>
      </c>
      <c r="V46" s="1361">
        <f>RBBD!Q31</f>
        <v>0</v>
      </c>
      <c r="W46" s="1361">
        <f>RBBD!R31</f>
        <v>0</v>
      </c>
      <c r="X46" s="1361">
        <f>RBBD!S31</f>
        <v>0</v>
      </c>
      <c r="Y46" s="1361">
        <f>RBBD!T31</f>
        <v>0</v>
      </c>
      <c r="Z46" s="65"/>
      <c r="AA46" s="329">
        <f t="shared" si="5"/>
        <v>0</v>
      </c>
    </row>
    <row r="47" spans="2:27" hidden="1">
      <c r="B47" s="1361">
        <f>RBBD!B32</f>
        <v>0</v>
      </c>
      <c r="C47" s="1361">
        <f>RBBD!C32</f>
        <v>0</v>
      </c>
      <c r="D47" s="1361">
        <f>RBBD!D32</f>
        <v>0</v>
      </c>
      <c r="E47" s="1361">
        <f>RBBD!G32</f>
        <v>0</v>
      </c>
      <c r="F47" s="1361">
        <f>RBBD!H32</f>
        <v>0</v>
      </c>
      <c r="G47" s="1361">
        <f>RBBD!E32</f>
        <v>0</v>
      </c>
      <c r="H47" s="1361">
        <f>RBBD!F32</f>
        <v>0</v>
      </c>
      <c r="I47" s="1361">
        <f t="shared" si="2"/>
        <v>0</v>
      </c>
      <c r="J47" s="1361">
        <f t="shared" si="2"/>
        <v>0</v>
      </c>
      <c r="K47" s="1361">
        <f t="shared" si="2"/>
        <v>0</v>
      </c>
      <c r="L47" s="1361">
        <f t="shared" si="2"/>
        <v>0</v>
      </c>
      <c r="M47" s="1361">
        <f t="shared" si="3"/>
        <v>0</v>
      </c>
      <c r="N47" s="1361">
        <f>RBBD!I32</f>
        <v>0</v>
      </c>
      <c r="O47" s="1361">
        <f>RBBD!J32</f>
        <v>0</v>
      </c>
      <c r="P47" s="1361">
        <f>RBBD!K32</f>
        <v>0</v>
      </c>
      <c r="Q47" s="1361">
        <f>RBBD!L32</f>
        <v>0</v>
      </c>
      <c r="R47" s="1361">
        <f>RBBD!M32</f>
        <v>0</v>
      </c>
      <c r="S47" s="1361">
        <f>RBBD!N32</f>
        <v>0</v>
      </c>
      <c r="T47" s="1361">
        <f>RBBD!O32</f>
        <v>0</v>
      </c>
      <c r="U47" s="1361">
        <f>RBBD!P32</f>
        <v>0</v>
      </c>
      <c r="V47" s="1361">
        <f>RBBD!Q32</f>
        <v>0</v>
      </c>
      <c r="W47" s="1361">
        <f>RBBD!R32</f>
        <v>0</v>
      </c>
      <c r="X47" s="1361">
        <f>RBBD!S32</f>
        <v>0</v>
      </c>
      <c r="Y47" s="1361">
        <f>RBBD!T32</f>
        <v>0</v>
      </c>
      <c r="Z47" s="65"/>
      <c r="AA47" s="329">
        <f t="shared" si="5"/>
        <v>0</v>
      </c>
    </row>
    <row r="48" spans="2:27" hidden="1">
      <c r="B48" s="1361">
        <f>RBBD!B33</f>
        <v>0</v>
      </c>
      <c r="C48" s="1361">
        <f>RBBD!C33</f>
        <v>0</v>
      </c>
      <c r="D48" s="1361">
        <f>RBBD!D33</f>
        <v>0</v>
      </c>
      <c r="E48" s="1361">
        <f>RBBD!G33</f>
        <v>0</v>
      </c>
      <c r="F48" s="1361">
        <f>RBBD!H33</f>
        <v>0</v>
      </c>
      <c r="G48" s="1361">
        <f>RBBD!E33</f>
        <v>0</v>
      </c>
      <c r="H48" s="1361">
        <f>RBBD!F33</f>
        <v>0</v>
      </c>
      <c r="I48" s="1361">
        <f t="shared" si="2"/>
        <v>0</v>
      </c>
      <c r="J48" s="1361">
        <f t="shared" si="2"/>
        <v>0</v>
      </c>
      <c r="K48" s="1361">
        <f t="shared" si="2"/>
        <v>0</v>
      </c>
      <c r="L48" s="1361">
        <f t="shared" si="2"/>
        <v>0</v>
      </c>
      <c r="M48" s="1361">
        <f t="shared" si="3"/>
        <v>0</v>
      </c>
      <c r="N48" s="1361">
        <f>RBBD!I33</f>
        <v>0</v>
      </c>
      <c r="O48" s="1361">
        <f>RBBD!J33</f>
        <v>0</v>
      </c>
      <c r="P48" s="1361">
        <f>RBBD!K33</f>
        <v>0</v>
      </c>
      <c r="Q48" s="1361">
        <f>RBBD!L33</f>
        <v>0</v>
      </c>
      <c r="R48" s="1361">
        <f>RBBD!M33</f>
        <v>0</v>
      </c>
      <c r="S48" s="1361">
        <f>RBBD!N33</f>
        <v>0</v>
      </c>
      <c r="T48" s="1361">
        <f>RBBD!O33</f>
        <v>0</v>
      </c>
      <c r="U48" s="1361">
        <f>RBBD!P33</f>
        <v>0</v>
      </c>
      <c r="V48" s="1361">
        <f>RBBD!Q33</f>
        <v>0</v>
      </c>
      <c r="W48" s="1361">
        <f>RBBD!R33</f>
        <v>0</v>
      </c>
      <c r="X48" s="1361">
        <f>RBBD!S33</f>
        <v>0</v>
      </c>
      <c r="Y48" s="1361">
        <f>RBBD!T33</f>
        <v>0</v>
      </c>
      <c r="Z48" s="65"/>
      <c r="AA48" s="329">
        <f t="shared" si="5"/>
        <v>0</v>
      </c>
    </row>
    <row r="49" spans="2:27" hidden="1">
      <c r="B49" s="1361">
        <f>RBBD!B34</f>
        <v>0</v>
      </c>
      <c r="C49" s="1361">
        <f>RBBD!C34</f>
        <v>0</v>
      </c>
      <c r="D49" s="1361">
        <f>RBBD!D34</f>
        <v>0</v>
      </c>
      <c r="E49" s="1361">
        <f>RBBD!G34</f>
        <v>0</v>
      </c>
      <c r="F49" s="1361">
        <f>RBBD!H34</f>
        <v>0</v>
      </c>
      <c r="G49" s="1361">
        <f>RBBD!E34</f>
        <v>0</v>
      </c>
      <c r="H49" s="1361">
        <f>RBBD!F34</f>
        <v>0</v>
      </c>
      <c r="I49" s="1361">
        <f t="shared" si="2"/>
        <v>0</v>
      </c>
      <c r="J49" s="1361">
        <f t="shared" si="2"/>
        <v>0</v>
      </c>
      <c r="K49" s="1361">
        <f t="shared" si="2"/>
        <v>0</v>
      </c>
      <c r="L49" s="1361">
        <f t="shared" si="2"/>
        <v>0</v>
      </c>
      <c r="M49" s="1361">
        <f t="shared" si="3"/>
        <v>0</v>
      </c>
      <c r="N49" s="1361">
        <f>RBBD!I34</f>
        <v>0</v>
      </c>
      <c r="O49" s="1361">
        <f>RBBD!J34</f>
        <v>0</v>
      </c>
      <c r="P49" s="1361">
        <f>RBBD!K34</f>
        <v>0</v>
      </c>
      <c r="Q49" s="1361">
        <f>RBBD!L34</f>
        <v>0</v>
      </c>
      <c r="R49" s="1361">
        <f>RBBD!M34</f>
        <v>0</v>
      </c>
      <c r="S49" s="1361">
        <f>RBBD!N34</f>
        <v>0</v>
      </c>
      <c r="T49" s="1361">
        <f>RBBD!O34</f>
        <v>0</v>
      </c>
      <c r="U49" s="1361">
        <f>RBBD!P34</f>
        <v>0</v>
      </c>
      <c r="V49" s="1361">
        <f>RBBD!Q34</f>
        <v>0</v>
      </c>
      <c r="W49" s="1361">
        <f>RBBD!R34</f>
        <v>0</v>
      </c>
      <c r="X49" s="1361">
        <f>RBBD!S34</f>
        <v>0</v>
      </c>
      <c r="Y49" s="1361">
        <f>RBBD!T34</f>
        <v>0</v>
      </c>
      <c r="Z49" s="65"/>
      <c r="AA49" s="329">
        <f t="shared" si="5"/>
        <v>0</v>
      </c>
    </row>
    <row r="50" spans="2:27" hidden="1">
      <c r="B50" s="1361">
        <f>RBBD!B35</f>
        <v>0</v>
      </c>
      <c r="C50" s="1361">
        <f>RBBD!C35</f>
        <v>0</v>
      </c>
      <c r="D50" s="1361">
        <f>RBBD!D35</f>
        <v>0</v>
      </c>
      <c r="E50" s="1361">
        <f>RBBD!G35</f>
        <v>0</v>
      </c>
      <c r="F50" s="1361">
        <f>RBBD!H35</f>
        <v>0</v>
      </c>
      <c r="G50" s="1361">
        <f>RBBD!E35</f>
        <v>0</v>
      </c>
      <c r="H50" s="1361">
        <f>RBBD!F35</f>
        <v>0</v>
      </c>
      <c r="I50" s="1361">
        <f t="shared" si="2"/>
        <v>0</v>
      </c>
      <c r="J50" s="1361">
        <f t="shared" si="2"/>
        <v>0</v>
      </c>
      <c r="K50" s="1361">
        <f t="shared" si="2"/>
        <v>0</v>
      </c>
      <c r="L50" s="1361">
        <f t="shared" si="2"/>
        <v>0</v>
      </c>
      <c r="M50" s="1361">
        <f t="shared" si="3"/>
        <v>0</v>
      </c>
      <c r="N50" s="1361">
        <f>RBBD!I35</f>
        <v>0</v>
      </c>
      <c r="O50" s="1361">
        <f>RBBD!J35</f>
        <v>0</v>
      </c>
      <c r="P50" s="1361">
        <f>RBBD!K35</f>
        <v>0</v>
      </c>
      <c r="Q50" s="1361">
        <f>RBBD!L35</f>
        <v>0</v>
      </c>
      <c r="R50" s="1361">
        <f>RBBD!M35</f>
        <v>0</v>
      </c>
      <c r="S50" s="1361">
        <f>RBBD!N35</f>
        <v>0</v>
      </c>
      <c r="T50" s="1361">
        <f>RBBD!O35</f>
        <v>0</v>
      </c>
      <c r="U50" s="1361">
        <f>RBBD!P35</f>
        <v>0</v>
      </c>
      <c r="V50" s="1361">
        <f>RBBD!Q35</f>
        <v>0</v>
      </c>
      <c r="W50" s="1361">
        <f>RBBD!R35</f>
        <v>0</v>
      </c>
      <c r="X50" s="1361">
        <f>RBBD!S35</f>
        <v>0</v>
      </c>
      <c r="Y50" s="1361">
        <f>RBBD!T35</f>
        <v>0</v>
      </c>
      <c r="Z50" s="65"/>
      <c r="AA50" s="329">
        <f t="shared" si="5"/>
        <v>0</v>
      </c>
    </row>
    <row r="51" spans="2:27" hidden="1">
      <c r="B51" s="1361">
        <f>RBBD!B36</f>
        <v>0</v>
      </c>
      <c r="C51" s="1361">
        <f>RBBD!C36</f>
        <v>0</v>
      </c>
      <c r="D51" s="1361">
        <f>RBBD!D36</f>
        <v>0</v>
      </c>
      <c r="E51" s="1361">
        <f>RBBD!G36</f>
        <v>0</v>
      </c>
      <c r="F51" s="1361">
        <f>RBBD!H36</f>
        <v>0</v>
      </c>
      <c r="G51" s="1361">
        <f>RBBD!E36</f>
        <v>0</v>
      </c>
      <c r="H51" s="1361">
        <f>RBBD!F36</f>
        <v>0</v>
      </c>
      <c r="I51" s="1361">
        <f t="shared" si="2"/>
        <v>0</v>
      </c>
      <c r="J51" s="1361">
        <f t="shared" si="2"/>
        <v>0</v>
      </c>
      <c r="K51" s="1361">
        <f t="shared" si="2"/>
        <v>0</v>
      </c>
      <c r="L51" s="1361">
        <f t="shared" si="2"/>
        <v>0</v>
      </c>
      <c r="M51" s="1361">
        <f t="shared" si="3"/>
        <v>0</v>
      </c>
      <c r="N51" s="1361">
        <f>RBBD!I36</f>
        <v>0</v>
      </c>
      <c r="O51" s="1361">
        <f>RBBD!J36</f>
        <v>0</v>
      </c>
      <c r="P51" s="1361">
        <f>RBBD!K36</f>
        <v>0</v>
      </c>
      <c r="Q51" s="1361">
        <f>RBBD!L36</f>
        <v>0</v>
      </c>
      <c r="R51" s="1361">
        <f>RBBD!M36</f>
        <v>0</v>
      </c>
      <c r="S51" s="1361">
        <f>RBBD!N36</f>
        <v>0</v>
      </c>
      <c r="T51" s="1361">
        <f>RBBD!O36</f>
        <v>0</v>
      </c>
      <c r="U51" s="1361">
        <f>RBBD!P36</f>
        <v>0</v>
      </c>
      <c r="V51" s="1361">
        <f>RBBD!Q36</f>
        <v>0</v>
      </c>
      <c r="W51" s="1361">
        <f>RBBD!R36</f>
        <v>0</v>
      </c>
      <c r="X51" s="1361">
        <f>RBBD!S36</f>
        <v>0</v>
      </c>
      <c r="Y51" s="1361">
        <f>RBBD!T36</f>
        <v>0</v>
      </c>
      <c r="Z51" s="65"/>
      <c r="AA51" s="329">
        <f t="shared" si="5"/>
        <v>0</v>
      </c>
    </row>
    <row r="52" spans="2:27" hidden="1">
      <c r="B52" s="1361">
        <f>RBBD!B37</f>
        <v>0</v>
      </c>
      <c r="C52" s="1361">
        <f>RBBD!C37</f>
        <v>0</v>
      </c>
      <c r="D52" s="1361">
        <f>RBBD!D37</f>
        <v>0</v>
      </c>
      <c r="E52" s="1361">
        <f>RBBD!G37</f>
        <v>0</v>
      </c>
      <c r="F52" s="1361">
        <f>RBBD!H37</f>
        <v>0</v>
      </c>
      <c r="G52" s="1361">
        <f>RBBD!E37</f>
        <v>0</v>
      </c>
      <c r="H52" s="1361">
        <f>RBBD!F37</f>
        <v>0</v>
      </c>
      <c r="I52" s="1361">
        <f t="shared" si="2"/>
        <v>0</v>
      </c>
      <c r="J52" s="1361">
        <f t="shared" si="2"/>
        <v>0</v>
      </c>
      <c r="K52" s="1361">
        <f t="shared" si="2"/>
        <v>0</v>
      </c>
      <c r="L52" s="1361">
        <f t="shared" si="2"/>
        <v>0</v>
      </c>
      <c r="M52" s="1361">
        <f t="shared" si="3"/>
        <v>0</v>
      </c>
      <c r="N52" s="1361">
        <f>RBBD!I37</f>
        <v>0</v>
      </c>
      <c r="O52" s="1361">
        <f>RBBD!J37</f>
        <v>0</v>
      </c>
      <c r="P52" s="1361">
        <f>RBBD!K37</f>
        <v>0</v>
      </c>
      <c r="Q52" s="1361">
        <f>RBBD!L37</f>
        <v>0</v>
      </c>
      <c r="R52" s="1361">
        <f>RBBD!M37</f>
        <v>0</v>
      </c>
      <c r="S52" s="1361">
        <f>RBBD!N37</f>
        <v>0</v>
      </c>
      <c r="T52" s="1361">
        <f>RBBD!O37</f>
        <v>0</v>
      </c>
      <c r="U52" s="1361">
        <f>RBBD!P37</f>
        <v>0</v>
      </c>
      <c r="V52" s="1361">
        <f>RBBD!Q37</f>
        <v>0</v>
      </c>
      <c r="W52" s="1361">
        <f>RBBD!R37</f>
        <v>0</v>
      </c>
      <c r="X52" s="1361">
        <f>RBBD!S37</f>
        <v>0</v>
      </c>
      <c r="Y52" s="1361">
        <f>RBBD!T37</f>
        <v>0</v>
      </c>
      <c r="Z52" s="65"/>
      <c r="AA52" s="329">
        <f t="shared" si="5"/>
        <v>0</v>
      </c>
    </row>
    <row r="53" spans="2:27" hidden="1">
      <c r="B53" s="1361">
        <f>RBBD!B38</f>
        <v>0</v>
      </c>
      <c r="C53" s="1361">
        <f>RBBD!C38</f>
        <v>0</v>
      </c>
      <c r="D53" s="1361">
        <f>RBBD!D38</f>
        <v>0</v>
      </c>
      <c r="E53" s="1361">
        <f>RBBD!G38</f>
        <v>0</v>
      </c>
      <c r="F53" s="1361">
        <f>RBBD!H38</f>
        <v>0</v>
      </c>
      <c r="G53" s="1361">
        <f>RBBD!E38</f>
        <v>0</v>
      </c>
      <c r="H53" s="1361">
        <f>RBBD!F38</f>
        <v>0</v>
      </c>
      <c r="I53" s="1361">
        <f t="shared" si="2"/>
        <v>0</v>
      </c>
      <c r="J53" s="1361">
        <f t="shared" si="2"/>
        <v>0</v>
      </c>
      <c r="K53" s="1361">
        <f t="shared" si="2"/>
        <v>0</v>
      </c>
      <c r="L53" s="1361">
        <f t="shared" si="2"/>
        <v>0</v>
      </c>
      <c r="M53" s="1361">
        <f t="shared" si="3"/>
        <v>0</v>
      </c>
      <c r="N53" s="1361">
        <f>RBBD!I38</f>
        <v>0</v>
      </c>
      <c r="O53" s="1361">
        <f>RBBD!J38</f>
        <v>0</v>
      </c>
      <c r="P53" s="1361">
        <f>RBBD!K38</f>
        <v>0</v>
      </c>
      <c r="Q53" s="1361">
        <f>RBBD!L38</f>
        <v>0</v>
      </c>
      <c r="R53" s="1361">
        <f>RBBD!M38</f>
        <v>0</v>
      </c>
      <c r="S53" s="1361">
        <f>RBBD!N38</f>
        <v>0</v>
      </c>
      <c r="T53" s="1361">
        <f>RBBD!O38</f>
        <v>0</v>
      </c>
      <c r="U53" s="1361">
        <f>RBBD!P38</f>
        <v>0</v>
      </c>
      <c r="V53" s="1361">
        <f>RBBD!Q38</f>
        <v>0</v>
      </c>
      <c r="W53" s="1361">
        <f>RBBD!R38</f>
        <v>0</v>
      </c>
      <c r="X53" s="1361">
        <f>RBBD!S38</f>
        <v>0</v>
      </c>
      <c r="Y53" s="1361">
        <f>RBBD!T38</f>
        <v>0</v>
      </c>
      <c r="Z53" s="65"/>
      <c r="AA53" s="329">
        <f t="shared" si="5"/>
        <v>0</v>
      </c>
    </row>
    <row r="54" spans="2:27" hidden="1">
      <c r="B54" s="1361">
        <f>RBBD!B39</f>
        <v>0</v>
      </c>
      <c r="C54" s="1361">
        <f>RBBD!C39</f>
        <v>0</v>
      </c>
      <c r="D54" s="1361">
        <f>RBBD!D39</f>
        <v>0</v>
      </c>
      <c r="E54" s="1361">
        <f>RBBD!G39</f>
        <v>0</v>
      </c>
      <c r="F54" s="1361">
        <f>RBBD!H39</f>
        <v>0</v>
      </c>
      <c r="G54" s="1361">
        <f>RBBD!E39</f>
        <v>0</v>
      </c>
      <c r="H54" s="1361">
        <f>RBBD!F39</f>
        <v>0</v>
      </c>
      <c r="I54" s="1361">
        <f t="shared" si="2"/>
        <v>0</v>
      </c>
      <c r="J54" s="1361">
        <f t="shared" si="2"/>
        <v>0</v>
      </c>
      <c r="K54" s="1361">
        <f t="shared" si="2"/>
        <v>0</v>
      </c>
      <c r="L54" s="1361">
        <f t="shared" si="2"/>
        <v>0</v>
      </c>
      <c r="M54" s="1361">
        <f t="shared" si="3"/>
        <v>0</v>
      </c>
      <c r="N54" s="1361">
        <f>RBBD!I39</f>
        <v>0</v>
      </c>
      <c r="O54" s="1361">
        <f>RBBD!J39</f>
        <v>0</v>
      </c>
      <c r="P54" s="1361">
        <f>RBBD!K39</f>
        <v>0</v>
      </c>
      <c r="Q54" s="1361">
        <f>RBBD!L39</f>
        <v>0</v>
      </c>
      <c r="R54" s="1361">
        <f>RBBD!M39</f>
        <v>0</v>
      </c>
      <c r="S54" s="1361">
        <f>RBBD!N39</f>
        <v>0</v>
      </c>
      <c r="T54" s="1361">
        <f>RBBD!O39</f>
        <v>0</v>
      </c>
      <c r="U54" s="1361">
        <f>RBBD!P39</f>
        <v>0</v>
      </c>
      <c r="V54" s="1361">
        <f>RBBD!Q39</f>
        <v>0</v>
      </c>
      <c r="W54" s="1361">
        <f>RBBD!R39</f>
        <v>0</v>
      </c>
      <c r="X54" s="1361">
        <f>RBBD!S39</f>
        <v>0</v>
      </c>
      <c r="Y54" s="1361">
        <f>RBBD!T39</f>
        <v>0</v>
      </c>
      <c r="Z54" s="65"/>
      <c r="AA54" s="329">
        <f t="shared" si="5"/>
        <v>0</v>
      </c>
    </row>
    <row r="55" spans="2:27" hidden="1">
      <c r="B55" s="1361">
        <f>RBBD!B40</f>
        <v>0</v>
      </c>
      <c r="C55" s="1361">
        <f>RBBD!C40</f>
        <v>0</v>
      </c>
      <c r="D55" s="1361">
        <f>RBBD!D40</f>
        <v>0</v>
      </c>
      <c r="E55" s="1361">
        <f>RBBD!G40</f>
        <v>0</v>
      </c>
      <c r="F55" s="1361">
        <f>RBBD!H40</f>
        <v>0</v>
      </c>
      <c r="G55" s="1361">
        <f>RBBD!E40</f>
        <v>0</v>
      </c>
      <c r="H55" s="1361">
        <f>RBBD!F40</f>
        <v>0</v>
      </c>
      <c r="I55" s="1361">
        <f t="shared" si="2"/>
        <v>0</v>
      </c>
      <c r="J55" s="1361">
        <f t="shared" si="2"/>
        <v>0</v>
      </c>
      <c r="K55" s="1361">
        <f t="shared" si="2"/>
        <v>0</v>
      </c>
      <c r="L55" s="1361">
        <f t="shared" si="2"/>
        <v>0</v>
      </c>
      <c r="M55" s="1361">
        <f t="shared" si="3"/>
        <v>0</v>
      </c>
      <c r="N55" s="1361">
        <f>RBBD!I40</f>
        <v>0</v>
      </c>
      <c r="O55" s="1361">
        <f>RBBD!J40</f>
        <v>0</v>
      </c>
      <c r="P55" s="1361">
        <f>RBBD!K40</f>
        <v>0</v>
      </c>
      <c r="Q55" s="1361">
        <f>RBBD!L40</f>
        <v>0</v>
      </c>
      <c r="R55" s="1361">
        <f>RBBD!M40</f>
        <v>0</v>
      </c>
      <c r="S55" s="1361">
        <f>RBBD!N40</f>
        <v>0</v>
      </c>
      <c r="T55" s="1361">
        <f>RBBD!O40</f>
        <v>0</v>
      </c>
      <c r="U55" s="1361">
        <f>RBBD!P40</f>
        <v>0</v>
      </c>
      <c r="V55" s="1361">
        <f>RBBD!Q40</f>
        <v>0</v>
      </c>
      <c r="W55" s="1361">
        <f>RBBD!R40</f>
        <v>0</v>
      </c>
      <c r="X55" s="1361">
        <f>RBBD!S40</f>
        <v>0</v>
      </c>
      <c r="Y55" s="1361">
        <f>RBBD!T40</f>
        <v>0</v>
      </c>
      <c r="Z55" s="65"/>
      <c r="AA55" s="329">
        <f t="shared" si="5"/>
        <v>0</v>
      </c>
    </row>
    <row r="56" spans="2:27" hidden="1">
      <c r="B56" s="1361">
        <f>RBBD!B41</f>
        <v>0</v>
      </c>
      <c r="C56" s="1361">
        <f>RBBD!C41</f>
        <v>0</v>
      </c>
      <c r="D56" s="1361">
        <f>RBBD!D41</f>
        <v>0</v>
      </c>
      <c r="E56" s="1361">
        <f>RBBD!G41</f>
        <v>0</v>
      </c>
      <c r="F56" s="1361">
        <f>RBBD!H41</f>
        <v>0</v>
      </c>
      <c r="G56" s="1361">
        <f>RBBD!E41</f>
        <v>0</v>
      </c>
      <c r="H56" s="1361">
        <f>RBBD!F41</f>
        <v>0</v>
      </c>
      <c r="I56" s="1361">
        <f t="shared" si="2"/>
        <v>0</v>
      </c>
      <c r="J56" s="1361">
        <f t="shared" si="2"/>
        <v>0</v>
      </c>
      <c r="K56" s="1361">
        <f t="shared" si="2"/>
        <v>0</v>
      </c>
      <c r="L56" s="1361">
        <f t="shared" si="2"/>
        <v>0</v>
      </c>
      <c r="M56" s="1361">
        <f t="shared" si="3"/>
        <v>0</v>
      </c>
      <c r="N56" s="1361">
        <f>RBBD!I41</f>
        <v>0</v>
      </c>
      <c r="O56" s="1361">
        <f>RBBD!J41</f>
        <v>0</v>
      </c>
      <c r="P56" s="1361">
        <f>RBBD!K41</f>
        <v>0</v>
      </c>
      <c r="Q56" s="1361">
        <f>RBBD!L41</f>
        <v>0</v>
      </c>
      <c r="R56" s="1361">
        <f>RBBD!M41</f>
        <v>0</v>
      </c>
      <c r="S56" s="1361">
        <f>RBBD!N41</f>
        <v>0</v>
      </c>
      <c r="T56" s="1361">
        <f>RBBD!O41</f>
        <v>0</v>
      </c>
      <c r="U56" s="1361">
        <f>RBBD!P41</f>
        <v>0</v>
      </c>
      <c r="V56" s="1361">
        <f>RBBD!Q41</f>
        <v>0</v>
      </c>
      <c r="W56" s="1361">
        <f>RBBD!R41</f>
        <v>0</v>
      </c>
      <c r="X56" s="1361">
        <f>RBBD!S41</f>
        <v>0</v>
      </c>
      <c r="Y56" s="1361">
        <f>RBBD!T41</f>
        <v>0</v>
      </c>
      <c r="Z56" s="65"/>
      <c r="AA56" s="329">
        <f t="shared" si="5"/>
        <v>0</v>
      </c>
    </row>
    <row r="57" spans="2:27" hidden="1">
      <c r="B57" s="1361">
        <f>RBBD!B42</f>
        <v>0</v>
      </c>
      <c r="C57" s="1361">
        <f>RBBD!C42</f>
        <v>0</v>
      </c>
      <c r="D57" s="1361">
        <f>RBBD!D42</f>
        <v>0</v>
      </c>
      <c r="E57" s="1361">
        <f>RBBD!G42</f>
        <v>0</v>
      </c>
      <c r="F57" s="1361">
        <f>RBBD!H42</f>
        <v>0</v>
      </c>
      <c r="G57" s="1361">
        <f>RBBD!E42</f>
        <v>0</v>
      </c>
      <c r="H57" s="1361">
        <f>RBBD!F42</f>
        <v>0</v>
      </c>
      <c r="I57" s="1361">
        <f t="shared" si="2"/>
        <v>0</v>
      </c>
      <c r="J57" s="1361">
        <f t="shared" si="2"/>
        <v>0</v>
      </c>
      <c r="K57" s="1361">
        <f t="shared" si="2"/>
        <v>0</v>
      </c>
      <c r="L57" s="1361">
        <f t="shared" si="2"/>
        <v>0</v>
      </c>
      <c r="M57" s="1361">
        <f t="shared" si="3"/>
        <v>0</v>
      </c>
      <c r="N57" s="1361">
        <f>RBBD!I42</f>
        <v>0</v>
      </c>
      <c r="O57" s="1361">
        <f>RBBD!J42</f>
        <v>0</v>
      </c>
      <c r="P57" s="1361">
        <f>RBBD!K42</f>
        <v>0</v>
      </c>
      <c r="Q57" s="1361">
        <f>RBBD!L42</f>
        <v>0</v>
      </c>
      <c r="R57" s="1361">
        <f>RBBD!M42</f>
        <v>0</v>
      </c>
      <c r="S57" s="1361">
        <f>RBBD!N42</f>
        <v>0</v>
      </c>
      <c r="T57" s="1361">
        <f>RBBD!O42</f>
        <v>0</v>
      </c>
      <c r="U57" s="1361">
        <f>RBBD!P42</f>
        <v>0</v>
      </c>
      <c r="V57" s="1361">
        <f>RBBD!Q42</f>
        <v>0</v>
      </c>
      <c r="W57" s="1361">
        <f>RBBD!R42</f>
        <v>0</v>
      </c>
      <c r="X57" s="1361">
        <f>RBBD!S42</f>
        <v>0</v>
      </c>
      <c r="Y57" s="1361">
        <f>RBBD!T42</f>
        <v>0</v>
      </c>
      <c r="Z57" s="65"/>
      <c r="AA57" s="329">
        <f t="shared" si="5"/>
        <v>0</v>
      </c>
    </row>
    <row r="58" spans="2:27" hidden="1">
      <c r="B58" s="1361">
        <f>RBBD!B43</f>
        <v>0</v>
      </c>
      <c r="C58" s="1361">
        <f>RBBD!C43</f>
        <v>0</v>
      </c>
      <c r="D58" s="1361">
        <f>RBBD!D43</f>
        <v>0</v>
      </c>
      <c r="E58" s="1361">
        <f>RBBD!G43</f>
        <v>0</v>
      </c>
      <c r="F58" s="1361">
        <f>RBBD!H43</f>
        <v>0</v>
      </c>
      <c r="G58" s="1361">
        <f>RBBD!E43</f>
        <v>0</v>
      </c>
      <c r="H58" s="1361">
        <f>RBBD!F43</f>
        <v>0</v>
      </c>
      <c r="I58" s="1361">
        <f t="shared" si="2"/>
        <v>0</v>
      </c>
      <c r="J58" s="1361">
        <f t="shared" si="2"/>
        <v>0</v>
      </c>
      <c r="K58" s="1361">
        <f t="shared" si="2"/>
        <v>0</v>
      </c>
      <c r="L58" s="1361">
        <f t="shared" si="2"/>
        <v>0</v>
      </c>
      <c r="M58" s="1361">
        <f t="shared" si="3"/>
        <v>0</v>
      </c>
      <c r="N58" s="1361">
        <f>RBBD!I43</f>
        <v>0</v>
      </c>
      <c r="O58" s="1361">
        <f>RBBD!J43</f>
        <v>0</v>
      </c>
      <c r="P58" s="1361">
        <f>RBBD!K43</f>
        <v>0</v>
      </c>
      <c r="Q58" s="1361">
        <f>RBBD!L43</f>
        <v>0</v>
      </c>
      <c r="R58" s="1361">
        <f>RBBD!M43</f>
        <v>0</v>
      </c>
      <c r="S58" s="1361">
        <f>RBBD!N43</f>
        <v>0</v>
      </c>
      <c r="T58" s="1361">
        <f>RBBD!O43</f>
        <v>0</v>
      </c>
      <c r="U58" s="1361">
        <f>RBBD!P43</f>
        <v>0</v>
      </c>
      <c r="V58" s="1361">
        <f>RBBD!Q43</f>
        <v>0</v>
      </c>
      <c r="W58" s="1361">
        <f>RBBD!R43</f>
        <v>0</v>
      </c>
      <c r="X58" s="1361">
        <f>RBBD!S43</f>
        <v>0</v>
      </c>
      <c r="Y58" s="1361">
        <f>RBBD!T43</f>
        <v>0</v>
      </c>
      <c r="Z58" s="65"/>
      <c r="AA58" s="329">
        <f t="shared" si="5"/>
        <v>0</v>
      </c>
    </row>
    <row r="59" spans="2:27" hidden="1">
      <c r="B59" s="1361">
        <f>RBBD!B44</f>
        <v>0</v>
      </c>
      <c r="C59" s="1361">
        <f>RBBD!C44</f>
        <v>0</v>
      </c>
      <c r="D59" s="1361">
        <f>RBBD!D44</f>
        <v>0</v>
      </c>
      <c r="E59" s="1361">
        <f>RBBD!G44</f>
        <v>0</v>
      </c>
      <c r="F59" s="1361">
        <f>RBBD!H44</f>
        <v>0</v>
      </c>
      <c r="G59" s="1361">
        <f>RBBD!E44</f>
        <v>0</v>
      </c>
      <c r="H59" s="1361">
        <f>RBBD!F44</f>
        <v>0</v>
      </c>
      <c r="I59" s="1361">
        <f t="shared" si="2"/>
        <v>0</v>
      </c>
      <c r="J59" s="1361">
        <f t="shared" si="2"/>
        <v>0</v>
      </c>
      <c r="K59" s="1361">
        <f t="shared" si="2"/>
        <v>0</v>
      </c>
      <c r="L59" s="1361">
        <f t="shared" si="2"/>
        <v>0</v>
      </c>
      <c r="M59" s="1361">
        <f t="shared" si="3"/>
        <v>0</v>
      </c>
      <c r="N59" s="1361">
        <f>RBBD!I44</f>
        <v>0</v>
      </c>
      <c r="O59" s="1361">
        <f>RBBD!J44</f>
        <v>0</v>
      </c>
      <c r="P59" s="1361">
        <f>RBBD!K44</f>
        <v>0</v>
      </c>
      <c r="Q59" s="1361">
        <f>RBBD!L44</f>
        <v>0</v>
      </c>
      <c r="R59" s="1361">
        <f>RBBD!M44</f>
        <v>0</v>
      </c>
      <c r="S59" s="1361">
        <f>RBBD!N44</f>
        <v>0</v>
      </c>
      <c r="T59" s="1361">
        <f>RBBD!O44</f>
        <v>0</v>
      </c>
      <c r="U59" s="1361">
        <f>RBBD!P44</f>
        <v>0</v>
      </c>
      <c r="V59" s="1361">
        <f>RBBD!Q44</f>
        <v>0</v>
      </c>
      <c r="W59" s="1361">
        <f>RBBD!R44</f>
        <v>0</v>
      </c>
      <c r="X59" s="1361">
        <f>RBBD!S44</f>
        <v>0</v>
      </c>
      <c r="Y59" s="1361">
        <f>RBBD!T44</f>
        <v>0</v>
      </c>
      <c r="Z59" s="65"/>
      <c r="AA59" s="329">
        <f t="shared" si="5"/>
        <v>0</v>
      </c>
    </row>
    <row r="60" spans="2:27" hidden="1">
      <c r="B60" s="1361">
        <f>RBBD!B45</f>
        <v>0</v>
      </c>
      <c r="C60" s="1361">
        <f>RBBD!C45</f>
        <v>0</v>
      </c>
      <c r="D60" s="1361">
        <f>RBBD!D45</f>
        <v>0</v>
      </c>
      <c r="E60" s="1361">
        <f>RBBD!G45</f>
        <v>0</v>
      </c>
      <c r="F60" s="1361">
        <f>RBBD!H45</f>
        <v>0</v>
      </c>
      <c r="G60" s="1361">
        <f>RBBD!E45</f>
        <v>0</v>
      </c>
      <c r="H60" s="1361">
        <f>RBBD!F45</f>
        <v>0</v>
      </c>
      <c r="I60" s="1361">
        <f t="shared" si="2"/>
        <v>0</v>
      </c>
      <c r="J60" s="1361">
        <f t="shared" si="2"/>
        <v>0</v>
      </c>
      <c r="K60" s="1361">
        <f t="shared" si="2"/>
        <v>0</v>
      </c>
      <c r="L60" s="1361">
        <f t="shared" si="2"/>
        <v>0</v>
      </c>
      <c r="M60" s="1361">
        <f t="shared" si="3"/>
        <v>0</v>
      </c>
      <c r="N60" s="1361">
        <f>RBBD!I45</f>
        <v>0</v>
      </c>
      <c r="O60" s="1361">
        <f>RBBD!J45</f>
        <v>0</v>
      </c>
      <c r="P60" s="1361">
        <f>RBBD!K45</f>
        <v>0</v>
      </c>
      <c r="Q60" s="1361">
        <f>RBBD!L45</f>
        <v>0</v>
      </c>
      <c r="R60" s="1361">
        <f>RBBD!M45</f>
        <v>0</v>
      </c>
      <c r="S60" s="1361">
        <f>RBBD!N45</f>
        <v>0</v>
      </c>
      <c r="T60" s="1361">
        <f>RBBD!O45</f>
        <v>0</v>
      </c>
      <c r="U60" s="1361">
        <f>RBBD!P45</f>
        <v>0</v>
      </c>
      <c r="V60" s="1361">
        <f>RBBD!Q45</f>
        <v>0</v>
      </c>
      <c r="W60" s="1361">
        <f>RBBD!R45</f>
        <v>0</v>
      </c>
      <c r="X60" s="1361">
        <f>RBBD!S45</f>
        <v>0</v>
      </c>
      <c r="Y60" s="1361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62" t="s">
        <v>1243</v>
      </c>
      <c r="D62" s="1363"/>
      <c r="E62" s="1363" t="e">
        <f>SUM(I18:I61)/SUM(M18:M61)</f>
        <v>#DIV/0!</v>
      </c>
      <c r="F62" s="1363" t="e">
        <f>SUM(J18:J61)/SUM(M18:M61)</f>
        <v>#DIV/0!</v>
      </c>
      <c r="G62" s="1363" t="e">
        <f>SUM(K18:K61)/SUM(M18:M61)</f>
        <v>#DIV/0!</v>
      </c>
      <c r="H62" s="1363" t="e">
        <f>SUM(L18:L61)/SUM(M18:M61)</f>
        <v>#DIV/0!</v>
      </c>
      <c r="I62" s="1364">
        <f>SUM(I16:I61)</f>
        <v>0</v>
      </c>
      <c r="J62" s="1364">
        <f>SUM(J16:J61)</f>
        <v>0</v>
      </c>
      <c r="K62" s="1364">
        <f>SUM(K16:K61)</f>
        <v>0</v>
      </c>
      <c r="L62" s="1364">
        <f>SUM(L16:L61)</f>
        <v>0</v>
      </c>
      <c r="M62" s="1364">
        <f>SUM(M17:M61)</f>
        <v>0</v>
      </c>
      <c r="N62" s="1364">
        <f>SUM(N18:N61)</f>
        <v>0</v>
      </c>
      <c r="O62" s="1364">
        <f t="shared" ref="O62:Y62" si="6">SUM(O18:O61)</f>
        <v>0</v>
      </c>
      <c r="P62" s="1364">
        <f t="shared" si="6"/>
        <v>0</v>
      </c>
      <c r="Q62" s="1364">
        <f t="shared" si="6"/>
        <v>0</v>
      </c>
      <c r="R62" s="1364">
        <f t="shared" si="6"/>
        <v>0</v>
      </c>
      <c r="S62" s="1364">
        <f t="shared" si="6"/>
        <v>0</v>
      </c>
      <c r="T62" s="1364">
        <f t="shared" si="6"/>
        <v>0</v>
      </c>
      <c r="U62" s="1364">
        <f t="shared" si="6"/>
        <v>0</v>
      </c>
      <c r="V62" s="1364">
        <f t="shared" si="6"/>
        <v>0</v>
      </c>
      <c r="W62" s="1364">
        <f t="shared" si="6"/>
        <v>0</v>
      </c>
      <c r="X62" s="1364">
        <f t="shared" si="6"/>
        <v>0</v>
      </c>
      <c r="Y62" s="1364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54" t="s">
        <v>1244</v>
      </c>
      <c r="C67" s="1354"/>
      <c r="D67" s="1354"/>
      <c r="E67" s="1354"/>
      <c r="F67" s="1354"/>
      <c r="G67" s="1354"/>
      <c r="H67" s="1354"/>
      <c r="I67" s="1354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65">
        <f>IF(MONTH(E70)=7,E70,0)</f>
        <v>44378</v>
      </c>
      <c r="F69" s="1365">
        <f t="shared" ref="F69:P69" si="7">IF(MONTH(F70)=7,F70,0)</f>
        <v>0</v>
      </c>
      <c r="G69" s="1365">
        <f t="shared" si="7"/>
        <v>0</v>
      </c>
      <c r="H69" s="1365">
        <f t="shared" si="7"/>
        <v>0</v>
      </c>
      <c r="I69" s="1365">
        <f t="shared" si="7"/>
        <v>0</v>
      </c>
      <c r="J69" s="1365">
        <f t="shared" si="7"/>
        <v>0</v>
      </c>
      <c r="K69" s="1365">
        <f t="shared" si="7"/>
        <v>0</v>
      </c>
      <c r="L69" s="1365">
        <f t="shared" si="7"/>
        <v>0</v>
      </c>
      <c r="M69" s="1365">
        <f t="shared" si="7"/>
        <v>0</v>
      </c>
      <c r="N69" s="1365">
        <f t="shared" si="7"/>
        <v>0</v>
      </c>
      <c r="O69" s="1365">
        <f t="shared" si="7"/>
        <v>0</v>
      </c>
      <c r="P69" s="1365">
        <f t="shared" si="7"/>
        <v>0</v>
      </c>
      <c r="Q69" s="807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1245</v>
      </c>
      <c r="E70" s="1366">
        <f>G76</f>
        <v>44378</v>
      </c>
      <c r="F70" s="1366">
        <f>G77</f>
        <v>44409</v>
      </c>
      <c r="G70" s="1366">
        <f>G78</f>
        <v>44440</v>
      </c>
      <c r="H70" s="1366">
        <f>G79</f>
        <v>44470</v>
      </c>
      <c r="I70" s="1366">
        <f>G80</f>
        <v>44501</v>
      </c>
      <c r="J70" s="1366">
        <f>G81</f>
        <v>44531</v>
      </c>
      <c r="K70" s="1366">
        <f>G82</f>
        <v>44562</v>
      </c>
      <c r="L70" s="1366">
        <f>G83</f>
        <v>44593</v>
      </c>
      <c r="M70" s="1366">
        <f>G84</f>
        <v>44621</v>
      </c>
      <c r="N70" s="1366">
        <f>G85</f>
        <v>44652</v>
      </c>
      <c r="O70" s="1366">
        <f>G86</f>
        <v>44682</v>
      </c>
      <c r="P70" s="1366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67" t="s">
        <v>1246</v>
      </c>
      <c r="D71" s="1368">
        <f>SUM(E71:P71)</f>
        <v>0</v>
      </c>
      <c r="E71" s="1369">
        <f>SUMIF($G$76:$G$420,E70,$N$76:$N$420)</f>
        <v>0</v>
      </c>
      <c r="F71" s="1369">
        <f t="shared" ref="F71:P71" si="8">SUMIF($G$76:$G$420,F70,$N$76:$N$420)</f>
        <v>0</v>
      </c>
      <c r="G71" s="1369">
        <f t="shared" si="8"/>
        <v>0</v>
      </c>
      <c r="H71" s="1369">
        <f t="shared" si="8"/>
        <v>0</v>
      </c>
      <c r="I71" s="1369">
        <f t="shared" si="8"/>
        <v>0</v>
      </c>
      <c r="J71" s="1369">
        <f t="shared" si="8"/>
        <v>0</v>
      </c>
      <c r="K71" s="1369">
        <f t="shared" si="8"/>
        <v>0</v>
      </c>
      <c r="L71" s="1369">
        <f t="shared" si="8"/>
        <v>0</v>
      </c>
      <c r="M71" s="1369">
        <f t="shared" si="8"/>
        <v>0</v>
      </c>
      <c r="N71" s="1369">
        <f t="shared" si="8"/>
        <v>0</v>
      </c>
      <c r="O71" s="1369">
        <f t="shared" si="8"/>
        <v>0</v>
      </c>
      <c r="P71" s="1369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67" t="s">
        <v>1247</v>
      </c>
      <c r="D72" s="1368">
        <f>SUM(E72:P72)</f>
        <v>0</v>
      </c>
      <c r="E72" s="1369">
        <f>SUMIF(Indexador!$B$25:$B$48,'Rede Básica + Ajuste'!E70,Indexador!$J$25:$J$48)</f>
        <v>0</v>
      </c>
      <c r="F72" s="1369">
        <f>SUMIF(Indexador!$B$25:$B$48,'Rede Básica + Ajuste'!F70,Indexador!$J$25:$J$48)</f>
        <v>0</v>
      </c>
      <c r="G72" s="1369">
        <f>SUMIF(Indexador!$B$25:$B$48,'Rede Básica + Ajuste'!G70,Indexador!$J$25:$J$48)</f>
        <v>0</v>
      </c>
      <c r="H72" s="1369">
        <f>SUMIF(Indexador!$B$25:$B$48,'Rede Básica + Ajuste'!H70,Indexador!$J$25:$J$48)</f>
        <v>0</v>
      </c>
      <c r="I72" s="1369">
        <f>SUMIF(Indexador!$B$25:$B$48,'Rede Básica + Ajuste'!I70,Indexador!$J$25:$J$48)</f>
        <v>0</v>
      </c>
      <c r="J72" s="1369">
        <f>SUMIF(Indexador!$B$25:$B$48,'Rede Básica + Ajuste'!J70,Indexador!$J$25:$J$48)</f>
        <v>0</v>
      </c>
      <c r="K72" s="1369">
        <f>SUMIF(Indexador!$B$25:$B$48,'Rede Básica + Ajuste'!K70,Indexador!$J$25:$J$48)</f>
        <v>0</v>
      </c>
      <c r="L72" s="1369">
        <f>SUMIF(Indexador!$B$25:$B$48,'Rede Básica + Ajuste'!L70,Indexador!$J$25:$J$48)</f>
        <v>0</v>
      </c>
      <c r="M72" s="1369">
        <f>SUMIF(Indexador!$B$25:$B$48,'Rede Básica + Ajuste'!M70,Indexador!$J$25:$J$48)</f>
        <v>0</v>
      </c>
      <c r="N72" s="1369">
        <f>SUMIF(Indexador!$B$25:$B$48,'Rede Básica + Ajuste'!N70,Indexador!$J$25:$J$48)</f>
        <v>0</v>
      </c>
      <c r="O72" s="1369">
        <f>SUMIF(Indexador!$B$25:$B$48,'Rede Básica + Ajuste'!O70,Indexador!$J$25:$J$48)</f>
        <v>0</v>
      </c>
      <c r="P72" s="136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70" t="s">
        <v>1248</v>
      </c>
      <c r="K74" s="1771"/>
      <c r="L74" s="1772" t="s">
        <v>1249</v>
      </c>
      <c r="M74" s="1772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73" t="s">
        <v>1231</v>
      </c>
      <c r="D75" s="1774"/>
      <c r="F75" s="275"/>
      <c r="G75" s="1370" t="s">
        <v>715</v>
      </c>
      <c r="H75" s="1371" t="s">
        <v>1250</v>
      </c>
      <c r="I75" s="1371" t="s">
        <v>1251</v>
      </c>
      <c r="J75" s="1372" t="s">
        <v>1252</v>
      </c>
      <c r="K75" s="1372" t="s">
        <v>1253</v>
      </c>
      <c r="L75" s="1372" t="s">
        <v>1252</v>
      </c>
      <c r="M75" s="1372" t="s">
        <v>1253</v>
      </c>
      <c r="N75" s="282" t="s">
        <v>1254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67" t="s">
        <v>1255</v>
      </c>
      <c r="D76" s="1373">
        <f>IF(D18="Ponta",B18,0)</f>
        <v>0</v>
      </c>
      <c r="E76" s="18"/>
      <c r="F76" s="275"/>
      <c r="G76" s="1374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75">
        <f>IF(MONTH(DataRevRea)=7,'Rede Básica + Ajuste'!J76,IF(G76&lt;$Q$69,(SUMIFS($E$18:$E$60,$B$18:$B$60,$D$76,$D$18:$D$60,"Ponta")),(SUMIFS($F$18:$F$60,$B$18:$B$60,$D$76,$D$18:$D$60,"Ponta"))))</f>
        <v>0</v>
      </c>
      <c r="M76" s="1375">
        <f>IF(MONTH(DataRevRea)=7,'Rede Básica + Ajuste'!K76,IF(G76&lt;$Q$69,(SUMIFS($E$18:$E$60,$B$18:$B$60,$D$76,$D$18:$D$60,"Fora Ponta")),(SUMIFS($F$18:$F$60,$B$18:$B$60,$D$76,$D$18:$D$60,"Fora Ponta"))))</f>
        <v>0</v>
      </c>
      <c r="N76" s="1376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77" t="s">
        <v>1256</v>
      </c>
      <c r="E78" s="1378" t="s">
        <v>1257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79" t="str">
        <f>"Cobertura "&amp;YEAR(CAPA!C14)</f>
        <v>Cobertura 2021</v>
      </c>
      <c r="D79" s="1380">
        <f>SUMPRODUCT(H76:H87,J76:J87)</f>
        <v>0</v>
      </c>
      <c r="E79" s="1380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79" t="s">
        <v>1258</v>
      </c>
      <c r="D80" s="1380">
        <f>SUMPRODUCT(H76:H87,L76:L87)</f>
        <v>0</v>
      </c>
      <c r="E80" s="1380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81">
        <f t="shared" si="12"/>
        <v>44713</v>
      </c>
      <c r="H87" s="1382">
        <f>SUMIFS($Y$18:$Y$60,$B$18:$B$60,$D$76,$D$18:$D$60,"Ponta")</f>
        <v>0</v>
      </c>
      <c r="I87" s="1382">
        <f>SUMIFS($Y$18:$Y$60,$B$18:$B$60,$D$76,$D$18:$D$60,"Fora Ponta")</f>
        <v>0</v>
      </c>
      <c r="J87" s="1382">
        <f t="shared" si="9"/>
        <v>0</v>
      </c>
      <c r="K87" s="1382">
        <f t="shared" si="10"/>
        <v>0</v>
      </c>
      <c r="L87" s="1382">
        <f>IF(MONTH(DataRevRea)=7,'Rede Básica + Ajuste'!J87,IF(G87&lt;$Q$69,(SUMIFS($E$18:$E$60,$B$18:$B$60,$D$76,$D$18:$D$60,"Ponta")),(SUMIFS($F$18:$F$60,$B$18:$B$60,$D$76,$D$18:$D$60,"Ponta"))))</f>
        <v>0</v>
      </c>
      <c r="M87" s="1382">
        <f>IF(MONTH(DataRevRea)=7,'Rede Básica + Ajuste'!K87,IF(G87&lt;$Q$69,(SUMIFS($E$18:$E$60,$B$18:$B$60,$D$76,$D$18:$D$60,"Fora Ponta")),(SUMIFS($F$18:$F$60,$B$18:$B$60,$D$76,$D$18:$D$60,"Fora Ponta"))))</f>
        <v>0</v>
      </c>
      <c r="N87" s="1383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70" t="s">
        <v>1248</v>
      </c>
      <c r="K89" s="1771"/>
      <c r="L89" s="1772" t="s">
        <v>1249</v>
      </c>
      <c r="M89" s="1772"/>
      <c r="N89" s="283"/>
    </row>
    <row r="90" spans="2:50" ht="15.75">
      <c r="C90" s="1773" t="s">
        <v>1259</v>
      </c>
      <c r="D90" s="1774"/>
      <c r="F90" s="275"/>
      <c r="G90" s="1370" t="s">
        <v>715</v>
      </c>
      <c r="H90" s="1371" t="s">
        <v>1250</v>
      </c>
      <c r="I90" s="1371" t="s">
        <v>1251</v>
      </c>
      <c r="J90" s="1372" t="s">
        <v>1252</v>
      </c>
      <c r="K90" s="1372" t="s">
        <v>1253</v>
      </c>
      <c r="L90" s="1372" t="s">
        <v>1252</v>
      </c>
      <c r="M90" s="1372" t="s">
        <v>1253</v>
      </c>
      <c r="N90" s="282" t="s">
        <v>1254</v>
      </c>
    </row>
    <row r="91" spans="2:50" ht="15.75">
      <c r="C91" s="1367" t="s">
        <v>1255</v>
      </c>
      <c r="D91" s="1373">
        <f>IF(D18="Ponta",B18,0)</f>
        <v>0</v>
      </c>
      <c r="E91" s="18"/>
      <c r="F91" s="275"/>
      <c r="G91" s="1374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75">
        <f>IF(MONTH(DataRevRea)=7,'Rede Básica + Ajuste'!J91,IF(G91&lt;$Q$69,(SUMIFS($G$18:$G$60,$B$18:$B$60,$D$91,$D$18:$D$60,"Ponta")),(SUMIFS($H$18:$H$60,$B$18:$B$60,$D$91,$D$18:$D$60,"Ponta"))))</f>
        <v>0</v>
      </c>
      <c r="M91" s="1375">
        <f>IF(MONTH(DataRevRea)=7,'Rede Básica + Ajuste'!K91,IF(G91&lt;$Q$69,(SUMIFS($G$18:$G$60,$B$18:$B$60,$D$91,$D$18:$D$60,"Fora Ponta")),(SUMIFS($H$18:$H$60,$B$18:$B$60,$D$91,$D$18:$D$60,"Fora Ponta"))))</f>
        <v>0</v>
      </c>
      <c r="N91" s="1376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77" t="s">
        <v>1256</v>
      </c>
      <c r="E93" s="1378" t="s">
        <v>1257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79" t="str">
        <f>C79</f>
        <v>Cobertura 2021</v>
      </c>
      <c r="D94" s="1380">
        <f>SUMPRODUCT(H91:H102,J91:J102)</f>
        <v>0</v>
      </c>
      <c r="E94" s="1380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79" t="s">
        <v>1258</v>
      </c>
      <c r="D95" s="1380">
        <f>SUMPRODUCT(H91:H102,L91:L102)</f>
        <v>0</v>
      </c>
      <c r="E95" s="1380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81">
        <f t="shared" si="13"/>
        <v>44713</v>
      </c>
      <c r="H102" s="1382">
        <f t="shared" si="13"/>
        <v>0</v>
      </c>
      <c r="I102" s="1382">
        <f t="shared" si="13"/>
        <v>0</v>
      </c>
      <c r="J102" s="1382">
        <f t="shared" si="14"/>
        <v>0</v>
      </c>
      <c r="K102" s="1382">
        <f t="shared" si="15"/>
        <v>0</v>
      </c>
      <c r="L102" s="1382">
        <f>IF(MONTH(DataRevRea)=7,'Rede Básica + Ajuste'!J102,IF(G102&lt;$Q$69,(SUMIFS($G$18:$G$60,$B$18:$B$60,$D$91,$D$18:$D$60,"Ponta")),(SUMIFS($H$18:$H$60,$B$18:$B$60,$D$91,$D$18:$D$60,"Ponta"))))</f>
        <v>0</v>
      </c>
      <c r="M102" s="1382">
        <f>IF(MONTH(DataRevRea)=7,'Rede Básica + Ajuste'!K102,IF(G102&lt;$Q$69,(SUMIFS($G$18:$G$60,$B$18:$B$60,$D$91,$D$18:$D$60,"Fora Ponta")),(SUMIFS($H$18:$H$60,$B$18:$B$60,$D$91,$D$18:$D$60,"Fora Ponta"))))</f>
        <v>0</v>
      </c>
      <c r="N102" s="1383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70" t="s">
        <v>1248</v>
      </c>
      <c r="K104" s="1771"/>
      <c r="L104" s="1772" t="s">
        <v>1249</v>
      </c>
      <c r="M104" s="1772"/>
      <c r="N104" s="283"/>
    </row>
    <row r="105" spans="3:14" ht="15.75">
      <c r="C105" s="1773" t="s">
        <v>1231</v>
      </c>
      <c r="D105" s="1774"/>
      <c r="F105" s="275"/>
      <c r="G105" s="1370" t="s">
        <v>715</v>
      </c>
      <c r="H105" s="1371" t="s">
        <v>1250</v>
      </c>
      <c r="I105" s="1371" t="s">
        <v>1251</v>
      </c>
      <c r="J105" s="1372" t="s">
        <v>1252</v>
      </c>
      <c r="K105" s="1372" t="s">
        <v>1253</v>
      </c>
      <c r="L105" s="1372" t="s">
        <v>1252</v>
      </c>
      <c r="M105" s="1372" t="s">
        <v>1253</v>
      </c>
      <c r="N105" s="282" t="s">
        <v>1254</v>
      </c>
    </row>
    <row r="106" spans="3:14" ht="15.75">
      <c r="C106" s="1367" t="s">
        <v>1255</v>
      </c>
      <c r="D106" s="1384">
        <f>IF(D19="Ponta",B19,0)</f>
        <v>0</v>
      </c>
      <c r="E106" s="18"/>
      <c r="F106" s="275"/>
      <c r="G106" s="1374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75">
        <f>IF(MONTH(DataRevRea)=7,'Rede Básica + Ajuste'!J106,IF(G106&lt;$Q$69,(SUMIFS($E$18:$E$60,$B$18:$B$60,$D$106,$D$18:$D$60,"Ponta")),(SUMIFS($F$18:$F$60,$B$18:$B$60,$D$106,$D$18:$D$60,"Ponta"))))</f>
        <v>0</v>
      </c>
      <c r="M106" s="1375">
        <f>IF(MONTH(DataRevRea)=7,'Rede Básica + Ajuste'!K106,IF(G106&lt;$Q$69,(SUMIFS($E$18:$E$60,$B$18:$B$60,$D$106,$D$18:$D$60,"Fora Ponta")),(SUMIFS($F$18:$F$60,$B$18:$B$60,$D$106,$D$18:$D$60,"Fora Ponta"))))</f>
        <v>0</v>
      </c>
      <c r="N106" s="1376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77" t="s">
        <v>1256</v>
      </c>
      <c r="E108" s="1378" t="s">
        <v>1257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79" t="str">
        <f>C94</f>
        <v>Cobertura 2021</v>
      </c>
      <c r="D109" s="1380">
        <f>SUMPRODUCT(H106:H117,J106:J117)</f>
        <v>0</v>
      </c>
      <c r="E109" s="1380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79" t="s">
        <v>1258</v>
      </c>
      <c r="D110" s="1380">
        <f>SUMPRODUCT(H106:H117,L106:L117)</f>
        <v>0</v>
      </c>
      <c r="E110" s="1380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81">
        <f t="shared" si="17"/>
        <v>44713</v>
      </c>
      <c r="H117" s="1382">
        <f>SUMIFS($Y$18:$Y$60,$B$18:$B$60,$D$106,$D$18:$D$60,"Ponta")</f>
        <v>0</v>
      </c>
      <c r="I117" s="1382">
        <f>SUMIFS($Y$18:$Y$60,$B$18:$B$60,$D$106,$D$18:$D$60,"Fora Ponta")</f>
        <v>0</v>
      </c>
      <c r="J117" s="1382">
        <f t="shared" si="18"/>
        <v>0</v>
      </c>
      <c r="K117" s="1382">
        <f t="shared" si="19"/>
        <v>0</v>
      </c>
      <c r="L117" s="1382">
        <f>IF(MONTH(DataRevRea)=7,'Rede Básica + Ajuste'!J117,IF(G117&lt;$Q$69,(SUMIFS($E$18:$E$60,$B$18:$B$60,$D$106,$D$18:$D$60,"Ponta")),(SUMIFS($F$18:$F$60,$B$18:$B$60,$D$106,$D$18:$D$60,"Ponta"))))</f>
        <v>0</v>
      </c>
      <c r="M117" s="1382">
        <f>IF(MONTH(DataRevRea)=7,'Rede Básica + Ajuste'!K117,IF(G117&lt;$Q$69,(SUMIFS($E$18:$E$60,$B$18:$B$60,$D$106,$D$18:$D$60,"Fora Ponta")),(SUMIFS($F$18:$F$60,$B$18:$B$60,$D$106,$D$18:$D$60,"Fora Ponta"))))</f>
        <v>0</v>
      </c>
      <c r="N117" s="1383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70" t="s">
        <v>1248</v>
      </c>
      <c r="K119" s="1771"/>
      <c r="L119" s="1772" t="s">
        <v>1249</v>
      </c>
      <c r="M119" s="1772"/>
      <c r="N119" s="283"/>
    </row>
    <row r="120" spans="3:14" ht="15.75">
      <c r="C120" s="1773" t="s">
        <v>1259</v>
      </c>
      <c r="D120" s="1774"/>
      <c r="F120" s="275"/>
      <c r="G120" s="1370" t="s">
        <v>715</v>
      </c>
      <c r="H120" s="1371" t="s">
        <v>1250</v>
      </c>
      <c r="I120" s="1371" t="s">
        <v>1251</v>
      </c>
      <c r="J120" s="1372" t="s">
        <v>1252</v>
      </c>
      <c r="K120" s="1372" t="s">
        <v>1253</v>
      </c>
      <c r="L120" s="1372" t="s">
        <v>1252</v>
      </c>
      <c r="M120" s="1372" t="s">
        <v>1253</v>
      </c>
      <c r="N120" s="282" t="s">
        <v>1254</v>
      </c>
    </row>
    <row r="121" spans="3:14" ht="15.75">
      <c r="C121" s="1367" t="s">
        <v>1255</v>
      </c>
      <c r="D121" s="1384">
        <f>IF(D19="Ponta",B19,0)</f>
        <v>0</v>
      </c>
      <c r="E121" s="18"/>
      <c r="F121" s="275"/>
      <c r="G121" s="1374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75">
        <f>IF(MONTH(DataRevRea)=7,'Rede Básica + Ajuste'!J121,IF(G121&lt;$Q$69,(SUMIFS($G$18:$G$60,$B$18:$B$60,$D$121,$D$18:$D$60,"Ponta")),(SUMIFS($H$18:$H$60,$B$18:$B$60,$D$121,$D$18:$D$60,"Ponta"))))</f>
        <v>0</v>
      </c>
      <c r="M121" s="1375">
        <f>IF(MONTH(DataRevRea)=7,'Rede Básica + Ajuste'!K121,IF(G121&lt;$Q$69,(SUMIFS($G$18:$G$60,$B$18:$B$60,$D$121,$D$18:$D$60,"Fora Ponta")),(SUMIFS($H$18:$H$60,$B$18:$B$60,$D$121,$D$18:$D$60,"Fora Ponta"))))</f>
        <v>0</v>
      </c>
      <c r="N121" s="1376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77" t="s">
        <v>1256</v>
      </c>
      <c r="E123" s="1378" t="s">
        <v>1257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79" t="str">
        <f>C109</f>
        <v>Cobertura 2021</v>
      </c>
      <c r="D124" s="1380">
        <f>SUMPRODUCT(H121:H132,J121:J132)</f>
        <v>0</v>
      </c>
      <c r="E124" s="1380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79" t="s">
        <v>1258</v>
      </c>
      <c r="D125" s="1380">
        <f>SUMPRODUCT(H121:H132,L121:L132)</f>
        <v>0</v>
      </c>
      <c r="E125" s="1380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81">
        <f t="shared" si="21"/>
        <v>44713</v>
      </c>
      <c r="H132" s="1382">
        <f t="shared" si="21"/>
        <v>0</v>
      </c>
      <c r="I132" s="1382">
        <f t="shared" si="21"/>
        <v>0</v>
      </c>
      <c r="J132" s="1382">
        <f t="shared" si="22"/>
        <v>0</v>
      </c>
      <c r="K132" s="1382">
        <f t="shared" si="23"/>
        <v>0</v>
      </c>
      <c r="L132" s="1382">
        <f>IF(MONTH(DataRevRea)=7,'Rede Básica + Ajuste'!J132,IF(G132&lt;$Q$69,(SUMIFS($G$18:$G$60,$B$18:$B$60,$D$121,$D$18:$D$60,"Ponta")),(SUMIFS($H$18:$H$60,$B$18:$B$60,$D$121,$D$18:$D$60,"Ponta"))))</f>
        <v>0</v>
      </c>
      <c r="M132" s="1382">
        <f>IF(MONTH(DataRevRea)=7,'Rede Básica + Ajuste'!K132,IF(G132&lt;$Q$69,(SUMIFS($G$18:$G$60,$B$18:$B$60,$D$121,$D$18:$D$60,"Fora Ponta")),(SUMIFS($H$18:$H$60,$B$18:$B$60,$D$121,$D$18:$D$60,"Fora Ponta"))))</f>
        <v>0</v>
      </c>
      <c r="N132" s="1383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70" t="s">
        <v>1248</v>
      </c>
      <c r="K134" s="1771"/>
      <c r="L134" s="1772" t="s">
        <v>1249</v>
      </c>
      <c r="M134" s="1772"/>
      <c r="N134" s="283"/>
    </row>
    <row r="135" spans="3:14" ht="15.75">
      <c r="C135" s="1773" t="s">
        <v>1231</v>
      </c>
      <c r="D135" s="1774"/>
      <c r="F135" s="275"/>
      <c r="G135" s="1370" t="s">
        <v>715</v>
      </c>
      <c r="H135" s="1371" t="s">
        <v>1250</v>
      </c>
      <c r="I135" s="1371" t="s">
        <v>1251</v>
      </c>
      <c r="J135" s="1372" t="s">
        <v>1252</v>
      </c>
      <c r="K135" s="1372" t="s">
        <v>1253</v>
      </c>
      <c r="L135" s="1372" t="s">
        <v>1252</v>
      </c>
      <c r="M135" s="1372" t="s">
        <v>1253</v>
      </c>
      <c r="N135" s="282" t="s">
        <v>1254</v>
      </c>
    </row>
    <row r="136" spans="3:14" ht="15.75">
      <c r="C136" s="1367" t="s">
        <v>1255</v>
      </c>
      <c r="D136" s="1384">
        <f>IF(D20="Ponta",B20,0)</f>
        <v>0</v>
      </c>
      <c r="E136" s="18"/>
      <c r="F136" s="275"/>
      <c r="G136" s="1374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75">
        <f>IF(MONTH(DataRevRea)=7,'Rede Básica + Ajuste'!J136,IF(G136&lt;$Q$69,(SUMIFS($E$18:$E$60,$B$18:$B$60,$D$136,$D$18:$D$60,"Ponta")),(SUMIFS($F$18:$F$60,$B$18:$B$60,$D$136,$D$18:$D$60,"Ponta"))))</f>
        <v>0</v>
      </c>
      <c r="M136" s="1375">
        <f>IF(MONTH(DataRevRea)=7,'Rede Básica + Ajuste'!K136,IF(G136&lt;$Q$69,(SUMIFS($E$18:$E$60,$B$18:$B$60,$D$136,$D$18:$D$60,"Fora Ponta")),(SUMIFS($F$18:$F$60,$B$18:$B$60,$D$136,$D$18:$D$60,"Fora Ponta"))))</f>
        <v>0</v>
      </c>
      <c r="N136" s="1376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77" t="s">
        <v>1256</v>
      </c>
      <c r="E138" s="1378" t="s">
        <v>1257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79" t="str">
        <f>C124</f>
        <v>Cobertura 2021</v>
      </c>
      <c r="D139" s="1380">
        <f>SUMPRODUCT(H136:H147,J136:J147)</f>
        <v>0</v>
      </c>
      <c r="E139" s="1380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79" t="s">
        <v>1258</v>
      </c>
      <c r="D140" s="1380">
        <f>SUMPRODUCT(H136:H147,L136:L147)</f>
        <v>0</v>
      </c>
      <c r="E140" s="1380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81">
        <f t="shared" si="25"/>
        <v>44713</v>
      </c>
      <c r="H147" s="1382">
        <f>SUMIFS($Y$18:$Y$60,$B$18:$B$60,$D$136,$D$18:$D$60,"Ponta")</f>
        <v>0</v>
      </c>
      <c r="I147" s="1382">
        <f>SUMIFS($Y$18:$Y$60,$B$18:$B$60,$D$136,$D$18:$D$60,"Fora Ponta")</f>
        <v>0</v>
      </c>
      <c r="J147" s="1382">
        <f t="shared" si="26"/>
        <v>0</v>
      </c>
      <c r="K147" s="1382">
        <f t="shared" si="27"/>
        <v>0</v>
      </c>
      <c r="L147" s="1382">
        <f>IF(MONTH(DataRevRea)=7,'Rede Básica + Ajuste'!J147,IF(G147&lt;$Q$69,(SUMIFS($E$18:$E$60,$B$18:$B$60,$D$136,$D$18:$D$60,"Ponta")),(SUMIFS($F$18:$F$60,$B$18:$B$60,$D$136,$D$18:$D$60,"Ponta"))))</f>
        <v>0</v>
      </c>
      <c r="M147" s="1382">
        <f>IF(MONTH(DataRevRea)=7,'Rede Básica + Ajuste'!K147,IF(G147&lt;$Q$69,(SUMIFS($E$18:$E$60,$B$18:$B$60,$D$136,$D$18:$D$60,"Fora Ponta")),(SUMIFS($F$18:$F$60,$B$18:$B$60,$D$136,$D$18:$D$60,"Fora Ponta"))))</f>
        <v>0</v>
      </c>
      <c r="N147" s="1383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70" t="s">
        <v>1248</v>
      </c>
      <c r="K149" s="1771"/>
      <c r="L149" s="1772" t="s">
        <v>1249</v>
      </c>
      <c r="M149" s="1772"/>
      <c r="N149" s="283"/>
    </row>
    <row r="150" spans="3:14" ht="15.75">
      <c r="C150" s="1773" t="s">
        <v>1259</v>
      </c>
      <c r="D150" s="1774"/>
      <c r="F150" s="275"/>
      <c r="G150" s="1370" t="s">
        <v>715</v>
      </c>
      <c r="H150" s="1371" t="s">
        <v>1250</v>
      </c>
      <c r="I150" s="1371" t="s">
        <v>1251</v>
      </c>
      <c r="J150" s="1372" t="s">
        <v>1252</v>
      </c>
      <c r="K150" s="1372" t="s">
        <v>1253</v>
      </c>
      <c r="L150" s="1372" t="s">
        <v>1252</v>
      </c>
      <c r="M150" s="1372" t="s">
        <v>1253</v>
      </c>
      <c r="N150" s="282" t="s">
        <v>1254</v>
      </c>
    </row>
    <row r="151" spans="3:14" ht="15.75">
      <c r="C151" s="1367" t="s">
        <v>1255</v>
      </c>
      <c r="D151" s="1384">
        <f>IF(D20="Ponta",B20,0)</f>
        <v>0</v>
      </c>
      <c r="E151" s="18"/>
      <c r="F151" s="275"/>
      <c r="G151" s="1374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75">
        <f>IF(MONTH(DataRevRea)=7,'Rede Básica + Ajuste'!J151,IF(G151&lt;$Q$69,(SUMIFS($G$18:$G$60,$B$18:$B$60,$D$151,$D$18:$D$60,"Ponta")),(SUMIFS($H$18:$H$60,$B$18:$B$60,$D$151,$D$18:$D$60,"Ponta"))))</f>
        <v>0</v>
      </c>
      <c r="M151" s="1375">
        <f>IF(MONTH(DataRevRea)=7,'Rede Básica + Ajuste'!K151,IF(G151&lt;$Q$69,(SUMIFS($G$18:$G$60,$B$18:$B$60,$D$151,$D$18:$D$60,"Fora Ponta")),(SUMIFS($H$18:$H$60,$B$18:$B$60,$D$151,$D$18:$D$60,"Fora Ponta"))))</f>
        <v>0</v>
      </c>
      <c r="N151" s="1376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77" t="s">
        <v>1256</v>
      </c>
      <c r="E153" s="1378" t="s">
        <v>1257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79" t="str">
        <f>C139</f>
        <v>Cobertura 2021</v>
      </c>
      <c r="D154" s="1380">
        <f>SUMPRODUCT(H151:H162,J151:J162)</f>
        <v>0</v>
      </c>
      <c r="E154" s="1380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79" t="s">
        <v>1258</v>
      </c>
      <c r="D155" s="1380">
        <f>SUMPRODUCT(H151:H162,L151:L162)</f>
        <v>0</v>
      </c>
      <c r="E155" s="1380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81">
        <f t="shared" si="29"/>
        <v>44713</v>
      </c>
      <c r="H162" s="1382">
        <f t="shared" si="29"/>
        <v>0</v>
      </c>
      <c r="I162" s="1382">
        <f t="shared" si="29"/>
        <v>0</v>
      </c>
      <c r="J162" s="1382">
        <f t="shared" si="30"/>
        <v>0</v>
      </c>
      <c r="K162" s="1382">
        <f t="shared" si="31"/>
        <v>0</v>
      </c>
      <c r="L162" s="1382">
        <f>IF(MONTH(DataRevRea)=7,'Rede Básica + Ajuste'!J162,IF(G162&lt;$Q$69,(SUMIFS($G$18:$G$60,$B$18:$B$60,$D$151,$D$18:$D$60,"Ponta")),(SUMIFS($H$18:$H$60,$B$18:$B$60,$D$151,$D$18:$D$60,"Ponta"))))</f>
        <v>0</v>
      </c>
      <c r="M162" s="1382">
        <f>IF(MONTH(DataRevRea)=7,'Rede Básica + Ajuste'!K162,IF(G162&lt;$Q$69,(SUMIFS($G$18:$G$60,$B$18:$B$60,$D$151,$D$18:$D$60,"Fora Ponta")),(SUMIFS($H$18:$H$60,$B$18:$B$60,$D$151,$D$18:$D$60,"Fora Ponta"))))</f>
        <v>0</v>
      </c>
      <c r="N162" s="1383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70" t="s">
        <v>1248</v>
      </c>
      <c r="K164" s="1771"/>
      <c r="L164" s="1772" t="s">
        <v>1249</v>
      </c>
      <c r="M164" s="1772"/>
      <c r="N164" s="283"/>
    </row>
    <row r="165" spans="3:14" ht="15.75">
      <c r="C165" s="1773" t="s">
        <v>1231</v>
      </c>
      <c r="D165" s="1774"/>
      <c r="F165" s="275"/>
      <c r="G165" s="1370" t="s">
        <v>715</v>
      </c>
      <c r="H165" s="1371" t="s">
        <v>1250</v>
      </c>
      <c r="I165" s="1371" t="s">
        <v>1251</v>
      </c>
      <c r="J165" s="1372" t="s">
        <v>1252</v>
      </c>
      <c r="K165" s="1372" t="s">
        <v>1253</v>
      </c>
      <c r="L165" s="1372" t="s">
        <v>1252</v>
      </c>
      <c r="M165" s="1372" t="s">
        <v>1253</v>
      </c>
      <c r="N165" s="282" t="s">
        <v>1254</v>
      </c>
    </row>
    <row r="166" spans="3:14" ht="15.75">
      <c r="C166" s="1367" t="s">
        <v>1255</v>
      </c>
      <c r="D166" s="1384">
        <f>IF(D21="Ponta",B21,0)</f>
        <v>0</v>
      </c>
      <c r="E166" s="18"/>
      <c r="F166" s="275"/>
      <c r="G166" s="1374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75">
        <f>IF(MONTH(DataRevRea)=7,'Rede Básica + Ajuste'!J166,IF(G166&lt;$Q$69,(SUMIFS($E$18:$E$60,$B$18:$B$60,$D$166,$D$18:$D$60,"Ponta")),(SUMIFS($F$18:$F$60,$B$18:$B$60,$D$166,$D$18:$D$60,"Ponta"))))</f>
        <v>0</v>
      </c>
      <c r="M166" s="1375">
        <f>IF(MONTH(DataRevRea)=7,'Rede Básica + Ajuste'!K166,IF(G166&lt;$Q$69,(SUMIFS($E$18:$E$60,$B$18:$B$60,$D$166,$D$18:$D$60,"Fora Ponta")),(SUMIFS($F$18:$F$60,$B$18:$B$60,$D$166,$D$18:$D$60,"Fora Ponta"))))</f>
        <v>0</v>
      </c>
      <c r="N166" s="1376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77" t="s">
        <v>1256</v>
      </c>
      <c r="E168" s="1378" t="s">
        <v>1257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79" t="str">
        <f>C154</f>
        <v>Cobertura 2021</v>
      </c>
      <c r="D169" s="1380">
        <f>SUMPRODUCT(H166:H177,J166:J177)</f>
        <v>0</v>
      </c>
      <c r="E169" s="1380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79" t="s">
        <v>1258</v>
      </c>
      <c r="D170" s="1380">
        <f>SUMPRODUCT(H166:H177,L166:L177)</f>
        <v>0</v>
      </c>
      <c r="E170" s="1380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81">
        <f t="shared" si="33"/>
        <v>44713</v>
      </c>
      <c r="H177" s="1382">
        <f>SUMIFS($Y$18:$Y$60,$B$18:$B$60,$D$166,$D$18:$D$60,"Ponta")</f>
        <v>0</v>
      </c>
      <c r="I177" s="1382">
        <f>SUMIFS($Y$18:$Y$60,$B$18:$B$60,$D$166,$D$18:$D$60,"Fora Ponta")</f>
        <v>0</v>
      </c>
      <c r="J177" s="1382">
        <f t="shared" si="34"/>
        <v>0</v>
      </c>
      <c r="K177" s="1382">
        <f t="shared" si="35"/>
        <v>0</v>
      </c>
      <c r="L177" s="1382">
        <f>IF(MONTH(DataRevRea)=7,'Rede Básica + Ajuste'!J177,IF(G177&lt;$Q$69,(SUMIFS($E$18:$E$60,$B$18:$B$60,$D$166,$D$18:$D$60,"Ponta")),(SUMIFS($F$18:$F$60,$B$18:$B$60,$D$166,$D$18:$D$60,"Ponta"))))</f>
        <v>0</v>
      </c>
      <c r="M177" s="1382">
        <f>IF(MONTH(DataRevRea)=7,'Rede Básica + Ajuste'!K177,IF(G177&lt;$Q$69,(SUMIFS($E$18:$E$60,$B$18:$B$60,$D$166,$D$18:$D$60,"Fora Ponta")),(SUMIFS($F$18:$F$60,$B$18:$B$60,$D$166,$D$18:$D$60,"Fora Ponta"))))</f>
        <v>0</v>
      </c>
      <c r="N177" s="1383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70" t="s">
        <v>1248</v>
      </c>
      <c r="K179" s="1771"/>
      <c r="L179" s="1772" t="s">
        <v>1249</v>
      </c>
      <c r="M179" s="1772"/>
      <c r="N179" s="283"/>
    </row>
    <row r="180" spans="3:14" ht="15.75">
      <c r="C180" s="1773" t="s">
        <v>1259</v>
      </c>
      <c r="D180" s="1774"/>
      <c r="F180" s="275"/>
      <c r="G180" s="1370" t="s">
        <v>715</v>
      </c>
      <c r="H180" s="1371" t="s">
        <v>1250</v>
      </c>
      <c r="I180" s="1371" t="s">
        <v>1251</v>
      </c>
      <c r="J180" s="1372" t="s">
        <v>1252</v>
      </c>
      <c r="K180" s="1372" t="s">
        <v>1253</v>
      </c>
      <c r="L180" s="1372" t="s">
        <v>1252</v>
      </c>
      <c r="M180" s="1372" t="s">
        <v>1253</v>
      </c>
      <c r="N180" s="282" t="s">
        <v>1254</v>
      </c>
    </row>
    <row r="181" spans="3:14" ht="15.75">
      <c r="C181" s="1367" t="s">
        <v>1255</v>
      </c>
      <c r="D181" s="1384">
        <f>IF(D21="Ponta",B21,0)</f>
        <v>0</v>
      </c>
      <c r="E181" s="18"/>
      <c r="F181" s="275"/>
      <c r="G181" s="1374">
        <f>G166</f>
        <v>44378</v>
      </c>
      <c r="H181" s="277">
        <f>H166</f>
        <v>0</v>
      </c>
      <c r="I181" s="277">
        <f>I166</f>
        <v>0</v>
      </c>
      <c r="J181" s="1375">
        <f>SUMIFS($G$18:$G$60,$B$18:$B$60,$D$181,$D$18:$D$60,"Ponta")</f>
        <v>0</v>
      </c>
      <c r="K181" s="1375">
        <f>SUMIFS($G$18:$G$60,$B$18:$B$60,$D$181,$D$18:$D$60,"Fora Ponta")</f>
        <v>0</v>
      </c>
      <c r="L181" s="1375">
        <f>IF(MONTH(DataRevRea)=7,'Rede Básica + Ajuste'!J181,IF(G181&lt;$Q$69,(SUMIFS($G$18:$G$60,$B$18:$B$60,$D$181,$D$18:$D$60,"Ponta")),(SUMIFS($H$18:$H$60,$B$18:$B$60,$D$181,$D$18:$D$60,"Ponta"))))</f>
        <v>0</v>
      </c>
      <c r="M181" s="1375">
        <f>IF(MONTH(DataRevRea)=7,'Rede Básica + Ajuste'!K181,IF(G181&lt;$Q$69,(SUMIFS($G$18:$G$60,$B$18:$B$60,$D$181,$D$18:$D$60,"Fora Ponta")),(SUMIFS($H$18:$H$60,$B$18:$B$60,$D$181,$D$18:$D$60,"Fora Ponta"))))</f>
        <v>0</v>
      </c>
      <c r="N181" s="1376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77" t="s">
        <v>1256</v>
      </c>
      <c r="E183" s="1378" t="s">
        <v>1257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79" t="str">
        <f>C169</f>
        <v>Cobertura 2021</v>
      </c>
      <c r="D184" s="1380">
        <f>SUMPRODUCT(H181:H192,J181:J192)</f>
        <v>0</v>
      </c>
      <c r="E184" s="1380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79" t="s">
        <v>1258</v>
      </c>
      <c r="D185" s="1380">
        <f>SUMPRODUCT(H181:H192,L181:L192)</f>
        <v>0</v>
      </c>
      <c r="E185" s="1380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81">
        <f t="shared" si="37"/>
        <v>44713</v>
      </c>
      <c r="H192" s="1382">
        <f t="shared" si="37"/>
        <v>0</v>
      </c>
      <c r="I192" s="1382">
        <f t="shared" si="37"/>
        <v>0</v>
      </c>
      <c r="J192" s="1382">
        <f t="shared" si="38"/>
        <v>0</v>
      </c>
      <c r="K192" s="1382">
        <f t="shared" si="39"/>
        <v>0</v>
      </c>
      <c r="L192" s="1382">
        <f>IF(MONTH(DataRevRea)=7,'Rede Básica + Ajuste'!J192,IF(G192&lt;$Q$69,(SUMIFS($G$18:$G$60,$B$18:$B$60,$D$181,$D$18:$D$60,"Ponta")),(SUMIFS($H$18:$H$60,$B$18:$B$60,$D$181,$D$18:$D$60,"Ponta"))))</f>
        <v>0</v>
      </c>
      <c r="M192" s="1382">
        <f>IF(MONTH(DataRevRea)=7,'Rede Básica + Ajuste'!K192,IF(G192&lt;$Q$69,(SUMIFS($G$18:$G$60,$B$18:$B$60,$D$181,$D$18:$D$60,"Fora Ponta")),(SUMIFS($H$18:$H$60,$B$18:$B$60,$D$181,$D$18:$D$60,"Fora Ponta"))))</f>
        <v>0</v>
      </c>
      <c r="N192" s="1383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70" t="s">
        <v>1248</v>
      </c>
      <c r="K194" s="1771"/>
      <c r="L194" s="1772" t="s">
        <v>1249</v>
      </c>
      <c r="M194" s="1772"/>
      <c r="N194" s="283"/>
    </row>
    <row r="195" spans="3:14" ht="15.75">
      <c r="C195" s="1773" t="s">
        <v>1231</v>
      </c>
      <c r="D195" s="1774"/>
      <c r="F195" s="275"/>
      <c r="G195" s="1370" t="s">
        <v>715</v>
      </c>
      <c r="H195" s="1371" t="s">
        <v>1250</v>
      </c>
      <c r="I195" s="1371" t="s">
        <v>1251</v>
      </c>
      <c r="J195" s="1372" t="s">
        <v>1252</v>
      </c>
      <c r="K195" s="1372" t="s">
        <v>1253</v>
      </c>
      <c r="L195" s="1372" t="s">
        <v>1252</v>
      </c>
      <c r="M195" s="1372" t="s">
        <v>1253</v>
      </c>
      <c r="N195" s="282" t="s">
        <v>1254</v>
      </c>
    </row>
    <row r="196" spans="3:14" ht="15.75">
      <c r="C196" s="1367" t="s">
        <v>1255</v>
      </c>
      <c r="D196" s="1384">
        <f>IF(D22="Ponta",B22,0)</f>
        <v>0</v>
      </c>
      <c r="E196" s="18"/>
      <c r="F196" s="275"/>
      <c r="G196" s="1374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75">
        <f>SUMIFS($E$18:$E$60,$B$18:$B$60,$D$196,$D$18:$D$60,"Ponta")</f>
        <v>0</v>
      </c>
      <c r="K196" s="1375">
        <f>SUMIFS($E$18:$E$60,$B$18:$B$60,$D$196,$D$18:$D$60,"Fora Ponta")</f>
        <v>0</v>
      </c>
      <c r="L196" s="1375">
        <f>IF(MONTH(DataRevRea)=7,'Rede Básica + Ajuste'!J196,IF(G196&lt;$Q$69,(SUMIFS($E$18:$E$60,$B$18:$B$60,$D$196,$D$18:$D$60,"Ponta")),(SUMIFS($F$18:$F$60,$B$18:$B$60,$D$196,$D$18:$D$60,"Ponta"))))</f>
        <v>0</v>
      </c>
      <c r="M196" s="1375">
        <f>IF(MONTH(DataRevRea)=7,'Rede Básica + Ajuste'!K196,IF(G196&lt;$Q$69,(SUMIFS($E$18:$E$60,$B$18:$B$60,$D$196,$D$18:$D$60,"Fora Ponta")),(SUMIFS($F$18:$F$60,$B$18:$B$60,$D$196,$D$18:$D$60,"Fora Ponta"))))</f>
        <v>0</v>
      </c>
      <c r="N196" s="1376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77" t="s">
        <v>1256</v>
      </c>
      <c r="E198" s="1378" t="s">
        <v>1257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79" t="str">
        <f>C184</f>
        <v>Cobertura 2021</v>
      </c>
      <c r="D199" s="1380">
        <f>SUMPRODUCT(H196:H207,J196:J207)</f>
        <v>0</v>
      </c>
      <c r="E199" s="1380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79" t="s">
        <v>1258</v>
      </c>
      <c r="D200" s="1380">
        <f>SUMPRODUCT(H196:H207,L196:L207)</f>
        <v>0</v>
      </c>
      <c r="E200" s="1380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81">
        <f t="shared" si="41"/>
        <v>44713</v>
      </c>
      <c r="H207" s="1382">
        <f>SUMIFS($Y$18:$Y$60,$B$18:$B$60,$D$196,$D$18:$D$60,"Ponta")</f>
        <v>0</v>
      </c>
      <c r="I207" s="1382">
        <f>SUMIFS($Y$18:$Y$60,$B$18:$B$60,$D$196,$D$18:$D$60,"Fora Ponta")</f>
        <v>0</v>
      </c>
      <c r="J207" s="1382">
        <f t="shared" si="42"/>
        <v>0</v>
      </c>
      <c r="K207" s="1382">
        <f t="shared" si="43"/>
        <v>0</v>
      </c>
      <c r="L207" s="1382">
        <f>IF(MONTH(DataRevRea)=7,'Rede Básica + Ajuste'!J207,IF(G207&lt;$Q$69,(SUMIFS($E$18:$E$60,$B$18:$B$60,$D$196,$D$18:$D$60,"Ponta")),(SUMIFS($F$18:$F$60,$B$18:$B$60,$D$196,$D$18:$D$60,"Ponta"))))</f>
        <v>0</v>
      </c>
      <c r="M207" s="1382">
        <f>IF(MONTH(DataRevRea)=7,'Rede Básica + Ajuste'!K207,IF(G207&lt;$Q$69,(SUMIFS($E$18:$E$60,$B$18:$B$60,$D$196,$D$18:$D$60,"Fora Ponta")),(SUMIFS($F$18:$F$60,$B$18:$B$60,$D$196,$D$18:$D$60,"Fora Ponta"))))</f>
        <v>0</v>
      </c>
      <c r="N207" s="1383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70" t="s">
        <v>1248</v>
      </c>
      <c r="K209" s="1771"/>
      <c r="L209" s="1772" t="s">
        <v>1249</v>
      </c>
      <c r="M209" s="1772"/>
      <c r="N209" s="283"/>
    </row>
    <row r="210" spans="3:14" ht="15.75">
      <c r="C210" s="1773" t="s">
        <v>1259</v>
      </c>
      <c r="D210" s="1774"/>
      <c r="F210" s="275"/>
      <c r="G210" s="1370" t="s">
        <v>715</v>
      </c>
      <c r="H210" s="1371" t="s">
        <v>1250</v>
      </c>
      <c r="I210" s="1371" t="s">
        <v>1251</v>
      </c>
      <c r="J210" s="1372" t="s">
        <v>1252</v>
      </c>
      <c r="K210" s="1372" t="s">
        <v>1253</v>
      </c>
      <c r="L210" s="1372" t="s">
        <v>1252</v>
      </c>
      <c r="M210" s="1372" t="s">
        <v>1253</v>
      </c>
      <c r="N210" s="282" t="s">
        <v>1254</v>
      </c>
    </row>
    <row r="211" spans="3:14" ht="15.75">
      <c r="C211" s="1367" t="s">
        <v>1255</v>
      </c>
      <c r="D211" s="1384">
        <f>IF(D22="Ponta",B22,0)</f>
        <v>0</v>
      </c>
      <c r="E211" s="18"/>
      <c r="F211" s="275"/>
      <c r="G211" s="1374">
        <f>G196</f>
        <v>44378</v>
      </c>
      <c r="H211" s="277">
        <f>H196</f>
        <v>0</v>
      </c>
      <c r="I211" s="277">
        <f>I196</f>
        <v>0</v>
      </c>
      <c r="J211" s="1375">
        <f>SUMIFS($G$18:$G$60,$B$18:$B$60,$D$211,$D$18:$D$60,"Ponta")</f>
        <v>0</v>
      </c>
      <c r="K211" s="1375">
        <f>SUMIFS($G$18:$G$60,$B$18:$B$60,$D$211,$D$18:$D$60,"Fora Ponta")</f>
        <v>0</v>
      </c>
      <c r="L211" s="1375">
        <f>IF(MONTH(DataRevRea)=7,'Rede Básica + Ajuste'!J211,IF(G211&lt;$Q$69,(SUMIFS($G$18:$G$60,$B$18:$B$60,$D$211,$D$18:$D$60,"Ponta")),(SUMIFS($H$18:$H$60,$B$18:$B$60,$D$211,$D$18:$D$60,"Ponta"))))</f>
        <v>0</v>
      </c>
      <c r="M211" s="1375">
        <f>IF(MONTH(DataRevRea)=7,'Rede Básica + Ajuste'!K211,IF(G211&lt;$Q$69,(SUMIFS($G$18:$G$60,$B$18:$B$60,$D$211,$D$18:$D$60,"Fora Ponta")),(SUMIFS($H$18:$H$60,$B$18:$B$60,$D$211,$D$18:$D$60,"Fora Ponta"))))</f>
        <v>0</v>
      </c>
      <c r="N211" s="1376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77" t="s">
        <v>1256</v>
      </c>
      <c r="E213" s="1378" t="s">
        <v>1257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79" t="str">
        <f>C199</f>
        <v>Cobertura 2021</v>
      </c>
      <c r="D214" s="1380">
        <f>SUMPRODUCT(H211:H222,J211:J222)</f>
        <v>0</v>
      </c>
      <c r="E214" s="1380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79" t="s">
        <v>1258</v>
      </c>
      <c r="D215" s="1380">
        <f>SUMPRODUCT(H211:H222,L211:L222)</f>
        <v>0</v>
      </c>
      <c r="E215" s="1380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81">
        <f t="shared" si="45"/>
        <v>44713</v>
      </c>
      <c r="H222" s="1382">
        <f t="shared" si="45"/>
        <v>0</v>
      </c>
      <c r="I222" s="1382">
        <f t="shared" si="45"/>
        <v>0</v>
      </c>
      <c r="J222" s="1382">
        <f t="shared" si="46"/>
        <v>0</v>
      </c>
      <c r="K222" s="1382">
        <f t="shared" si="47"/>
        <v>0</v>
      </c>
      <c r="L222" s="1382">
        <f>IF(MONTH(DataRevRea)=7,'Rede Básica + Ajuste'!J222,IF(G222&lt;$Q$69,(SUMIFS($G$18:$G$60,$B$18:$B$60,$D$211,$D$18:$D$60,"Ponta")),(SUMIFS($H$18:$H$60,$B$18:$B$60,$D$211,$D$18:$D$60,"Ponta"))))</f>
        <v>0</v>
      </c>
      <c r="M222" s="1382">
        <f>IF(MONTH(DataRevRea)=7,'Rede Básica + Ajuste'!K222,IF(G222&lt;$Q$69,(SUMIFS($G$18:$G$60,$B$18:$B$60,$D$211,$D$18:$D$60,"Fora Ponta")),(SUMIFS($H$18:$H$60,$B$18:$B$60,$D$211,$D$18:$D$60,"Fora Ponta"))))</f>
        <v>0</v>
      </c>
      <c r="N222" s="1383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39" t="s">
        <v>707</v>
      </c>
      <c r="C1" s="1136"/>
      <c r="D1" s="1040"/>
      <c r="E1" s="1351"/>
      <c r="F1" s="1351"/>
      <c r="G1" s="1249" t="s">
        <v>948</v>
      </c>
      <c r="H1" s="1250">
        <f ca="1">LnkTXTIRTEco</f>
        <v>6.4299999999999996E-2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1260</v>
      </c>
      <c r="AL1" s="185">
        <v>7947</v>
      </c>
      <c r="AM1" s="184" t="s">
        <v>1261</v>
      </c>
    </row>
    <row r="2" spans="2:39" ht="15" thickBot="1">
      <c r="B2" s="138" t="str">
        <f>CAPA!C9</f>
        <v>Celetro</v>
      </c>
      <c r="C2" s="70"/>
      <c r="D2" s="70"/>
      <c r="G2" s="121" t="s">
        <v>952</v>
      </c>
      <c r="H2" s="122">
        <f ca="1">LnkTXTIRTTotal</f>
        <v>-0.2445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1262</v>
      </c>
      <c r="AL2" s="187">
        <v>7959</v>
      </c>
      <c r="AM2" s="188" t="s">
        <v>1263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1264</v>
      </c>
      <c r="AL4" s="171">
        <v>7972</v>
      </c>
      <c r="AM4" s="172" t="s">
        <v>1265</v>
      </c>
    </row>
    <row r="5" spans="2:39" ht="29.25" thickBot="1">
      <c r="B5" s="1355" t="s">
        <v>1266</v>
      </c>
      <c r="C5" s="1355" t="s">
        <v>1267</v>
      </c>
      <c r="D5" s="1355" t="s">
        <v>1268</v>
      </c>
      <c r="E5" s="1355" t="s">
        <v>1269</v>
      </c>
      <c r="F5" s="1355" t="s">
        <v>1270</v>
      </c>
      <c r="G5" s="1355" t="s">
        <v>1271</v>
      </c>
      <c r="J5" s="158" t="s">
        <v>1272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1273</v>
      </c>
      <c r="AL5" s="171">
        <v>7973</v>
      </c>
      <c r="AM5" s="172" t="s">
        <v>1274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846</v>
      </c>
      <c r="K6" s="169">
        <v>3</v>
      </c>
      <c r="AK6" s="170" t="s">
        <v>1275</v>
      </c>
      <c r="AL6" s="171">
        <v>7974</v>
      </c>
      <c r="AM6" s="172" t="s">
        <v>1276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1277</v>
      </c>
      <c r="AL7" s="171">
        <v>7977</v>
      </c>
      <c r="AM7" s="172" t="s">
        <v>1278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1279</v>
      </c>
      <c r="AL8" s="171">
        <v>7978</v>
      </c>
      <c r="AM8" s="172" t="s">
        <v>1280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1281</v>
      </c>
      <c r="AL9" s="171">
        <v>7979</v>
      </c>
      <c r="AM9" s="172" t="s">
        <v>1282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1283</v>
      </c>
      <c r="AL10" s="171">
        <v>8047</v>
      </c>
      <c r="AM10" s="172" t="s">
        <v>1284</v>
      </c>
    </row>
    <row r="11" spans="2:39" ht="15" thickBot="1">
      <c r="B11" s="1385" t="s">
        <v>834</v>
      </c>
      <c r="C11" s="1386">
        <f>SUM(C6:C10)</f>
        <v>0</v>
      </c>
      <c r="D11" s="1386">
        <f>SUM(D6:D10)</f>
        <v>0</v>
      </c>
      <c r="E11" s="1387">
        <f>SUM(E6:E10)</f>
        <v>0</v>
      </c>
      <c r="F11" s="1388"/>
      <c r="G11" s="1389">
        <f>SUM(G6:G10)</f>
        <v>0</v>
      </c>
      <c r="AK11" s="170" t="s">
        <v>1285</v>
      </c>
      <c r="AL11" s="171">
        <v>8049</v>
      </c>
      <c r="AM11" s="172" t="s">
        <v>1286</v>
      </c>
    </row>
    <row r="12" spans="2:39" ht="15" thickBot="1">
      <c r="B12" s="166"/>
      <c r="C12" s="165"/>
      <c r="D12" s="1390" t="s">
        <v>1287</v>
      </c>
      <c r="E12" s="1390"/>
      <c r="F12" s="1391">
        <f>IF(MONTH(CAPA!C15)&gt;6,DATE(YEAR(CAPA!C15),6,1),DATE(YEAR(CAPA!C15)-1,6,1))</f>
        <v>44713</v>
      </c>
      <c r="G12" s="189"/>
      <c r="AK12" s="170" t="s">
        <v>1288</v>
      </c>
      <c r="AL12" s="171">
        <v>8050</v>
      </c>
      <c r="AM12" s="172" t="s">
        <v>1289</v>
      </c>
    </row>
    <row r="13" spans="2:39" ht="15" thickBot="1">
      <c r="B13" s="182"/>
      <c r="C13" s="182"/>
      <c r="D13" s="182"/>
      <c r="F13" s="183" t="s">
        <v>1290</v>
      </c>
      <c r="AK13" s="170"/>
      <c r="AL13" s="171"/>
      <c r="AM13" s="172"/>
    </row>
    <row r="14" spans="2:39" ht="15" thickBot="1">
      <c r="B14" s="182"/>
      <c r="C14" s="182"/>
      <c r="AK14" s="170" t="s">
        <v>1291</v>
      </c>
      <c r="AL14" s="171">
        <v>8051</v>
      </c>
      <c r="AM14" s="172" t="s">
        <v>1292</v>
      </c>
    </row>
    <row r="15" spans="2:39" ht="29.25" thickBot="1">
      <c r="B15" s="1355" t="s">
        <v>1266</v>
      </c>
      <c r="C15" s="1355" t="s">
        <v>1267</v>
      </c>
      <c r="D15" s="1355" t="s">
        <v>1293</v>
      </c>
      <c r="E15" s="1355" t="s">
        <v>1294</v>
      </c>
      <c r="F15" s="151"/>
      <c r="AK15" s="170" t="s">
        <v>1295</v>
      </c>
      <c r="AL15" s="171">
        <v>8057</v>
      </c>
      <c r="AM15" s="172" t="s">
        <v>1296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1297</v>
      </c>
      <c r="AL16" s="171">
        <v>8058</v>
      </c>
      <c r="AM16" s="172" t="s">
        <v>1298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1299</v>
      </c>
      <c r="AL17" s="171">
        <v>8220</v>
      </c>
      <c r="AM17" s="172" t="s">
        <v>1300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1301</v>
      </c>
      <c r="AL18" s="171">
        <v>8221</v>
      </c>
      <c r="AM18" s="172" t="s">
        <v>1302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1303</v>
      </c>
      <c r="AL19" s="171">
        <v>8231</v>
      </c>
      <c r="AM19" s="172" t="s">
        <v>1304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1305</v>
      </c>
      <c r="AL20" s="171">
        <v>8261</v>
      </c>
      <c r="AM20" s="172" t="s">
        <v>1306</v>
      </c>
    </row>
    <row r="21" spans="2:39">
      <c r="B21" s="1385" t="s">
        <v>834</v>
      </c>
      <c r="C21" s="1392">
        <f>SUM(C16:C20)</f>
        <v>0</v>
      </c>
      <c r="D21" s="1392">
        <f>SUM(D16:D20)</f>
        <v>0</v>
      </c>
      <c r="E21" s="1392">
        <f>SUM(E16:E20)</f>
        <v>0</v>
      </c>
      <c r="F21" s="151"/>
      <c r="AK21" s="173" t="s">
        <v>1307</v>
      </c>
      <c r="AL21" s="174">
        <v>8263</v>
      </c>
      <c r="AM21" s="175" t="s">
        <v>1308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L5" sqref="L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39" t="s">
        <v>1027</v>
      </c>
      <c r="C1" s="1136"/>
      <c r="D1" s="1393"/>
      <c r="E1" s="1394"/>
      <c r="F1" s="1394"/>
      <c r="G1" s="1249" t="s">
        <v>948</v>
      </c>
      <c r="H1" s="1353">
        <f ca="1">LnkTXTIRTEco</f>
        <v>6.4299999999999996E-2</v>
      </c>
    </row>
    <row r="2" spans="1:16" ht="46.5" customHeight="1">
      <c r="B2" s="138" t="str">
        <f>CAPA!C9</f>
        <v>Celetro</v>
      </c>
      <c r="C2" s="70"/>
      <c r="D2" s="70"/>
      <c r="G2" s="121" t="s">
        <v>952</v>
      </c>
      <c r="H2" s="148">
        <f ca="1">LnkTXTIRTTotal</f>
        <v>-0.2445</v>
      </c>
      <c r="I2" s="91" t="s">
        <v>1309</v>
      </c>
    </row>
    <row r="3" spans="1:16">
      <c r="B3" s="1395" t="s">
        <v>1310</v>
      </c>
      <c r="C3" s="1396">
        <f>SUMPRODUCT(J6:J44,H6:H44)</f>
        <v>14682368.972575199</v>
      </c>
      <c r="D3" s="73"/>
      <c r="E3" s="1395" t="s">
        <v>1201</v>
      </c>
      <c r="F3" s="68" t="s">
        <v>1311</v>
      </c>
      <c r="G3" s="1397">
        <f>LnkTXTDescTusdAnte</f>
        <v>0</v>
      </c>
      <c r="H3" s="91"/>
      <c r="I3" s="1398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1312</v>
      </c>
      <c r="B5" s="1399" t="s">
        <v>27</v>
      </c>
      <c r="C5" s="1399" t="s">
        <v>21</v>
      </c>
      <c r="D5" s="1399" t="s">
        <v>22</v>
      </c>
      <c r="E5" s="1399" t="s">
        <v>78</v>
      </c>
      <c r="F5" s="1399" t="s">
        <v>891</v>
      </c>
      <c r="G5" s="1399" t="s">
        <v>1313</v>
      </c>
      <c r="H5" s="1399" t="s">
        <v>60</v>
      </c>
      <c r="I5" s="1399" t="s">
        <v>1202</v>
      </c>
      <c r="J5" s="1399" t="s">
        <v>1203</v>
      </c>
      <c r="L5" s="68"/>
      <c r="M5" s="69"/>
    </row>
    <row r="6" spans="1:16">
      <c r="A6" s="68" t="s">
        <v>2310</v>
      </c>
      <c r="B6" s="149" t="s">
        <v>2311</v>
      </c>
      <c r="C6" s="149" t="s">
        <v>2173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268925.11</v>
      </c>
      <c r="H6" s="149">
        <f>IF(B6="","",IF(LEFT(D6,7)="Demanda",G6,G6/1000))</f>
        <v>268925.11</v>
      </c>
      <c r="I6" s="149">
        <f>IF(ISERROR(VLOOKUP(CONCATENATE(A6,A41,E6,F6),BD!$H$6:$V$30,14,FALSE)),"",VLOOKUP(CONCATENATE(A6,A41,E6,F6),BD!$H$6:$V$30,14,FALSE))</f>
        <v>19.98</v>
      </c>
      <c r="J6" s="149">
        <f t="shared" ref="J6:J13" si="0">IF(ISERROR(I6*(1-$G$3)),"",I6*(1-$G$3))</f>
        <v>19.98</v>
      </c>
      <c r="L6" s="68"/>
      <c r="M6" s="69"/>
      <c r="N6" s="69"/>
    </row>
    <row r="7" spans="1:16">
      <c r="A7" s="68" t="s">
        <v>2310</v>
      </c>
      <c r="B7" s="149" t="s">
        <v>2311</v>
      </c>
      <c r="C7" s="149" t="s">
        <v>2173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262317.65999999997</v>
      </c>
      <c r="H7" s="149">
        <f t="shared" ref="H7:H30" si="3">IF(B7="","",IF(LEFT(D7,7)="Demanda",G7,G7/1000))</f>
        <v>262317.65999999997</v>
      </c>
      <c r="I7" s="149">
        <f>IF(ISERROR(VLOOKUP(CONCATENATE(A7,A42,E7,F7),BD!$H$6:$V$30,14,FALSE)),"",VLOOKUP(CONCATENATE(A7,A42,E7,F7),BD!$H$6:$V$30,14,FALSE))</f>
        <v>26.9</v>
      </c>
      <c r="J7" s="149">
        <f t="shared" si="0"/>
        <v>26.9</v>
      </c>
    </row>
    <row r="8" spans="1:16">
      <c r="A8" s="68" t="s">
        <v>2317</v>
      </c>
      <c r="B8" s="149" t="s">
        <v>2318</v>
      </c>
      <c r="C8" s="149" t="s">
        <v>2173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16454</v>
      </c>
      <c r="H8" s="149">
        <f t="shared" si="3"/>
        <v>16454</v>
      </c>
      <c r="I8" s="1709">
        <v>23.82</v>
      </c>
      <c r="J8" s="149">
        <f t="shared" si="0"/>
        <v>23.82</v>
      </c>
      <c r="L8" s="68"/>
      <c r="M8" s="69"/>
    </row>
    <row r="9" spans="1:16">
      <c r="A9" s="68" t="s">
        <v>2317</v>
      </c>
      <c r="B9" s="149" t="s">
        <v>2318</v>
      </c>
      <c r="C9" s="149" t="s">
        <v>2173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16540</v>
      </c>
      <c r="H9" s="149">
        <f t="shared" si="3"/>
        <v>16540</v>
      </c>
      <c r="I9" s="1709">
        <v>42.22</v>
      </c>
      <c r="J9" s="149">
        <f t="shared" si="0"/>
        <v>42.22</v>
      </c>
      <c r="L9" s="68"/>
      <c r="M9" s="69"/>
    </row>
    <row r="10" spans="1:16">
      <c r="A10" s="68" t="s">
        <v>2310</v>
      </c>
      <c r="B10" s="149" t="s">
        <v>2311</v>
      </c>
      <c r="C10" s="149" t="s">
        <v>2173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85287441.779999986</v>
      </c>
      <c r="H10" s="149">
        <f t="shared" si="3"/>
        <v>85287.441779999979</v>
      </c>
      <c r="I10" s="149">
        <f>IF(ISERROR(VLOOKUP(CONCATENATE(A10,A45,E10,F10),BD!$H$6:$V$30,14,FALSE)),"",VLOOKUP(CONCATENATE(A10,A45,E10,F10),BD!$H$6:$V$30,14,FALSE))</f>
        <v>11.36</v>
      </c>
      <c r="J10" s="149">
        <f t="shared" si="0"/>
        <v>11.36</v>
      </c>
      <c r="L10" s="68"/>
      <c r="M10" s="69"/>
    </row>
    <row r="11" spans="1:16">
      <c r="A11" s="68" t="s">
        <v>2310</v>
      </c>
      <c r="B11" s="149" t="s">
        <v>2311</v>
      </c>
      <c r="C11" s="149" t="s">
        <v>2173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11694798.790000003</v>
      </c>
      <c r="H11" s="149">
        <f t="shared" si="3"/>
        <v>11694.798790000003</v>
      </c>
      <c r="I11" s="149">
        <f>IF(ISERROR(VLOOKUP(CONCATENATE(A11,A46,E11,F11),BD!$H$6:$V$30,14,FALSE)),"",VLOOKUP(CONCATENATE(A11,A46,E11,F11),BD!$H$6:$V$30,14,FALSE))</f>
        <v>11.36</v>
      </c>
      <c r="J11" s="149">
        <f t="shared" ref="J11" si="4">IF(ISERROR(I11*(1-$G$3)),"",I11*(1-$G$3))</f>
        <v>11.36</v>
      </c>
      <c r="L11" s="752"/>
      <c r="M11" s="243"/>
      <c r="N11" s="244"/>
      <c r="O11" s="244"/>
      <c r="P11" s="244"/>
    </row>
    <row r="12" spans="1:16">
      <c r="A12" s="68" t="s">
        <v>2317</v>
      </c>
      <c r="B12" s="149" t="s">
        <v>2318</v>
      </c>
      <c r="C12" s="149" t="s">
        <v>2173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4807991</v>
      </c>
      <c r="H12" s="149">
        <f t="shared" si="3"/>
        <v>4807.991</v>
      </c>
      <c r="I12" s="1709">
        <v>11.1</v>
      </c>
      <c r="J12" s="149">
        <f t="shared" si="0"/>
        <v>11.1</v>
      </c>
      <c r="N12" s="244"/>
      <c r="O12" s="244"/>
      <c r="P12" s="244"/>
    </row>
    <row r="13" spans="1:16">
      <c r="A13" s="68" t="s">
        <v>2317</v>
      </c>
      <c r="B13" s="149" t="s">
        <v>2318</v>
      </c>
      <c r="C13" s="149" t="s">
        <v>2173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681098</v>
      </c>
      <c r="H13" s="149">
        <f t="shared" si="3"/>
        <v>681.09799999999996</v>
      </c>
      <c r="I13" s="1709">
        <v>11.1</v>
      </c>
      <c r="J13" s="149">
        <f t="shared" si="0"/>
        <v>11.1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1314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1315</v>
      </c>
      <c r="C36" s="292" t="s">
        <v>1316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968</v>
      </c>
      <c r="C37" s="292" t="s">
        <v>1316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1317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1317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7" zoomScale="115" zoomScaleNormal="115" workbookViewId="0">
      <selection activeCell="I22" sqref="I2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39" t="s">
        <v>817</v>
      </c>
      <c r="C1" s="1350"/>
      <c r="D1" s="1350"/>
      <c r="E1" s="1350"/>
      <c r="F1" s="1040"/>
      <c r="G1" s="1040"/>
      <c r="H1" s="1249" t="s">
        <v>948</v>
      </c>
      <c r="I1" s="1250">
        <f ca="1">LnkTXTIRTEco</f>
        <v>6.4299999999999996E-2</v>
      </c>
      <c r="J1" s="195"/>
      <c r="K1" s="196"/>
    </row>
    <row r="2" spans="1:15" s="197" customFormat="1" ht="27" customHeight="1">
      <c r="B2" s="138" t="str">
        <f>CAPA!C9</f>
        <v>Celetro</v>
      </c>
      <c r="C2" s="70"/>
      <c r="D2" s="70"/>
      <c r="E2" s="70"/>
      <c r="F2" s="70"/>
      <c r="G2" s="70"/>
      <c r="H2" s="121" t="s">
        <v>952</v>
      </c>
      <c r="I2" s="122">
        <f ca="1">LnkTXTIRTTotal</f>
        <v>-0.2445</v>
      </c>
    </row>
    <row r="3" spans="1:15">
      <c r="B3" s="1043" t="s">
        <v>1318</v>
      </c>
      <c r="C3" s="824"/>
      <c r="E3" s="824" t="str">
        <f>"Encargos "&amp;YEAR(CAPA!C14)</f>
        <v>Encargos 2021</v>
      </c>
      <c r="F3" s="824"/>
      <c r="H3" s="824"/>
      <c r="I3" s="824"/>
      <c r="J3" s="824"/>
      <c r="K3" s="824"/>
      <c r="L3" s="824"/>
      <c r="M3" s="824"/>
      <c r="N3" s="824"/>
      <c r="O3" s="824"/>
    </row>
    <row r="4" spans="1:15">
      <c r="E4" s="1355" t="s">
        <v>72</v>
      </c>
      <c r="F4" s="1355" t="s">
        <v>1319</v>
      </c>
      <c r="H4" s="72"/>
      <c r="I4" s="72"/>
    </row>
    <row r="5" spans="1:15">
      <c r="B5" s="1355" t="s">
        <v>72</v>
      </c>
      <c r="C5" s="1355" t="s">
        <v>37</v>
      </c>
      <c r="E5" s="68" t="s">
        <v>40</v>
      </c>
      <c r="F5" s="116">
        <f>CAPA!D42</f>
        <v>197673.645121712</v>
      </c>
      <c r="H5" s="1776" t="s">
        <v>1320</v>
      </c>
      <c r="I5" s="1776"/>
      <c r="K5" s="1776" t="s">
        <v>1321</v>
      </c>
      <c r="L5" s="1776"/>
      <c r="N5" s="1776" t="s">
        <v>1322</v>
      </c>
      <c r="O5" s="1776"/>
    </row>
    <row r="6" spans="1:15">
      <c r="B6" s="68" t="s">
        <v>40</v>
      </c>
      <c r="C6" s="80">
        <f ca="1">L14</f>
        <v>224382.49700997537</v>
      </c>
      <c r="E6" s="68" t="s">
        <v>41</v>
      </c>
      <c r="F6" s="116">
        <f>CAPA!D43</f>
        <v>5059594.8226600001</v>
      </c>
      <c r="H6" s="201" t="s">
        <v>1323</v>
      </c>
      <c r="I6" s="202">
        <f ca="1">FornecimentoE+LivreE-Calc_Mercado!C16</f>
        <v>91675.838000000018</v>
      </c>
      <c r="K6" s="518" t="s">
        <v>819</v>
      </c>
      <c r="L6" s="422">
        <f ca="1">LnkTXTER</f>
        <v>101943.65023000003</v>
      </c>
      <c r="N6" s="203" t="s">
        <v>1324</v>
      </c>
      <c r="O6" s="403">
        <v>1E-14</v>
      </c>
    </row>
    <row r="7" spans="1:15" ht="13.5" customHeight="1">
      <c r="B7" s="68" t="s">
        <v>41</v>
      </c>
      <c r="C7" s="80">
        <f ca="1">I22</f>
        <v>7967235.2594800005</v>
      </c>
      <c r="D7" s="198"/>
      <c r="E7" s="68" t="s">
        <v>126</v>
      </c>
      <c r="F7" s="116">
        <f>CAPA!D44</f>
        <v>0</v>
      </c>
      <c r="H7" s="1400" t="s">
        <v>1325</v>
      </c>
      <c r="I7" s="1401">
        <v>14.13</v>
      </c>
      <c r="K7" s="518" t="s">
        <v>1163</v>
      </c>
      <c r="L7" s="422">
        <f ca="1">Energia!L7</f>
        <v>296.577</v>
      </c>
      <c r="N7" s="203" t="s">
        <v>1326</v>
      </c>
      <c r="O7" s="204">
        <f ca="1">SUM(C12+C6+C9+C10+C8)</f>
        <v>1519762.0879499756</v>
      </c>
    </row>
    <row r="8" spans="1:15">
      <c r="B8" s="68" t="s">
        <v>126</v>
      </c>
      <c r="C8" s="80">
        <v>0</v>
      </c>
      <c r="D8" s="198"/>
      <c r="E8" s="68" t="s">
        <v>842</v>
      </c>
      <c r="F8" s="116">
        <f>CAPA!D45</f>
        <v>0</v>
      </c>
      <c r="K8" s="518" t="s">
        <v>1166</v>
      </c>
      <c r="L8" s="422">
        <f ca="1">LnkTXTPerdas</f>
        <v>9888.5022300000128</v>
      </c>
      <c r="N8" s="203" t="s">
        <v>791</v>
      </c>
      <c r="O8" s="269">
        <f>Resultado!D24</f>
        <v>14682368.972575199</v>
      </c>
    </row>
    <row r="9" spans="1:15">
      <c r="B9" s="68" t="s">
        <v>1327</v>
      </c>
      <c r="C9" s="851">
        <f>IFERROR(VLOOKUP("ESS/EER",TabEncargosBancoConsolidados[],2,FALSE),0)</f>
        <v>0</v>
      </c>
      <c r="D9" s="69"/>
      <c r="E9" s="68" t="s">
        <v>47</v>
      </c>
      <c r="F9" s="116">
        <f>CAPA!D46</f>
        <v>800079.28643999901</v>
      </c>
      <c r="H9" s="1776" t="s">
        <v>1328</v>
      </c>
      <c r="I9" s="1776"/>
      <c r="K9" s="518" t="s">
        <v>1329</v>
      </c>
      <c r="L9" s="422">
        <f ca="1">SUM(L6:L7,-L8)</f>
        <v>92351.72500000002</v>
      </c>
      <c r="N9" s="203" t="s">
        <v>120</v>
      </c>
      <c r="O9" s="268">
        <f ca="1">Resultado!D33</f>
        <v>23401021.987261694</v>
      </c>
    </row>
    <row r="10" spans="1:15">
      <c r="B10" s="68" t="s">
        <v>47</v>
      </c>
      <c r="C10" s="80">
        <f ca="1">IFERROR(Encargos!I7*I6,0)</f>
        <v>1295379.5909400003</v>
      </c>
      <c r="D10" s="198"/>
      <c r="E10" s="68" t="s">
        <v>49</v>
      </c>
      <c r="F10" s="116">
        <f>CAPA!D48</f>
        <v>0</v>
      </c>
      <c r="H10" s="1402" t="s">
        <v>1330</v>
      </c>
      <c r="I10" s="1403">
        <f ca="1">FornecimentoE_A1+Calc_Mercado!C10+Calc_Mercado!C11+Calc_Mercado!C114+Calc_Mercado!C115</f>
        <v>0</v>
      </c>
      <c r="K10" s="518" t="s">
        <v>1331</v>
      </c>
      <c r="L10" s="422">
        <f ca="1">SUM(L6:L7)</f>
        <v>102240.22723000003</v>
      </c>
      <c r="N10" s="203" t="s">
        <v>1332</v>
      </c>
      <c r="O10" s="204">
        <f>Resultado!D39</f>
        <v>47785171.07</v>
      </c>
    </row>
    <row r="11" spans="1:15">
      <c r="B11" s="68" t="s">
        <v>1333</v>
      </c>
      <c r="C11" s="80">
        <v>1E-4</v>
      </c>
      <c r="D11" s="198"/>
      <c r="E11" s="824" t="s">
        <v>2171</v>
      </c>
      <c r="F11" s="1271">
        <f>CAPA!D47</f>
        <v>0</v>
      </c>
      <c r="H11" s="201" t="s">
        <v>1334</v>
      </c>
      <c r="I11" s="141">
        <f ca="1">Calc_Mercado!C12+Calc_Mercado!C13+Calc_Mercado!C14+Calc_Mercado!C116+Calc_Mercado!C117</f>
        <v>15675.357999999998</v>
      </c>
      <c r="K11" s="518" t="s">
        <v>1335</v>
      </c>
      <c r="L11" s="422">
        <f>BD!C32</f>
        <v>0.76946233409201359</v>
      </c>
      <c r="N11" s="203" t="s">
        <v>1336</v>
      </c>
      <c r="O11" s="205">
        <f ca="1">IF(O6=0,0,O6*(SUM(O7:O10)-Q7))</f>
        <v>8.7388324117786865E-7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4" t="str">
        <f>"Encargos "&amp;YEAR(CAPA!C14)-1</f>
        <v>Encargos 2020</v>
      </c>
      <c r="F12" s="824"/>
      <c r="H12" s="201" t="s">
        <v>1337</v>
      </c>
      <c r="I12" s="141">
        <f ca="1">FornecimentoE_BT-Calc_Mercado!C16+Calc_Mercado!C119+Calc_Mercado!C118</f>
        <v>76000.48000000001</v>
      </c>
      <c r="K12" s="518" t="s">
        <v>1338</v>
      </c>
      <c r="L12" s="45">
        <v>4.0000000000000001E-3</v>
      </c>
      <c r="N12" s="203" t="s">
        <v>1339</v>
      </c>
      <c r="O12" s="205">
        <f ca="1">Financeiros!D7</f>
        <v>-27668810.953557543</v>
      </c>
    </row>
    <row r="13" spans="1:15">
      <c r="B13" s="1404" t="s">
        <v>843</v>
      </c>
      <c r="C13" s="1405">
        <f ca="1">SUM(C6:C12)</f>
        <v>9486997.3475299757</v>
      </c>
      <c r="D13" s="198"/>
      <c r="E13" s="1355" t="s">
        <v>72</v>
      </c>
      <c r="F13" s="1355" t="s">
        <v>1319</v>
      </c>
      <c r="H13" s="1406" t="s">
        <v>1340</v>
      </c>
      <c r="I13" s="1407">
        <v>23.38</v>
      </c>
      <c r="K13" s="1408" t="s">
        <v>1341</v>
      </c>
      <c r="L13" s="1409">
        <f ca="1">LnkTXTIParcelaBcomSub+Energia!F18</f>
        <v>47785171.07</v>
      </c>
      <c r="N13" s="1410" t="s">
        <v>1342</v>
      </c>
      <c r="O13" s="1411">
        <f ca="1">O12*O6+O11</f>
        <v>5.9719513164229322E-7</v>
      </c>
    </row>
    <row r="14" spans="1:15">
      <c r="E14" s="68" t="s">
        <v>40</v>
      </c>
      <c r="F14" s="1412">
        <f>BD!C37</f>
        <v>202563.05259930747</v>
      </c>
      <c r="H14" s="262" t="s">
        <v>1343</v>
      </c>
      <c r="I14" s="858">
        <v>31.67</v>
      </c>
      <c r="K14" s="1413" t="s">
        <v>40</v>
      </c>
      <c r="L14" s="1414">
        <f ca="1">L12*1/L11*L9/L10*L13</f>
        <v>224382.49700997537</v>
      </c>
    </row>
    <row r="15" spans="1:15">
      <c r="E15" s="68" t="s">
        <v>41</v>
      </c>
      <c r="F15" s="80">
        <f>BD!C35</f>
        <v>5240482.3725000005</v>
      </c>
      <c r="H15" s="1415" t="s">
        <v>1344</v>
      </c>
      <c r="I15" s="1416">
        <v>37.700000000000003</v>
      </c>
    </row>
    <row r="16" spans="1:15">
      <c r="E16" s="68" t="s">
        <v>126</v>
      </c>
      <c r="F16" s="80">
        <v>0</v>
      </c>
      <c r="H16" s="1305" t="s">
        <v>1345</v>
      </c>
      <c r="I16" s="1407">
        <v>55.4</v>
      </c>
      <c r="K16" s="1776" t="s">
        <v>842</v>
      </c>
      <c r="L16" s="1776"/>
    </row>
    <row r="17" spans="2:14">
      <c r="E17" s="68" t="s">
        <v>842</v>
      </c>
      <c r="F17" s="80">
        <v>0</v>
      </c>
      <c r="H17" s="68" t="s">
        <v>1346</v>
      </c>
      <c r="I17" s="858">
        <v>75.06</v>
      </c>
      <c r="K17" s="1402" t="s">
        <v>2193</v>
      </c>
      <c r="L17" s="1403">
        <f>IFERROR(VLOOKUP("EER",TabEncargosBancoConsolidados[],2,FALSE),0)</f>
        <v>0</v>
      </c>
    </row>
    <row r="18" spans="2:14">
      <c r="C18" s="108"/>
      <c r="D18" s="108"/>
      <c r="E18" s="68" t="s">
        <v>47</v>
      </c>
      <c r="F18" s="80">
        <f>BD!C36</f>
        <v>691491.24266000011</v>
      </c>
      <c r="G18" s="108"/>
      <c r="H18" s="824" t="s">
        <v>1347</v>
      </c>
      <c r="I18" s="1416">
        <v>89.35</v>
      </c>
      <c r="K18" s="201" t="s">
        <v>2196</v>
      </c>
      <c r="L18" s="141">
        <f>F8-L17</f>
        <v>0</v>
      </c>
    </row>
    <row r="19" spans="2:14">
      <c r="C19" s="108"/>
      <c r="D19" s="108"/>
      <c r="E19" s="824" t="s">
        <v>49</v>
      </c>
      <c r="F19" s="1417">
        <v>0</v>
      </c>
      <c r="G19" s="108"/>
      <c r="H19" s="68" t="s">
        <v>1348</v>
      </c>
      <c r="I19" s="69">
        <f ca="1">IF(CAPA!C10="S/SE/CO",Encargos!I10*Encargos!I16+Encargos!I11*Encargos!I17+Encargos!I12*Encargos!I18,Encargos!I10*Encargos!I13+Encargos!I11*Encargos!I14+Encargos!I12*Encargos!I15)</f>
        <v>7967235.2594800005</v>
      </c>
      <c r="K19" s="1355" t="s">
        <v>843</v>
      </c>
      <c r="L19" s="1647">
        <f>SUM(L17:L18)</f>
        <v>0</v>
      </c>
    </row>
    <row r="20" spans="2:14">
      <c r="C20" s="108"/>
      <c r="D20" s="108"/>
      <c r="F20" s="80"/>
      <c r="G20" s="108"/>
      <c r="H20" s="1418" t="s">
        <v>1349</v>
      </c>
      <c r="I20" s="1419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2194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55" t="s">
        <v>2197</v>
      </c>
      <c r="I22" s="1647">
        <f ca="1">I19+I20+I21</f>
        <v>7967235.2594800005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43" t="s">
        <v>1350</v>
      </c>
      <c r="C27" s="824"/>
      <c r="D27" s="824"/>
      <c r="E27" s="824"/>
      <c r="F27" s="824"/>
      <c r="G27" s="824"/>
      <c r="J27" s="824"/>
      <c r="K27" s="824"/>
      <c r="L27" s="824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1351</v>
      </c>
      <c r="E29" s="198"/>
      <c r="F29" s="198"/>
      <c r="G29" s="198"/>
      <c r="L29" s="193"/>
      <c r="M29" s="194"/>
    </row>
    <row r="30" spans="2:14" ht="16.5" customHeight="1">
      <c r="C30" s="1355" t="s">
        <v>2225</v>
      </c>
      <c r="D30" s="1355" t="s">
        <v>46</v>
      </c>
      <c r="E30" s="1355" t="s">
        <v>40</v>
      </c>
      <c r="F30" s="1355" t="s">
        <v>41</v>
      </c>
      <c r="G30" s="1355" t="s">
        <v>47</v>
      </c>
      <c r="H30" s="1654" t="s">
        <v>2226</v>
      </c>
      <c r="I30" s="1654" t="s">
        <v>2255</v>
      </c>
      <c r="J30" s="1355" t="s">
        <v>1352</v>
      </c>
      <c r="L30" s="1775" t="s">
        <v>1353</v>
      </c>
      <c r="M30" s="1775"/>
      <c r="N30" s="273"/>
    </row>
    <row r="31" spans="2:14">
      <c r="B31" s="272">
        <f>Indexador!B68</f>
        <v>44378</v>
      </c>
      <c r="C31" s="1262">
        <f ca="1">IFERROR(IF(CAPA!$C$113="Não",C47-C62,IF(Indexador!$B68&lt;CAPA!$C$114,0,C47-C62)),0)</f>
        <v>0</v>
      </c>
      <c r="D31" s="1262">
        <f ca="1">IF(CAPA!$C$113="Não",D47-D62,IF(Indexador!$B68&lt;CAPA!$C$114,0,D47-D62))</f>
        <v>0</v>
      </c>
      <c r="E31" s="1262">
        <f ca="1">IF(CAPA!$C$113="Não",E47-E62,IF(Indexador!$B68&lt;CAPA!$C$114,0,E47-E62))</f>
        <v>4343.568638899249</v>
      </c>
      <c r="F31" s="1262">
        <f ca="1">IF(CAPA!$C$113="Não",F47-F62,IF(Indexador!$B68&lt;CAPA!$C$114,0,F47-F62))</f>
        <v>109062.16358771716</v>
      </c>
      <c r="G31" s="1262">
        <f ca="1">IF(CAPA!$C$113="Não",G47-G62,IF(Indexador!$B68&lt;CAPA!$C$114,0,G47-G62))</f>
        <v>17630.816519295317</v>
      </c>
      <c r="H31" s="1262">
        <f ca="1">IF(CAPA!$C$113="Não",H47-H62,IF(Indexador!$B68&lt;CAPA!$C$114,0,H47-H62))</f>
        <v>0</v>
      </c>
      <c r="I31" s="1262">
        <f ca="1">IF(CAPA!$C$113="Não",I47-I62,IF(Indexador!$B68&lt;CAPA!$C$114,0,I47-I62))</f>
        <v>0</v>
      </c>
      <c r="J31" s="1262">
        <f ca="1">IF(CAPA!$C$113="Não",J47-J62,IF(Indexador!$B68&lt;CAPA!$C$114,0,J47-J62))</f>
        <v>131036.54874591174</v>
      </c>
      <c r="L31" s="68" t="s">
        <v>40</v>
      </c>
      <c r="M31" s="116">
        <f ca="1">Indexador!H80</f>
        <v>-14709.601146487978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3466.6661385420175</v>
      </c>
      <c r="F32" s="116">
        <f ca="1">IF(CAPA!$C$113="Não",F48-F63,IF(Indexador!$B69&lt;CAPA!$C$114,0,F48-F63))</f>
        <v>88665.616344221693</v>
      </c>
      <c r="G32" s="116">
        <f ca="1">IF(CAPA!$C$113="Não",G48-G63,IF(Indexador!$B69&lt;CAPA!$C$114,0,G48-G63))</f>
        <v>14148.289083359967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106280.57156612369</v>
      </c>
      <c r="L32" s="68" t="s">
        <v>1354</v>
      </c>
      <c r="M32" s="116">
        <f ca="1">Indexador!J80+Indexador!L80</f>
        <v>-352322.36415854463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3671.914370962877</v>
      </c>
      <c r="F33" s="116">
        <f ca="1">IF(CAPA!$C$113="Não",F49-F64,IF(Indexador!$B70&lt;CAPA!$C$114,0,F49-F64))</f>
        <v>93095.166447055701</v>
      </c>
      <c r="G33" s="116">
        <f ca="1">IF(CAPA!$C$113="Não",G49-G64,IF(Indexador!$B70&lt;CAPA!$C$114,0,G49-G64))</f>
        <v>14978.43548134133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111745.51629935991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3372.0643459241237</v>
      </c>
      <c r="F34" s="116">
        <f ca="1">IF(CAPA!$C$113="Não",F50-F65,IF(Indexador!$B71&lt;CAPA!$C$114,0,F50-F65))</f>
        <v>85772.528341428435</v>
      </c>
      <c r="G34" s="116">
        <f ca="1">IF(CAPA!$C$113="Não",G50-G65,IF(Indexador!$B71&lt;CAPA!$C$114,0,G50-G65))</f>
        <v>13770.762763052029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102915.35545040458</v>
      </c>
      <c r="L34" s="68" t="s">
        <v>46</v>
      </c>
      <c r="M34" s="116">
        <f ca="1">Indexador!F80</f>
        <v>0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-1995.0779246905804</v>
      </c>
      <c r="F35" s="116">
        <f ca="1">IF(CAPA!$C$113="Não",F51-F66,IF(Indexador!$B72&lt;CAPA!$C$114,0,F51-F66))</f>
        <v>-47875.085258218634</v>
      </c>
      <c r="G35" s="116">
        <f ca="1">IF(CAPA!$C$113="Não",G51-G66,IF(Indexador!$B72&lt;CAPA!$C$114,0,G51-G66))</f>
        <v>-7875.9193026351131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-57746.082485544321</v>
      </c>
      <c r="L35" s="68" t="s">
        <v>47</v>
      </c>
      <c r="M35" s="116">
        <f ca="1">Indexador!N80</f>
        <v>-55891.756176992785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-5379.303904151835</v>
      </c>
      <c r="F36" s="116">
        <f ca="1">IF(CAPA!$C$113="Não",F52-F67,IF(Indexador!$B73&lt;CAPA!$C$114,0,F52-F67))</f>
        <v>-135593.3163892724</v>
      </c>
      <c r="G36" s="116">
        <f ca="1">IF(CAPA!$C$113="Não",G52-G67,IF(Indexador!$B73&lt;CAPA!$C$114,0,G52-G67))</f>
        <v>-21622.545247512186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-162595.16554093646</v>
      </c>
      <c r="L36" s="68" t="s">
        <v>2225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-10300.060736676609</v>
      </c>
      <c r="F37" s="116">
        <f ca="1">IF(CAPA!$C$113="Não",F53-F68,IF(Indexador!$B74&lt;CAPA!$C$114,0,F53-F68))</f>
        <v>-263490.36222706927</v>
      </c>
      <c r="G37" s="116">
        <f ca="1">IF(CAPA!$C$113="Não",G53-G68,IF(Indexador!$B74&lt;CAPA!$C$114,0,G53-G68))</f>
        <v>-41572.62794306477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-315363.05090681073</v>
      </c>
      <c r="L37" s="824" t="s">
        <v>48</v>
      </c>
      <c r="M37" s="1302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-8164.267310907413</v>
      </c>
      <c r="F38" s="116">
        <f ca="1">IF(CAPA!$C$113="Não",F54-F69,IF(Indexador!$B75&lt;CAPA!$C$114,0,F54-F69))</f>
        <v>-208883.06847863173</v>
      </c>
      <c r="G38" s="116">
        <f ca="1">IF(CAPA!$C$113="Não",G54-G69,IF(Indexador!$B75&lt;CAPA!$C$114,0,G54-G69))</f>
        <v>-32879.48062703028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-249926.81641656946</v>
      </c>
      <c r="L38" s="71" t="s">
        <v>834</v>
      </c>
      <c r="M38" s="274">
        <f ca="1">SUM(M31:M36)</f>
        <v>-422923.7214820254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-4962.8839951803166</v>
      </c>
      <c r="F39" s="116">
        <f ca="1">IF(CAPA!$C$113="Não",F55-F70,IF(Indexador!$B76&lt;CAPA!$C$114,0,F55-F70))</f>
        <v>-128101.69545974984</v>
      </c>
      <c r="G39" s="116">
        <f ca="1">IF(CAPA!$C$113="Não",G55-G70,IF(Indexador!$B76&lt;CAPA!$C$114,0,G55-G70))</f>
        <v>-19941.631223805409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-153006.21067873557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-789.38071115697312</v>
      </c>
      <c r="F40" s="116">
        <f ca="1">IF(CAPA!$C$113="Não",F56-F71,IF(Indexador!$B77&lt;CAPA!$C$114,0,F56-F71))</f>
        <v>-11432.05647514289</v>
      </c>
      <c r="G40" s="116">
        <f ca="1">IF(CAPA!$C$113="Não",G56-G71,IF(Indexador!$B77&lt;CAPA!$C$114,0,G56-G71))</f>
        <v>-2382.6381118431309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-14604.075298143027</v>
      </c>
      <c r="L40" s="1775" t="s">
        <v>2254</v>
      </c>
      <c r="M40" s="1775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300.94954548065107</v>
      </c>
      <c r="F41" s="116">
        <f ca="1">IF(CAPA!$C$113="Não",F57-F72,IF(Indexador!$B78&lt;CAPA!$C$114,0,F57-F72))</f>
        <v>15420.592128011631</v>
      </c>
      <c r="G41" s="116">
        <f ca="1">IF(CAPA!$C$113="Não",G57-G72,IF(Indexador!$B78&lt;CAPA!$C$114,0,G57-G72))</f>
        <v>1985.7851271425534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17707.326800634852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71">
        <f ca="1">IFERROR(IF(CAPA!$C$113="Não",C58-C73,IF(Indexador!$B79&lt;CAPA!$C$114,0,C58-C73)),0)</f>
        <v>0</v>
      </c>
      <c r="D42" s="1271">
        <f ca="1">IF(CAPA!$C$113="Não",D58-D73,IF(Indexador!$B79&lt;CAPA!$C$114,0,D58-D73))</f>
        <v>0</v>
      </c>
      <c r="E42" s="1271">
        <f ca="1">IF(CAPA!$C$113="Não",E58-E73,IF(Indexador!$B79&lt;CAPA!$C$114,0,E58-E73))</f>
        <v>1824.5375821830403</v>
      </c>
      <c r="F42" s="1271">
        <f ca="1">IF(CAPA!$C$113="Não",F58-F73,IF(Indexador!$B79&lt;CAPA!$C$114,0,F58-F73))</f>
        <v>53286.192793837341</v>
      </c>
      <c r="G42" s="1271">
        <f ca="1">IF(CAPA!$C$113="Não",G58-G73,IF(Indexador!$B79&lt;CAPA!$C$114,0,G58-G73))</f>
        <v>8150.3758161335936</v>
      </c>
      <c r="H42" s="1271">
        <f ca="1">IF(CAPA!$C$113="Não",H58-H73,IF(Indexador!$B79&lt;CAPA!$C$114,0,H58-H73))</f>
        <v>0</v>
      </c>
      <c r="I42" s="1271">
        <f ca="1">IF(CAPA!$C$113="Não",I58-I73,IF(Indexador!$B79&lt;CAPA!$C$114,0,I58-I73))</f>
        <v>0</v>
      </c>
      <c r="J42" s="1271">
        <f ca="1">IF(CAPA!$C$113="Não",J58-J73,IF(Indexador!$B79&lt;CAPA!$C$114,0,J58-J73))</f>
        <v>63261.106192153937</v>
      </c>
      <c r="L42" s="824" t="str">
        <f>I30</f>
        <v>Crédito Pis Cofins</v>
      </c>
      <c r="M42" s="1302">
        <f ca="1">Indexador!R80</f>
        <v>0</v>
      </c>
      <c r="N42" s="80"/>
    </row>
    <row r="43" spans="2:14">
      <c r="L43" s="71" t="s">
        <v>843</v>
      </c>
      <c r="M43" s="274">
        <f ca="1">SUM(M41:M42)</f>
        <v>0</v>
      </c>
    </row>
    <row r="44" spans="2:14">
      <c r="K44" s="142"/>
    </row>
    <row r="45" spans="2:14">
      <c r="C45" s="198" t="s">
        <v>1319</v>
      </c>
      <c r="D45" s="198"/>
      <c r="E45" s="198"/>
      <c r="F45" s="198"/>
      <c r="K45" s="142"/>
    </row>
    <row r="46" spans="2:14" ht="28.5">
      <c r="C46" s="1355" t="s">
        <v>2225</v>
      </c>
      <c r="D46" s="1355" t="s">
        <v>46</v>
      </c>
      <c r="E46" s="1355" t="s">
        <v>40</v>
      </c>
      <c r="F46" s="1355" t="s">
        <v>41</v>
      </c>
      <c r="G46" s="1355" t="s">
        <v>47</v>
      </c>
      <c r="H46" s="1654" t="s">
        <v>2226</v>
      </c>
      <c r="I46" s="1654" t="s">
        <v>2251</v>
      </c>
      <c r="J46" s="1355" t="s">
        <v>1355</v>
      </c>
      <c r="K46" s="142"/>
    </row>
    <row r="47" spans="2:14">
      <c r="B47" s="272">
        <f>Indexador!B37</f>
        <v>44378</v>
      </c>
      <c r="C47" s="1613">
        <f>$F$11/12</f>
        <v>0</v>
      </c>
      <c r="D47" s="1420">
        <f>$F$8/12</f>
        <v>0</v>
      </c>
      <c r="E47" s="1262">
        <f t="shared" ref="E47:E58" si="0">$F$5/12</f>
        <v>16472.803760142666</v>
      </c>
      <c r="F47" s="116">
        <f t="shared" ref="F47:F58" si="1">$F$6/12</f>
        <v>421632.90188833332</v>
      </c>
      <c r="G47" s="116">
        <f t="shared" ref="G47:G58" si="2">$F$9/12</f>
        <v>66673.273869999917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421">
        <f>SUM(C47:G47)</f>
        <v>504778.97951847588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0</v>
      </c>
      <c r="E48" s="116">
        <f t="shared" si="0"/>
        <v>16472.803760142666</v>
      </c>
      <c r="F48" s="116">
        <f t="shared" si="1"/>
        <v>421632.90188833332</v>
      </c>
      <c r="G48" s="116">
        <f t="shared" si="2"/>
        <v>66673.273869999917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504778.97951847588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0</v>
      </c>
      <c r="E49" s="116">
        <f t="shared" si="0"/>
        <v>16472.803760142666</v>
      </c>
      <c r="F49" s="116">
        <f t="shared" si="1"/>
        <v>421632.90188833332</v>
      </c>
      <c r="G49" s="116">
        <f t="shared" si="2"/>
        <v>66673.273869999917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504778.97951847588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0</v>
      </c>
      <c r="E50" s="116">
        <f t="shared" si="0"/>
        <v>16472.803760142666</v>
      </c>
      <c r="F50" s="116">
        <f t="shared" si="1"/>
        <v>421632.90188833332</v>
      </c>
      <c r="G50" s="116">
        <f t="shared" si="2"/>
        <v>66673.273869999917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504778.97951847588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0</v>
      </c>
      <c r="E51" s="116">
        <f t="shared" si="0"/>
        <v>16472.803760142666</v>
      </c>
      <c r="F51" s="116">
        <f t="shared" si="1"/>
        <v>421632.90188833332</v>
      </c>
      <c r="G51" s="116">
        <f t="shared" si="2"/>
        <v>66673.273869999917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504778.97951847588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0</v>
      </c>
      <c r="E52" s="116">
        <f t="shared" si="0"/>
        <v>16472.803760142666</v>
      </c>
      <c r="F52" s="116">
        <f t="shared" si="1"/>
        <v>421632.90188833332</v>
      </c>
      <c r="G52" s="116">
        <f t="shared" si="2"/>
        <v>66673.273869999917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504778.97951847588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0</v>
      </c>
      <c r="E53" s="116">
        <f t="shared" si="0"/>
        <v>16472.803760142666</v>
      </c>
      <c r="F53" s="116">
        <f t="shared" si="1"/>
        <v>421632.90188833332</v>
      </c>
      <c r="G53" s="116">
        <f t="shared" si="2"/>
        <v>66673.273869999917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504778.97951847588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0</v>
      </c>
      <c r="E54" s="116">
        <f t="shared" si="0"/>
        <v>16472.803760142666</v>
      </c>
      <c r="F54" s="116">
        <f t="shared" si="1"/>
        <v>421632.90188833332</v>
      </c>
      <c r="G54" s="116">
        <f t="shared" si="2"/>
        <v>66673.273869999917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504778.97951847588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0</v>
      </c>
      <c r="E55" s="116">
        <f t="shared" si="0"/>
        <v>16472.803760142666</v>
      </c>
      <c r="F55" s="116">
        <f t="shared" si="1"/>
        <v>421632.90188833332</v>
      </c>
      <c r="G55" s="116">
        <f t="shared" si="2"/>
        <v>66673.273869999917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504778.97951847588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0</v>
      </c>
      <c r="E56" s="116">
        <f t="shared" si="0"/>
        <v>16472.803760142666</v>
      </c>
      <c r="F56" s="116">
        <f t="shared" si="1"/>
        <v>421632.90188833332</v>
      </c>
      <c r="G56" s="116">
        <f t="shared" si="2"/>
        <v>66673.273869999917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504778.97951847588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0</v>
      </c>
      <c r="E57" s="116">
        <f t="shared" si="0"/>
        <v>16472.803760142666</v>
      </c>
      <c r="F57" s="116">
        <f t="shared" si="1"/>
        <v>421632.90188833332</v>
      </c>
      <c r="G57" s="116">
        <f t="shared" si="2"/>
        <v>66673.273869999917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504778.97951847588</v>
      </c>
    </row>
    <row r="58" spans="2:12">
      <c r="B58" s="272">
        <f>Indexador!B48</f>
        <v>44713</v>
      </c>
      <c r="C58" s="1271">
        <f t="shared" si="3"/>
        <v>0</v>
      </c>
      <c r="D58" s="1422">
        <f t="shared" si="4"/>
        <v>0</v>
      </c>
      <c r="E58" s="1271">
        <f t="shared" si="0"/>
        <v>16472.803760142666</v>
      </c>
      <c r="F58" s="1271">
        <f t="shared" si="1"/>
        <v>421632.90188833332</v>
      </c>
      <c r="G58" s="1271">
        <f t="shared" si="2"/>
        <v>66673.273869999917</v>
      </c>
      <c r="H58" s="1271">
        <f>IFERROR((VLOOKUP("Parcela B",TabFinanCovid[],4,FALSE)/12),0)</f>
        <v>0</v>
      </c>
      <c r="I58" s="1271">
        <f>IFERROR(VLOOKUP("Créditos de Pis/Cofins",TabFinanNeutralidade[[#All],[Detalhe_Grupo_TARIFA]:[valor]],2,FALSE)/12,0)</f>
        <v>0</v>
      </c>
      <c r="J58" s="1423">
        <f t="shared" si="5"/>
        <v>504778.97951847588</v>
      </c>
    </row>
    <row r="60" spans="2:12">
      <c r="C60" s="68" t="s">
        <v>1356</v>
      </c>
      <c r="L60" s="198">
        <v>42491</v>
      </c>
    </row>
    <row r="61" spans="2:12" ht="28.5">
      <c r="C61" s="1614" t="s">
        <v>2225</v>
      </c>
      <c r="D61" s="1355" t="s">
        <v>46</v>
      </c>
      <c r="E61" s="1355" t="s">
        <v>40</v>
      </c>
      <c r="F61" s="1355" t="s">
        <v>41</v>
      </c>
      <c r="G61" s="1355" t="s">
        <v>47</v>
      </c>
      <c r="H61" s="1654" t="s">
        <v>2226</v>
      </c>
      <c r="I61" s="1654" t="s">
        <v>2249</v>
      </c>
      <c r="J61" s="1355" t="s">
        <v>1355</v>
      </c>
      <c r="L61" s="1355" t="s">
        <v>48</v>
      </c>
    </row>
    <row r="62" spans="2:12">
      <c r="B62" s="272">
        <f t="shared" ref="B62:B73" si="6">B47</f>
        <v>44378</v>
      </c>
      <c r="C62" s="1424">
        <f ca="1">Calc_Mercado!S63</f>
        <v>0</v>
      </c>
      <c r="D62" s="1424">
        <f ca="1">Calc_Mercado!F63</f>
        <v>0</v>
      </c>
      <c r="E62" s="1262">
        <f ca="1">Calc_Mercado!I63</f>
        <v>12129.235121243417</v>
      </c>
      <c r="F62" s="1412">
        <f ca="1">Calc_Mercado!H63</f>
        <v>312570.73830061615</v>
      </c>
      <c r="G62" s="1412">
        <f ca="1">Calc_Mercado!G63</f>
        <v>49042.457350704601</v>
      </c>
      <c r="H62" s="1655">
        <f ca="1">IFERROR((VLOOKUP("Parcela B",TabFinanCovid[],4,FALSE)/VLOOKUP("Parcela B",TabFinanNeutralidade[],3,FALSE))*Calc_Mercado!T63,0)</f>
        <v>0</v>
      </c>
      <c r="I62" s="1655">
        <f ca="1">Calc_Mercado!U63</f>
        <v>0</v>
      </c>
      <c r="J62" s="1421">
        <f t="shared" ref="J62:J73" ca="1" si="7">SUM(C62:G62)</f>
        <v>373742.43077256414</v>
      </c>
      <c r="L62" s="1424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0</v>
      </c>
      <c r="E63" s="116">
        <f ca="1">Calc_Mercado!I64</f>
        <v>13006.137621600648</v>
      </c>
      <c r="F63" s="80">
        <f ca="1">Calc_Mercado!H64</f>
        <v>332967.28554411163</v>
      </c>
      <c r="G63" s="80">
        <f ca="1">Calc_Mercado!G64</f>
        <v>52524.98478663995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398498.40795235219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0</v>
      </c>
      <c r="E64" s="116">
        <f ca="1">Calc_Mercado!I65</f>
        <v>12800.889389179789</v>
      </c>
      <c r="F64" s="80">
        <f ca="1">Calc_Mercado!H65</f>
        <v>328537.73544127762</v>
      </c>
      <c r="G64" s="80">
        <f ca="1">Calc_Mercado!G65</f>
        <v>51694.838388658587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393033.46321911598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0</v>
      </c>
      <c r="E65" s="116">
        <f ca="1">Calc_Mercado!I66</f>
        <v>13100.739414218542</v>
      </c>
      <c r="F65" s="80">
        <f ca="1">Calc_Mercado!H66</f>
        <v>335860.37354690488</v>
      </c>
      <c r="G65" s="80">
        <f ca="1">Calc_Mercado!G66</f>
        <v>52902.511106947888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401863.62406807131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0</v>
      </c>
      <c r="E66" s="116">
        <f ca="1">Calc_Mercado!I67</f>
        <v>18467.881684833246</v>
      </c>
      <c r="F66" s="80">
        <f ca="1">Calc_Mercado!H67</f>
        <v>469507.98714655195</v>
      </c>
      <c r="G66" s="80">
        <f ca="1">Calc_Mercado!G67</f>
        <v>74549.19317263503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562525.0620040202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0</v>
      </c>
      <c r="E67" s="116">
        <f ca="1">Calc_Mercado!I68</f>
        <v>21852.107664294501</v>
      </c>
      <c r="F67" s="80">
        <f ca="1">Calc_Mercado!H68</f>
        <v>557226.21827760572</v>
      </c>
      <c r="G67" s="80">
        <f ca="1">Calc_Mercado!G68</f>
        <v>88295.819117512103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667374.14505941235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0</v>
      </c>
      <c r="E68" s="116">
        <f ca="1">Calc_Mercado!I69</f>
        <v>26772.864496819275</v>
      </c>
      <c r="F68" s="80">
        <f ca="1">Calc_Mercado!H69</f>
        <v>685123.26411540259</v>
      </c>
      <c r="G68" s="80">
        <f ca="1">Calc_Mercado!G69</f>
        <v>108245.90181306469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820142.03042528662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0</v>
      </c>
      <c r="E69" s="116">
        <f ca="1">Calc_Mercado!I70</f>
        <v>24637.071071050079</v>
      </c>
      <c r="F69" s="80">
        <f ca="1">Calc_Mercado!H70</f>
        <v>630515.97036696505</v>
      </c>
      <c r="G69" s="80">
        <f ca="1">Calc_Mercado!G70</f>
        <v>99552.754497030197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754705.79593504535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0</v>
      </c>
      <c r="E70" s="116">
        <f ca="1">Calc_Mercado!I71</f>
        <v>21435.687755322982</v>
      </c>
      <c r="F70" s="80">
        <f ca="1">Calc_Mercado!H71</f>
        <v>549734.59734808316</v>
      </c>
      <c r="G70" s="80">
        <f ca="1">Calc_Mercado!G71</f>
        <v>86614.905093805326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657785.19019721146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0</v>
      </c>
      <c r="E71" s="116">
        <f ca="1">Calc_Mercado!I72</f>
        <v>17262.184471299639</v>
      </c>
      <c r="F71" s="80">
        <f ca="1">Calc_Mercado!H72</f>
        <v>433064.95836347621</v>
      </c>
      <c r="G71" s="80">
        <f ca="1">Calc_Mercado!G72</f>
        <v>69055.911981843048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519383.05481661891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0</v>
      </c>
      <c r="E72" s="116">
        <f ca="1">Calc_Mercado!I73</f>
        <v>16171.854214662015</v>
      </c>
      <c r="F72" s="80">
        <f ca="1">Calc_Mercado!H73</f>
        <v>406212.30976032169</v>
      </c>
      <c r="G72" s="80">
        <f ca="1">Calc_Mercado!G73</f>
        <v>64687.488742857364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487071.65271784103</v>
      </c>
      <c r="L72" s="143">
        <f ca="1">IF(B72&lt;$L$60,0,Calc_Mercado!D73)</f>
        <v>0</v>
      </c>
    </row>
    <row r="73" spans="2:12">
      <c r="B73" s="272">
        <f t="shared" si="6"/>
        <v>44713</v>
      </c>
      <c r="C73" s="1425">
        <f ca="1">Calc_Mercado!S74</f>
        <v>0</v>
      </c>
      <c r="D73" s="1425">
        <f ca="1">Calc_Mercado!F74</f>
        <v>0</v>
      </c>
      <c r="E73" s="1271">
        <f ca="1">Calc_Mercado!I74</f>
        <v>14648.266177959626</v>
      </c>
      <c r="F73" s="1417">
        <f ca="1">Calc_Mercado!H74</f>
        <v>368346.70909449598</v>
      </c>
      <c r="G73" s="1417">
        <f ca="1">Calc_Mercado!G74</f>
        <v>58522.898053866324</v>
      </c>
      <c r="H73" s="1417">
        <f ca="1">IFERROR((VLOOKUP("Parcela B",TabFinanCovid[],4,FALSE)/VLOOKUP("Parcela B",TabFinanNeutralidade[],3,FALSE))*Calc_Mercado!T74,0)</f>
        <v>0</v>
      </c>
      <c r="I73" s="1417">
        <f ca="1">Calc_Mercado!U74</f>
        <v>0</v>
      </c>
      <c r="J73" s="1423">
        <f t="shared" ca="1" si="7"/>
        <v>441517.87332632195</v>
      </c>
      <c r="L73" s="1425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13" zoomScale="85" zoomScaleNormal="85" workbookViewId="0">
      <selection activeCell="D40" sqref="D40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100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39" t="s">
        <v>798</v>
      </c>
      <c r="D1" s="1426"/>
      <c r="E1" s="1427"/>
      <c r="F1" s="824"/>
      <c r="G1" s="1249" t="s">
        <v>948</v>
      </c>
      <c r="H1" s="1250">
        <f ca="1">LnkTXTIRTEco</f>
        <v>6.4299999999999996E-2</v>
      </c>
    </row>
    <row r="2" spans="3:19" ht="16.5">
      <c r="C2" s="637" t="str">
        <f>CAPA!B2</f>
        <v>Celetro</v>
      </c>
      <c r="D2" s="639"/>
      <c r="E2" s="998"/>
      <c r="F2" s="640"/>
      <c r="G2" s="641" t="s">
        <v>952</v>
      </c>
      <c r="H2" s="642">
        <f ca="1">LnkTXTIRTTotal</f>
        <v>-0.2445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998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28" t="s">
        <v>1357</v>
      </c>
      <c r="D4" s="1429">
        <f ca="1">LnkTXTRA0</f>
        <v>89594590.976749957</v>
      </c>
      <c r="E4" s="999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30" t="s">
        <v>1358</v>
      </c>
      <c r="D5" s="1431">
        <f ca="1">IF(CAPA!P1="VERDADEIRO",D7,IFERROR(D7/(1+IF(Calc_Mercado!J15&gt;0,Calc_Mercado!J15,0)),0))</f>
        <v>-27668810.953557543</v>
      </c>
      <c r="E5" s="1000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32"/>
      <c r="E6" s="1001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33" t="s">
        <v>1359</v>
      </c>
      <c r="D7" s="1434">
        <f ca="1">SUM(D10:D82)-LnkTxTAjusteCUST-D31</f>
        <v>-27668810.953557543</v>
      </c>
      <c r="E7" s="1435">
        <f ca="1">SUM(E10:E82)-E26-E31</f>
        <v>-0.30882233683881294</v>
      </c>
      <c r="F7" s="646" t="s">
        <v>1360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36" t="s">
        <v>1361</v>
      </c>
      <c r="D8" s="1437" t="s">
        <v>37</v>
      </c>
      <c r="E8" s="1438" t="s">
        <v>1362</v>
      </c>
      <c r="F8" s="1436" t="s">
        <v>1363</v>
      </c>
      <c r="G8" s="1436" t="s">
        <v>1364</v>
      </c>
      <c r="H8" s="1436" t="s">
        <v>1365</v>
      </c>
      <c r="I8" s="1436" t="s">
        <v>1366</v>
      </c>
      <c r="J8" s="1436" t="s">
        <v>1367</v>
      </c>
      <c r="K8" s="1436" t="s">
        <v>1368</v>
      </c>
      <c r="L8" s="1436" t="s">
        <v>800</v>
      </c>
      <c r="M8" s="640"/>
      <c r="N8" s="640"/>
      <c r="O8" s="640"/>
      <c r="P8" s="640"/>
      <c r="Q8" s="640"/>
      <c r="R8" s="640"/>
    </row>
    <row r="9" spans="3:19" ht="16.5">
      <c r="C9" s="647" t="s">
        <v>1369</v>
      </c>
      <c r="D9" s="648">
        <f>ABS(Indexador!D49)</f>
        <v>1964938.6301020386</v>
      </c>
      <c r="E9" s="1002">
        <f t="shared" ref="E9:E75" ca="1" si="0">IF(ISERROR(D9/$D$4),0,D9/$D$4)</f>
        <v>2.1931442609207798E-2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1370</v>
      </c>
      <c r="D10" s="871">
        <f ca="1">IFERROR(ABS(Indexador!D49)*Resultado!C32/(Resultado!C32+Resultado!C33),0)</f>
        <v>657264.6605591157</v>
      </c>
      <c r="E10" s="1003">
        <f ca="1">IF(ISERROR(D10/$D$4),0,D10/$D$4)</f>
        <v>7.3359859495276637E-3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6"/>
      <c r="R10" s="640"/>
    </row>
    <row r="11" spans="3:19" ht="16.5">
      <c r="C11" s="640" t="s">
        <v>1371</v>
      </c>
      <c r="D11" s="871">
        <f ca="1">IFERROR(ABS(Indexador!D49)*(Resultado!C33/(Resultado!C32+Resultado!C33)),0)</f>
        <v>1307673.9695429229</v>
      </c>
      <c r="E11" s="1003">
        <f ca="1">IF(ISERROR(D11/$D$4),0,D11/$D$4)</f>
        <v>1.4595456659680135E-2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1372</v>
      </c>
      <c r="O11" s="649" t="s">
        <v>37</v>
      </c>
      <c r="P11" s="650" t="s">
        <v>1362</v>
      </c>
      <c r="Q11" s="796"/>
      <c r="R11" s="640"/>
    </row>
    <row r="12" spans="3:19" ht="16.5">
      <c r="C12" s="640" t="str">
        <f>"(Neutralidade) "&amp;Encargos!E5</f>
        <v>(Neutralidade) TFSEE</v>
      </c>
      <c r="D12" s="871">
        <f ca="1">Encargos!M31</f>
        <v>-14709.601146487978</v>
      </c>
      <c r="E12" s="1003">
        <f t="shared" ca="1" si="0"/>
        <v>-1.6417956693730719E-4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-14709.601146487978</v>
      </c>
      <c r="P12" s="640">
        <f ca="1">IF(Tabela1[[#This Row],[Percentual]]=0,,Tabela1[[#This Row],[Percentual]])</f>
        <v>-1.6417956693730719E-4</v>
      </c>
      <c r="Q12" s="644"/>
      <c r="R12" s="640"/>
    </row>
    <row r="13" spans="3:19" ht="16.5">
      <c r="C13" s="640" t="str">
        <f>"(Neutralidade) "&amp;Encargos!E6&amp;""</f>
        <v>(Neutralidade) CDE</v>
      </c>
      <c r="D13" s="871">
        <f ca="1">IFERROR(Encargos!M32,0)</f>
        <v>-352322.36415854463</v>
      </c>
      <c r="E13" s="1003">
        <f ca="1">IF(ISERROR(D13/$D$4),0,D13/$D$4)</f>
        <v>-3.9324066365789122E-3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-352322.36415854463</v>
      </c>
      <c r="P13" s="640">
        <f ca="1">IF(Tabela1[[#This Row],[Percentual]]=0,,Tabela1[[#This Row],[Percentual]])</f>
        <v>-3.9324066365789122E-3</v>
      </c>
      <c r="Q13" s="644"/>
      <c r="R13" s="640"/>
    </row>
    <row r="14" spans="3:19" ht="16.5">
      <c r="C14" s="640" t="str">
        <f>"(Neutralidade) "&amp;Encargos!E7</f>
        <v>(Neutralidade) CFURH</v>
      </c>
      <c r="D14" s="871">
        <f>Encargos!M33</f>
        <v>0</v>
      </c>
      <c r="E14" s="1003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>
      <c r="C15" s="640" t="str">
        <f>"(Neutralidade) "&amp;Encargos!E8</f>
        <v>(Neutralidade) ESS/EER</v>
      </c>
      <c r="D15" s="871">
        <f ca="1">Encargos!M34</f>
        <v>0</v>
      </c>
      <c r="E15" s="1003">
        <f t="shared" ca="1" si="0"/>
        <v>0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>
        <f t="shared" ca="1" si="1"/>
        <v>0</v>
      </c>
      <c r="N15" s="640">
        <f ca="1">IF(Tabela1[[#This Row],[Percentual]]=0,,Tabela1[[#This Row],[Nome do Financeiro]])</f>
        <v>0</v>
      </c>
      <c r="O15" s="640">
        <f ca="1">IF(ISNUMBER(Tabela1[[#This Row],[Valor]]),Tabela1[[#This Row],[Valor]],)</f>
        <v>0</v>
      </c>
      <c r="P15" s="640">
        <f ca="1">IF(Tabela1[[#This Row],[Percentual]]=0,,Tabela1[[#This Row],[Percentual]])</f>
        <v>0</v>
      </c>
      <c r="Q15" s="644"/>
      <c r="R15" s="640"/>
    </row>
    <row r="16" spans="3:19" ht="16.5">
      <c r="C16" s="640" t="str">
        <f>"(Neutralidade) "&amp;Encargos!E9</f>
        <v>(Neutralidade) PROINFA</v>
      </c>
      <c r="D16" s="871">
        <f ca="1">Encargos!M35</f>
        <v>-55891.756176992785</v>
      </c>
      <c r="E16" s="1003">
        <f t="shared" ca="1" si="0"/>
        <v>-6.2382958131364035E-4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-55891.756176992785</v>
      </c>
      <c r="P16" s="640">
        <f ca="1">IF(Tabela1[[#This Row],[Percentual]]=0,,Tabela1[[#This Row],[Percentual]])</f>
        <v>-6.2382958131364035E-4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71"/>
      <c r="E17" s="1003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"conta covid-19"</f>
        <v>(Neutralidade) conta covid-19</v>
      </c>
      <c r="D18" s="871">
        <f ca="1">Encargos!M36</f>
        <v>0</v>
      </c>
      <c r="E18" s="1003">
        <f t="shared" ca="1" si="0"/>
        <v>0</v>
      </c>
      <c r="F18" s="640">
        <v>20</v>
      </c>
      <c r="G18" s="640">
        <v>60</v>
      </c>
      <c r="H18" s="640">
        <v>999</v>
      </c>
      <c r="I18" s="640">
        <v>4</v>
      </c>
      <c r="J18" s="640">
        <v>999</v>
      </c>
      <c r="K18" s="640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71">
        <f ca="1">Encargos!M41</f>
        <v>0</v>
      </c>
      <c r="E19" s="1003">
        <f t="shared" ca="1" si="0"/>
        <v>0</v>
      </c>
      <c r="F19" s="640">
        <v>20</v>
      </c>
      <c r="G19" s="640">
        <v>60</v>
      </c>
      <c r="H19" s="640">
        <v>73</v>
      </c>
      <c r="I19" s="640">
        <v>3</v>
      </c>
      <c r="J19" s="640">
        <v>12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71">
        <f ca="1">Encargos!M42</f>
        <v>0</v>
      </c>
      <c r="E20" s="1003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1373</v>
      </c>
      <c r="D21" s="871">
        <f>IFERROR(LnkTxTAjusteCUST*Resultado!D25/(Resultado!D25+Resultado!D26),0)</f>
        <v>0</v>
      </c>
      <c r="E21" s="1003">
        <f ca="1">IF(ISERROR(D21/$D$4),0,D21/$D$4)</f>
        <v>0</v>
      </c>
      <c r="F21" s="640">
        <v>22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3" ht="16.5">
      <c r="C22" s="640" t="s">
        <v>1374</v>
      </c>
      <c r="D22" s="871">
        <f>IFERROR(LnkTxTAjusteCUST*Resultado!D26/(Resultado!D25+Resultado!D26),0)</f>
        <v>0</v>
      </c>
      <c r="E22" s="1003">
        <f ca="1">IF(ISERROR(D22/$D$4),0,D22/$D$4)</f>
        <v>0</v>
      </c>
      <c r="F22" s="640">
        <v>22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640"/>
      <c r="S22" s="143"/>
    </row>
    <row r="23" spans="3:23" ht="16.5">
      <c r="C23" s="640" t="s">
        <v>1375</v>
      </c>
      <c r="D23" s="871">
        <v>0</v>
      </c>
      <c r="E23" s="1003">
        <f t="shared" ca="1" si="0"/>
        <v>0</v>
      </c>
      <c r="F23" s="640">
        <v>22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2208</v>
      </c>
      <c r="D24" s="871"/>
      <c r="E24" s="1003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612" t="s">
        <v>2184</v>
      </c>
      <c r="D25" s="1611"/>
      <c r="E25" s="1003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1376</v>
      </c>
      <c r="D26" s="872">
        <f>Indexador!J49+Indexador!P49</f>
        <v>0</v>
      </c>
      <c r="E26" s="1002">
        <f t="shared" ca="1" si="0"/>
        <v>0</v>
      </c>
      <c r="F26" s="647"/>
      <c r="G26" s="647"/>
      <c r="H26" s="647"/>
      <c r="I26" s="647"/>
      <c r="J26" s="647"/>
      <c r="K26" s="647"/>
      <c r="L26" s="640"/>
      <c r="M26" s="640">
        <f t="shared" si="1"/>
        <v>0</v>
      </c>
      <c r="N26" s="640">
        <f ca="1">IF(Tabela1[[#This Row],[Percentual]]=0,,Tabela1[[#This Row],[Nome do Financeiro]])</f>
        <v>0</v>
      </c>
      <c r="O26" s="640">
        <f>IF(ISNUMBER(Tabela1[[#This Row],[Valor]]),Tabela1[[#This Row],[Valor]],)</f>
        <v>0</v>
      </c>
      <c r="P26" s="640">
        <f ca="1">IF(Tabela1[[#This Row],[Percentual]]=0,,Tabela1[[#This Row],[Percentual]])</f>
        <v>0</v>
      </c>
      <c r="Q26" s="644"/>
      <c r="R26" s="640"/>
      <c r="S26" s="142"/>
      <c r="V26" s="117"/>
    </row>
    <row r="27" spans="3:23" ht="16.5">
      <c r="C27" s="640" t="s">
        <v>1377</v>
      </c>
      <c r="D27" s="871">
        <f>(Indexador!H49)</f>
        <v>-753199.52656899451</v>
      </c>
      <c r="E27" s="1003">
        <f t="shared" ca="1" si="0"/>
        <v>-8.4067522197233072E-3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-753199.52656899451</v>
      </c>
      <c r="P27" s="640">
        <f ca="1">IF(Tabela1[[#This Row],[Percentual]]=0,,Tabela1[[#This Row],[Percentual]])</f>
        <v>-8.4067522197233072E-3</v>
      </c>
      <c r="Q27" s="640"/>
      <c r="R27" s="640"/>
    </row>
    <row r="28" spans="3:23" ht="16.5">
      <c r="C28" s="640" t="s">
        <v>1378</v>
      </c>
      <c r="D28" s="871">
        <f ca="1">-LnkTXTISubvencaoPB</f>
        <v>-29299244.538198307</v>
      </c>
      <c r="E28" s="1003">
        <f ca="1">IF(ISERROR(D28/$D$4),0,D28/$D$4)</f>
        <v>-0.32702023882001474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1379</v>
      </c>
      <c r="D29" s="871">
        <f>IFERROR(-ABS(Indexador!L49),0)</f>
        <v>-748800.9760169402</v>
      </c>
      <c r="E29" s="1003">
        <f t="shared" ca="1" si="0"/>
        <v>-8.3576582900105664E-3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1380</v>
      </c>
      <c r="D30" s="873"/>
      <c r="E30" s="1003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1381</v>
      </c>
      <c r="D31" s="872">
        <f>ICMS!E12</f>
        <v>0</v>
      </c>
      <c r="E31" s="1002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1382</v>
      </c>
      <c r="D32" s="871">
        <f ca="1">ICMS!E13</f>
        <v>0</v>
      </c>
      <c r="E32" s="1003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1383</v>
      </c>
      <c r="D33" s="871">
        <f ca="1">ICMS!E14</f>
        <v>0</v>
      </c>
      <c r="E33" s="1003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1384</v>
      </c>
      <c r="D34" s="889"/>
      <c r="E34" s="1003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7"/>
      <c r="R34" s="640"/>
    </row>
    <row r="35" spans="3:23" ht="16.5">
      <c r="C35" s="640" t="s">
        <v>1385</v>
      </c>
      <c r="D35" s="894">
        <f>-'Conta covid'!J17</f>
        <v>0</v>
      </c>
      <c r="E35" s="1003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1386</v>
      </c>
      <c r="D36" s="871">
        <f>Energia!K66</f>
        <v>0</v>
      </c>
      <c r="E36" s="1003">
        <f t="shared" ca="1" si="2"/>
        <v>0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1387</v>
      </c>
      <c r="D37" s="654"/>
      <c r="E37" s="1003">
        <f t="shared" ca="1" si="2"/>
        <v>0</v>
      </c>
      <c r="F37" s="653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71"/>
    </row>
    <row r="38" spans="3:23" ht="16.5">
      <c r="C38" s="653" t="s">
        <v>1388</v>
      </c>
      <c r="D38" s="654">
        <f>-'Financeiros Mitigação'!D10</f>
        <v>0</v>
      </c>
      <c r="E38" s="1003">
        <f t="shared" ca="1" si="2"/>
        <v>0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71"/>
      <c r="T38" s="292"/>
      <c r="U38" s="142"/>
    </row>
    <row r="39" spans="3:23" ht="16.5">
      <c r="C39" s="653" t="s">
        <v>2322</v>
      </c>
      <c r="D39" s="654">
        <f>Indexador!G17</f>
        <v>475894.97813699069</v>
      </c>
      <c r="E39" s="1003">
        <f t="shared" ca="1" si="2"/>
        <v>5.3116485375828857E-3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2323</v>
      </c>
      <c r="D40" s="654">
        <f>Indexador!H17</f>
        <v>1114524.2004696932</v>
      </c>
      <c r="E40" s="1003">
        <f t="shared" ca="1" si="2"/>
        <v>1.2439637128974843E-2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1389</v>
      </c>
      <c r="D41" s="654">
        <f>'Financeiros Mitigação'!D12</f>
        <v>0</v>
      </c>
      <c r="E41" s="1003">
        <f t="shared" ca="1" si="2"/>
        <v>0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96"/>
      <c r="E42" s="1656">
        <f>IF(ISERROR(D42/#REF!),0,D42/#REF!)</f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/>
      <c r="D43" s="1696"/>
      <c r="E43" s="1656">
        <f>IF(ISERROR(D43/#REF!),0,D43/#REF!)</f>
        <v>0</v>
      </c>
      <c r="F43" s="653"/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96"/>
      <c r="E44" s="1656">
        <f>IF(ISERROR(D44/#REF!),0,D44/#REF!)</f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1003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1003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1003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1005" t="s">
        <v>2268</v>
      </c>
      <c r="D48" s="1005">
        <f>CVE!$E$9</f>
        <v>0</v>
      </c>
      <c r="E48" s="1003">
        <f t="shared" ca="1" si="2"/>
        <v>0</v>
      </c>
      <c r="F48" s="996">
        <v>22</v>
      </c>
      <c r="G48" s="996">
        <v>60</v>
      </c>
      <c r="H48" s="996">
        <v>241</v>
      </c>
      <c r="I48" s="996">
        <v>3</v>
      </c>
      <c r="J48" s="996">
        <v>13</v>
      </c>
      <c r="K48" s="996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1005" t="s">
        <v>2269</v>
      </c>
      <c r="D49" s="1005">
        <f>CVE!$E$10</f>
        <v>0</v>
      </c>
      <c r="E49" s="1003">
        <f t="shared" ca="1" si="2"/>
        <v>0</v>
      </c>
      <c r="F49" s="996">
        <v>22</v>
      </c>
      <c r="G49" s="996">
        <v>60</v>
      </c>
      <c r="H49" s="996">
        <v>241</v>
      </c>
      <c r="I49" s="996">
        <v>3</v>
      </c>
      <c r="J49" s="996">
        <v>15</v>
      </c>
      <c r="K49" s="996">
        <v>9</v>
      </c>
      <c r="L49" s="640"/>
    </row>
    <row r="50" spans="3:12" ht="16.5">
      <c r="C50" s="1005" t="s">
        <v>2270</v>
      </c>
      <c r="D50" s="1005">
        <f>CVE!$E$11</f>
        <v>0</v>
      </c>
      <c r="E50" s="1003">
        <f t="shared" ca="1" si="0"/>
        <v>0</v>
      </c>
      <c r="F50" s="996">
        <v>22</v>
      </c>
      <c r="G50" s="996">
        <v>60</v>
      </c>
      <c r="H50" s="996">
        <v>241</v>
      </c>
      <c r="I50" s="996">
        <v>3</v>
      </c>
      <c r="J50" s="996">
        <v>25</v>
      </c>
      <c r="K50" s="996">
        <v>9</v>
      </c>
      <c r="L50" s="640"/>
    </row>
    <row r="51" spans="3:12" ht="16.5">
      <c r="C51" s="1005" t="s">
        <v>2271</v>
      </c>
      <c r="D51" s="1005">
        <f>IFERROR(CVE!$E$12*Resultado!D25/SUM(Resultado!$D$25:$D$29),0)</f>
        <v>0</v>
      </c>
      <c r="E51" s="1003">
        <f t="shared" ca="1" si="0"/>
        <v>0</v>
      </c>
      <c r="F51" s="996">
        <v>22</v>
      </c>
      <c r="G51" s="996">
        <v>60</v>
      </c>
      <c r="H51" s="996">
        <v>241</v>
      </c>
      <c r="I51" s="996">
        <v>1</v>
      </c>
      <c r="J51" s="996">
        <v>1</v>
      </c>
      <c r="K51" s="997">
        <v>9</v>
      </c>
      <c r="L51" s="640"/>
    </row>
    <row r="52" spans="3:12" ht="16.5">
      <c r="C52" s="1005" t="s">
        <v>2272</v>
      </c>
      <c r="D52" s="1005">
        <f>IFERROR(CVE!$E$12*Resultado!D26/SUM(Resultado!$D$25:$D$29),0)</f>
        <v>0</v>
      </c>
      <c r="E52" s="1003">
        <f t="shared" ca="1" si="0"/>
        <v>0</v>
      </c>
      <c r="F52" s="996">
        <v>22</v>
      </c>
      <c r="G52" s="996">
        <v>60</v>
      </c>
      <c r="H52" s="996">
        <v>241</v>
      </c>
      <c r="I52" s="996">
        <v>1</v>
      </c>
      <c r="J52" s="996">
        <v>1</v>
      </c>
      <c r="K52" s="997">
        <v>9</v>
      </c>
      <c r="L52" s="640"/>
    </row>
    <row r="53" spans="3:12" ht="16.5">
      <c r="C53" s="1005" t="s">
        <v>2273</v>
      </c>
      <c r="D53" s="1005">
        <f>IFERROR(CVE!$E$12*Resultado!D28/SUM(Resultado!$D$25:$D$29),0)</f>
        <v>0</v>
      </c>
      <c r="E53" s="1003">
        <f t="shared" ca="1" si="0"/>
        <v>0</v>
      </c>
      <c r="F53" s="996">
        <v>22</v>
      </c>
      <c r="G53" s="996">
        <v>60</v>
      </c>
      <c r="H53" s="996">
        <v>241</v>
      </c>
      <c r="I53" s="996">
        <v>1</v>
      </c>
      <c r="J53" s="996">
        <v>1</v>
      </c>
      <c r="K53" s="997">
        <v>9</v>
      </c>
      <c r="L53" s="640"/>
    </row>
    <row r="54" spans="3:12" ht="16.5">
      <c r="C54" s="1005" t="s">
        <v>2274</v>
      </c>
      <c r="D54" s="1005">
        <f>IFERROR(CVE!$E$12*Resultado!D27/SUM(Resultado!$D$25:$D$29),0)</f>
        <v>0</v>
      </c>
      <c r="E54" s="1003">
        <f t="shared" ca="1" si="0"/>
        <v>0</v>
      </c>
      <c r="F54" s="996">
        <v>22</v>
      </c>
      <c r="G54" s="996">
        <v>60</v>
      </c>
      <c r="H54" s="996">
        <v>241</v>
      </c>
      <c r="I54" s="996">
        <v>1</v>
      </c>
      <c r="J54" s="996">
        <v>1</v>
      </c>
      <c r="K54" s="997">
        <v>9</v>
      </c>
      <c r="L54" s="640"/>
    </row>
    <row r="55" spans="3:12" ht="16.5">
      <c r="C55" s="1005" t="s">
        <v>2275</v>
      </c>
      <c r="D55" s="1005">
        <f>IFERROR(CVE!$E$12*Resultado!D29/SUM(Resultado!$D$25:$D$29),0)</f>
        <v>0</v>
      </c>
      <c r="E55" s="1003">
        <f t="shared" ca="1" si="0"/>
        <v>0</v>
      </c>
      <c r="F55" s="996">
        <v>22</v>
      </c>
      <c r="G55" s="996">
        <v>60</v>
      </c>
      <c r="H55" s="996">
        <v>241</v>
      </c>
      <c r="I55" s="996">
        <v>1</v>
      </c>
      <c r="J55" s="996">
        <v>1</v>
      </c>
      <c r="K55" s="997">
        <v>9</v>
      </c>
      <c r="L55" s="640"/>
    </row>
    <row r="56" spans="3:12" ht="16.5">
      <c r="C56" s="1005" t="s">
        <v>2276</v>
      </c>
      <c r="D56" s="1005">
        <f>CVE!E15</f>
        <v>0</v>
      </c>
      <c r="E56" s="1003">
        <f t="shared" ca="1" si="0"/>
        <v>0</v>
      </c>
      <c r="F56" s="996">
        <v>22</v>
      </c>
      <c r="G56" s="996">
        <v>60</v>
      </c>
      <c r="H56" s="996">
        <v>241</v>
      </c>
      <c r="I56" s="996">
        <v>1</v>
      </c>
      <c r="J56" s="996">
        <v>21</v>
      </c>
      <c r="K56" s="997">
        <v>9</v>
      </c>
      <c r="L56" s="640"/>
    </row>
    <row r="57" spans="3:12" ht="16.5">
      <c r="C57" s="1005" t="s">
        <v>2277</v>
      </c>
      <c r="D57" s="1005">
        <f ca="1">IFERROR(CVE!$E$13*Energia!C6/Energia!$C$5,0)</f>
        <v>0</v>
      </c>
      <c r="E57" s="1003">
        <f t="shared" ca="1" si="0"/>
        <v>0</v>
      </c>
      <c r="F57" s="996">
        <v>22</v>
      </c>
      <c r="G57" s="996">
        <v>60</v>
      </c>
      <c r="H57" s="996">
        <v>241</v>
      </c>
      <c r="I57" s="996">
        <v>2</v>
      </c>
      <c r="J57" s="996">
        <v>11</v>
      </c>
      <c r="K57" s="997">
        <v>9</v>
      </c>
      <c r="L57" s="640"/>
    </row>
    <row r="58" spans="3:12" ht="16.5">
      <c r="C58" s="1005" t="s">
        <v>2278</v>
      </c>
      <c r="D58" s="1005">
        <f ca="1">IFERROR(CVE!$E$13*Energia!C7/Energia!$C$5,0)</f>
        <v>0</v>
      </c>
      <c r="E58" s="1003">
        <f t="shared" ca="1" si="0"/>
        <v>0</v>
      </c>
      <c r="F58" s="996">
        <v>22</v>
      </c>
      <c r="G58" s="996">
        <v>60</v>
      </c>
      <c r="H58" s="996">
        <v>241</v>
      </c>
      <c r="I58" s="996">
        <v>2</v>
      </c>
      <c r="J58" s="996">
        <v>9</v>
      </c>
      <c r="K58" s="996">
        <v>9</v>
      </c>
      <c r="L58" s="640"/>
    </row>
    <row r="59" spans="3:12" ht="16.5">
      <c r="C59" s="1005" t="s">
        <v>2279</v>
      </c>
      <c r="D59" s="1005">
        <f ca="1">IFERROR(CVE!$E$13*Energia!C8/Energia!$C$5,0)</f>
        <v>0</v>
      </c>
      <c r="E59" s="1003">
        <f t="shared" ca="1" si="0"/>
        <v>0</v>
      </c>
      <c r="F59" s="996">
        <v>22</v>
      </c>
      <c r="G59" s="996">
        <v>60</v>
      </c>
      <c r="H59" s="996">
        <v>241</v>
      </c>
      <c r="I59" s="996">
        <v>2</v>
      </c>
      <c r="J59" s="996">
        <v>8</v>
      </c>
      <c r="K59" s="996">
        <v>9</v>
      </c>
      <c r="L59" s="640"/>
    </row>
    <row r="60" spans="3:12" ht="16.5">
      <c r="C60" s="1005" t="s">
        <v>2280</v>
      </c>
      <c r="D60" s="1005">
        <f ca="1">IFERROR(CVE!$E$13*Energia!C9/Energia!$C$5,0)</f>
        <v>0</v>
      </c>
      <c r="E60" s="1003">
        <f t="shared" ca="1" si="0"/>
        <v>0</v>
      </c>
      <c r="F60" s="996">
        <v>22</v>
      </c>
      <c r="G60" s="996">
        <v>60</v>
      </c>
      <c r="H60" s="996">
        <v>241</v>
      </c>
      <c r="I60" s="996">
        <v>2</v>
      </c>
      <c r="J60" s="996">
        <v>10</v>
      </c>
      <c r="K60" s="996">
        <v>9</v>
      </c>
      <c r="L60" s="640"/>
    </row>
    <row r="61" spans="3:12" ht="16.5">
      <c r="C61" s="1005" t="s">
        <v>2281</v>
      </c>
      <c r="D61" s="1005">
        <f ca="1">IFERROR(CVE!$E$13*Energia!C10/Energia!$C$5,0)</f>
        <v>0</v>
      </c>
      <c r="E61" s="1003">
        <f t="shared" ca="1" si="0"/>
        <v>0</v>
      </c>
      <c r="F61" s="996">
        <v>22</v>
      </c>
      <c r="G61" s="996">
        <v>60</v>
      </c>
      <c r="H61" s="996">
        <v>241</v>
      </c>
      <c r="I61" s="996">
        <v>2</v>
      </c>
      <c r="J61" s="996">
        <v>24</v>
      </c>
      <c r="K61" s="996">
        <v>9</v>
      </c>
      <c r="L61" s="640"/>
    </row>
    <row r="62" spans="3:12" ht="16.5">
      <c r="C62" s="1005" t="s">
        <v>2282</v>
      </c>
      <c r="D62" s="1005">
        <f ca="1">IFERROR(CVE!$E$13*Energia!C11/Energia!$C$5,0)</f>
        <v>0</v>
      </c>
      <c r="E62" s="1003">
        <f t="shared" ca="1" si="0"/>
        <v>0</v>
      </c>
      <c r="F62" s="996">
        <v>22</v>
      </c>
      <c r="G62" s="996">
        <v>60</v>
      </c>
      <c r="H62" s="996">
        <v>241</v>
      </c>
      <c r="I62" s="996">
        <v>3</v>
      </c>
      <c r="J62" s="996">
        <v>18</v>
      </c>
      <c r="K62" s="996">
        <v>9</v>
      </c>
      <c r="L62" s="640"/>
    </row>
    <row r="63" spans="3:12" ht="16.5">
      <c r="C63" s="1005" t="s">
        <v>2283</v>
      </c>
      <c r="D63" s="1005">
        <f>CVE!E14</f>
        <v>0</v>
      </c>
      <c r="E63" s="1003">
        <f t="shared" ca="1" si="0"/>
        <v>0</v>
      </c>
      <c r="F63" s="996">
        <v>22</v>
      </c>
      <c r="G63" s="996">
        <v>60</v>
      </c>
      <c r="H63" s="996">
        <v>241</v>
      </c>
      <c r="I63" s="996">
        <v>3</v>
      </c>
      <c r="J63" s="996">
        <v>16</v>
      </c>
      <c r="K63" s="997">
        <v>9</v>
      </c>
      <c r="L63" s="640"/>
    </row>
    <row r="64" spans="3:12" ht="16.5">
      <c r="C64" s="1005" t="s">
        <v>2284</v>
      </c>
      <c r="D64" s="1005">
        <f>CVE!E17</f>
        <v>0</v>
      </c>
      <c r="E64" s="1003">
        <f t="shared" ca="1" si="0"/>
        <v>0</v>
      </c>
      <c r="F64" s="996">
        <v>22</v>
      </c>
      <c r="G64" s="996">
        <v>60</v>
      </c>
      <c r="H64" s="996">
        <v>241</v>
      </c>
      <c r="I64" s="996">
        <v>3</v>
      </c>
      <c r="J64" s="996">
        <v>17</v>
      </c>
      <c r="K64" s="997">
        <v>9</v>
      </c>
      <c r="L64" s="640"/>
    </row>
    <row r="65" spans="3:12" ht="16.5">
      <c r="C65" s="1657" t="s">
        <v>2256</v>
      </c>
      <c r="D65" s="1657">
        <f ca="1">IFERROR('Financeiros Mitigação'!$D$5*Energia!C6/Energia!$C$5,0)</f>
        <v>0</v>
      </c>
      <c r="E65" s="1003">
        <f t="shared" ca="1" si="0"/>
        <v>0</v>
      </c>
      <c r="F65" s="996">
        <v>22</v>
      </c>
      <c r="G65" s="996">
        <v>60</v>
      </c>
      <c r="H65" s="996">
        <v>240</v>
      </c>
      <c r="I65" s="996">
        <v>2</v>
      </c>
      <c r="J65" s="996">
        <v>11</v>
      </c>
      <c r="K65" s="997">
        <v>9</v>
      </c>
      <c r="L65" s="640"/>
    </row>
    <row r="66" spans="3:12" ht="16.5">
      <c r="C66" s="1657" t="s">
        <v>2257</v>
      </c>
      <c r="D66" s="1657">
        <f ca="1">IFERROR('Financeiros Mitigação'!$D$5*Energia!M16/Energia!$C$5,0)</f>
        <v>0</v>
      </c>
      <c r="E66" s="1003">
        <f t="shared" ca="1" si="0"/>
        <v>0</v>
      </c>
      <c r="F66" s="996">
        <v>22</v>
      </c>
      <c r="G66" s="996">
        <v>60</v>
      </c>
      <c r="H66" s="996">
        <v>240</v>
      </c>
      <c r="I66" s="996">
        <v>2</v>
      </c>
      <c r="J66" s="996">
        <v>9</v>
      </c>
      <c r="K66" s="997">
        <v>9</v>
      </c>
      <c r="L66" s="640"/>
    </row>
    <row r="67" spans="3:12" ht="16.5">
      <c r="C67" s="1657" t="s">
        <v>2258</v>
      </c>
      <c r="D67" s="1657">
        <f ca="1">IFERROR('Financeiros Mitigação'!$D$5*Energia!M17/Energia!$C$5,0)</f>
        <v>0</v>
      </c>
      <c r="E67" s="1003">
        <f t="shared" ca="1" si="0"/>
        <v>0</v>
      </c>
      <c r="F67" s="996">
        <v>22</v>
      </c>
      <c r="G67" s="996">
        <v>60</v>
      </c>
      <c r="H67" s="996">
        <v>240</v>
      </c>
      <c r="I67" s="996">
        <v>2</v>
      </c>
      <c r="J67" s="996">
        <v>8</v>
      </c>
      <c r="K67" s="997">
        <v>9</v>
      </c>
      <c r="L67" s="640"/>
    </row>
    <row r="68" spans="3:12" ht="16.5">
      <c r="C68" s="1657" t="s">
        <v>2259</v>
      </c>
      <c r="D68" s="1657">
        <f ca="1">IFERROR('Financeiros Mitigação'!$D$5*Energia!C11/Energia!$C$5,0)</f>
        <v>0</v>
      </c>
      <c r="E68" s="1003">
        <f t="shared" ca="1" si="0"/>
        <v>0</v>
      </c>
      <c r="F68" s="996">
        <v>22</v>
      </c>
      <c r="G68" s="996">
        <v>60</v>
      </c>
      <c r="H68" s="996">
        <v>240</v>
      </c>
      <c r="I68" s="996">
        <v>2</v>
      </c>
      <c r="J68" s="996">
        <v>10</v>
      </c>
      <c r="K68" s="997">
        <v>9</v>
      </c>
      <c r="L68" s="640"/>
    </row>
    <row r="69" spans="3:12" ht="16.5">
      <c r="C69" s="1657" t="s">
        <v>2260</v>
      </c>
      <c r="D69" s="1657">
        <f ca="1">IFERROR('Financeiros Mitigação'!$D$5*Energia!C12/Energia!$C$5,0)</f>
        <v>0</v>
      </c>
      <c r="E69" s="1003">
        <f t="shared" ca="1" si="0"/>
        <v>0</v>
      </c>
      <c r="F69" s="996">
        <v>22</v>
      </c>
      <c r="G69" s="996">
        <v>60</v>
      </c>
      <c r="H69" s="996">
        <v>240</v>
      </c>
      <c r="I69" s="996">
        <v>2</v>
      </c>
      <c r="J69" s="996">
        <v>24</v>
      </c>
      <c r="K69" s="997">
        <v>9</v>
      </c>
      <c r="L69" s="640"/>
    </row>
    <row r="70" spans="3:12" ht="16.5">
      <c r="C70" s="1657" t="s">
        <v>2261</v>
      </c>
      <c r="D70" s="1657">
        <f>IFERROR('Financeiros Mitigação'!D6,0)</f>
        <v>0</v>
      </c>
      <c r="E70" s="1003">
        <f t="shared" ca="1" si="0"/>
        <v>0</v>
      </c>
      <c r="F70" s="996">
        <v>22</v>
      </c>
      <c r="G70" s="996">
        <v>60</v>
      </c>
      <c r="H70" s="996">
        <v>240</v>
      </c>
      <c r="I70" s="996">
        <v>3</v>
      </c>
      <c r="J70" s="996">
        <v>17</v>
      </c>
      <c r="K70" s="997">
        <v>9</v>
      </c>
      <c r="L70" s="640"/>
    </row>
    <row r="71" spans="3:12" ht="16.5">
      <c r="C71" s="1657" t="s">
        <v>2262</v>
      </c>
      <c r="D71" s="1657">
        <f ca="1">IFERROR('Financeiros Mitigação'!$D$7*Energia!C6/Energia!$C$5,0)</f>
        <v>0</v>
      </c>
      <c r="E71" s="1003">
        <f t="shared" ca="1" si="0"/>
        <v>0</v>
      </c>
      <c r="F71" s="996">
        <v>22</v>
      </c>
      <c r="G71" s="996">
        <v>60</v>
      </c>
      <c r="H71" s="996">
        <v>240</v>
      </c>
      <c r="I71" s="996">
        <v>2</v>
      </c>
      <c r="J71" s="996">
        <v>11</v>
      </c>
      <c r="K71" s="997">
        <v>9</v>
      </c>
      <c r="L71" s="640"/>
    </row>
    <row r="72" spans="3:12" ht="16.5">
      <c r="C72" s="1657" t="s">
        <v>2263</v>
      </c>
      <c r="D72" s="1657">
        <f ca="1">IFERROR('Financeiros Mitigação'!$D$7*Energia!M16/Energia!$C$5,0)</f>
        <v>0</v>
      </c>
      <c r="E72" s="1003">
        <f t="shared" ca="1" si="0"/>
        <v>0</v>
      </c>
      <c r="F72" s="996">
        <v>22</v>
      </c>
      <c r="G72" s="996">
        <v>60</v>
      </c>
      <c r="H72" s="996">
        <v>240</v>
      </c>
      <c r="I72" s="996">
        <v>2</v>
      </c>
      <c r="J72" s="996">
        <v>9</v>
      </c>
      <c r="K72" s="997">
        <v>9</v>
      </c>
      <c r="L72" s="640"/>
    </row>
    <row r="73" spans="3:12" ht="16.5">
      <c r="C73" s="1657" t="s">
        <v>2264</v>
      </c>
      <c r="D73" s="1657">
        <f ca="1">IFERROR('Financeiros Mitigação'!$D$7*Energia!M17/Energia!$C$5,0)</f>
        <v>0</v>
      </c>
      <c r="E73" s="1003">
        <f t="shared" ca="1" si="0"/>
        <v>0</v>
      </c>
      <c r="F73" s="996">
        <v>22</v>
      </c>
      <c r="G73" s="996">
        <v>60</v>
      </c>
      <c r="H73" s="996">
        <v>240</v>
      </c>
      <c r="I73" s="996">
        <v>2</v>
      </c>
      <c r="J73" s="996">
        <v>8</v>
      </c>
      <c r="K73" s="997">
        <v>9</v>
      </c>
      <c r="L73" s="640"/>
    </row>
    <row r="74" spans="3:12" ht="16.5">
      <c r="C74" s="1657" t="s">
        <v>2265</v>
      </c>
      <c r="D74" s="1657">
        <f ca="1">IFERROR('Financeiros Mitigação'!$D$7*Energia!C11/Energia!$C$5,0)</f>
        <v>0</v>
      </c>
      <c r="E74" s="1003">
        <f t="shared" ca="1" si="0"/>
        <v>0</v>
      </c>
      <c r="F74" s="996">
        <v>22</v>
      </c>
      <c r="G74" s="996">
        <v>60</v>
      </c>
      <c r="H74" s="996">
        <v>240</v>
      </c>
      <c r="I74" s="996">
        <v>2</v>
      </c>
      <c r="J74" s="996">
        <v>10</v>
      </c>
      <c r="K74" s="997">
        <v>9</v>
      </c>
      <c r="L74" s="640"/>
    </row>
    <row r="75" spans="3:12" ht="16.5">
      <c r="C75" s="1657" t="s">
        <v>2266</v>
      </c>
      <c r="D75" s="1657">
        <f ca="1">IFERROR('Financeiros Mitigação'!$D$7*Energia!C12/Energia!$C$5,0)</f>
        <v>0</v>
      </c>
      <c r="E75" s="1003">
        <f t="shared" ca="1" si="0"/>
        <v>0</v>
      </c>
      <c r="F75" s="996">
        <v>22</v>
      </c>
      <c r="G75" s="996">
        <v>60</v>
      </c>
      <c r="H75" s="996">
        <v>240</v>
      </c>
      <c r="I75" s="996">
        <v>2</v>
      </c>
      <c r="J75" s="996">
        <v>24</v>
      </c>
      <c r="K75" s="997">
        <v>9</v>
      </c>
      <c r="L75" s="640"/>
    </row>
    <row r="76" spans="3:12" ht="16.5">
      <c r="C76" s="1657"/>
      <c r="D76" s="1657"/>
      <c r="E76" s="1003"/>
      <c r="F76" s="996"/>
      <c r="G76" s="996"/>
      <c r="H76" s="996"/>
      <c r="I76" s="996"/>
      <c r="J76" s="996"/>
      <c r="K76" s="997"/>
      <c r="L76" s="640"/>
    </row>
    <row r="77" spans="3:12" ht="16.5">
      <c r="C77" s="1657"/>
      <c r="D77" s="1657"/>
      <c r="E77" s="1003"/>
      <c r="F77" s="996"/>
      <c r="G77" s="996"/>
      <c r="H77" s="996"/>
      <c r="I77" s="996"/>
      <c r="J77" s="996"/>
      <c r="K77" s="997"/>
      <c r="L77" s="640"/>
    </row>
    <row r="78" spans="3:12" ht="16.5">
      <c r="C78" s="1657"/>
      <c r="D78" s="1657"/>
      <c r="E78" s="1003"/>
      <c r="F78" s="996"/>
      <c r="G78" s="996"/>
      <c r="H78" s="996"/>
      <c r="I78" s="996"/>
      <c r="J78" s="996"/>
      <c r="K78" s="997"/>
      <c r="L78" s="640"/>
    </row>
    <row r="79" spans="3:12" ht="16.5">
      <c r="C79" s="1657"/>
      <c r="D79" s="1657"/>
      <c r="E79" s="1003"/>
      <c r="F79" s="996"/>
      <c r="G79" s="996"/>
      <c r="H79" s="996"/>
      <c r="I79" s="996"/>
      <c r="J79" s="996"/>
      <c r="K79" s="997"/>
      <c r="L79" s="640"/>
    </row>
    <row r="80" spans="3:12" ht="16.5">
      <c r="C80" s="1657"/>
      <c r="D80" s="1657"/>
      <c r="E80" s="1003"/>
      <c r="F80" s="997"/>
      <c r="G80" s="997"/>
      <c r="H80" s="997"/>
      <c r="I80" s="997"/>
      <c r="J80" s="997"/>
      <c r="K80" s="997"/>
      <c r="L80" s="640"/>
    </row>
    <row r="81" spans="3:12" ht="16.5">
      <c r="C81" s="1657"/>
      <c r="D81" s="1657"/>
      <c r="E81" s="1003"/>
      <c r="F81" s="997"/>
      <c r="G81" s="997"/>
      <c r="H81" s="997"/>
      <c r="I81" s="997"/>
      <c r="J81" s="997"/>
      <c r="K81" s="997"/>
      <c r="L81" s="640"/>
    </row>
    <row r="82" spans="3:12" ht="16.5">
      <c r="C82" s="1005" t="s">
        <v>1391</v>
      </c>
      <c r="D82" s="1005">
        <f ca="1">IFERROR(CVE!$I$15,0)</f>
        <v>0</v>
      </c>
      <c r="E82" s="1440">
        <f t="shared" ref="E82" ca="1" si="3">IF(ISERROR(D82/$D$5),0,D82/$D$5)</f>
        <v>0</v>
      </c>
      <c r="F82" s="1441">
        <v>22</v>
      </c>
      <c r="G82" s="1441">
        <v>62</v>
      </c>
      <c r="H82" s="1441">
        <v>220</v>
      </c>
      <c r="I82" s="1441">
        <v>2</v>
      </c>
      <c r="J82" s="1441">
        <v>30</v>
      </c>
      <c r="K82" s="1441">
        <v>9</v>
      </c>
      <c r="L82" s="640"/>
    </row>
    <row r="83" spans="3:12" ht="16.5">
      <c r="C83" s="1006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0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2181</v>
      </c>
    </row>
    <row r="4" spans="1:5">
      <c r="B4" t="s">
        <v>2182</v>
      </c>
    </row>
    <row r="7" spans="1:5">
      <c r="A7" s="755"/>
      <c r="B7" s="755" t="s">
        <v>2176</v>
      </c>
    </row>
    <row r="8" spans="1:5">
      <c r="A8" s="755" t="s">
        <v>1027</v>
      </c>
      <c r="B8" s="1606"/>
    </row>
    <row r="9" spans="1:5">
      <c r="A9" s="755" t="s">
        <v>1046</v>
      </c>
      <c r="B9" s="1606"/>
    </row>
    <row r="11" spans="1:5" ht="47.25">
      <c r="A11" s="1608"/>
      <c r="B11" s="1609" t="s">
        <v>2183</v>
      </c>
      <c r="C11" s="1610" t="s">
        <v>2177</v>
      </c>
      <c r="D11" s="1610" t="s">
        <v>2178</v>
      </c>
      <c r="E11" s="1610" t="s">
        <v>843</v>
      </c>
    </row>
    <row r="12" spans="1:5">
      <c r="A12" s="892" t="s">
        <v>843</v>
      </c>
      <c r="B12" s="1607">
        <f>B13+B14</f>
        <v>0</v>
      </c>
      <c r="C12" s="1607">
        <f>Indexador!R49</f>
        <v>0</v>
      </c>
      <c r="D12" s="1607">
        <f>C12*85%</f>
        <v>0</v>
      </c>
      <c r="E12" s="1607">
        <f>SUM(B12:D12)</f>
        <v>0</v>
      </c>
    </row>
    <row r="13" spans="1:5">
      <c r="A13" s="755" t="s">
        <v>1027</v>
      </c>
      <c r="B13" s="1607">
        <f>Indexador!V49</f>
        <v>0</v>
      </c>
      <c r="C13" s="1607">
        <f ca="1">IFERROR($C$12*(Resultado!D32/(Resultado!$D$32+Resultado!$D$33)),0)</f>
        <v>0</v>
      </c>
      <c r="D13" s="1607">
        <f t="shared" ref="D13:D14" ca="1" si="0">C13*85%</f>
        <v>0</v>
      </c>
      <c r="E13" s="1607">
        <f t="shared" ref="E13:E14" ca="1" si="1">SUM(B13:D13)</f>
        <v>0</v>
      </c>
    </row>
    <row r="14" spans="1:5">
      <c r="A14" s="755" t="s">
        <v>1046</v>
      </c>
      <c r="B14" s="1607">
        <f>Indexador!T49</f>
        <v>0</v>
      </c>
      <c r="C14" s="1607">
        <f ca="1">IFERROR($C$12*(Resultado!D33/(Resultado!$D$32+Resultado!$D$33)),0)</f>
        <v>0</v>
      </c>
      <c r="D14" s="1607">
        <f t="shared" ca="1" si="0"/>
        <v>0</v>
      </c>
      <c r="E14" s="1607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G8" sqref="G8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83" t="s">
        <v>2299</v>
      </c>
    </row>
    <row r="4" spans="1:15">
      <c r="B4" s="1674" t="s">
        <v>2286</v>
      </c>
      <c r="C4" s="1676" t="s">
        <v>2287</v>
      </c>
      <c r="D4" s="1675" t="s">
        <v>2288</v>
      </c>
      <c r="E4" s="1681"/>
      <c r="F4" s="1681"/>
      <c r="G4" s="1681"/>
      <c r="N4" t="s">
        <v>34</v>
      </c>
      <c r="O4" t="s">
        <v>2289</v>
      </c>
    </row>
    <row r="5" spans="1:15">
      <c r="A5" s="836" t="s">
        <v>2215</v>
      </c>
      <c r="B5" s="905" t="s">
        <v>2297</v>
      </c>
      <c r="C5" s="1684">
        <f>IFERROR(VLOOKUP(A5,Escassez[#All],2,FALSE),0)</f>
        <v>0</v>
      </c>
      <c r="D5" s="1684" t="e">
        <f>C5/$C$8*$O$87</f>
        <v>#DIV/0!</v>
      </c>
      <c r="E5" s="1682"/>
      <c r="F5" s="1680"/>
      <c r="G5" s="1670"/>
      <c r="N5" s="8">
        <v>44690</v>
      </c>
      <c r="O5" s="234">
        <f>C8</f>
        <v>0</v>
      </c>
    </row>
    <row r="6" spans="1:15">
      <c r="A6" s="1658" t="s">
        <v>2216</v>
      </c>
      <c r="B6" s="905" t="s">
        <v>2298</v>
      </c>
      <c r="C6" s="1684">
        <f>IFERROR(VLOOKUP(A6,Escassez[#All],2,FALSE),0)</f>
        <v>0</v>
      </c>
      <c r="D6" s="1684" t="e">
        <f>C6/$C$8*$O$87</f>
        <v>#DIV/0!</v>
      </c>
      <c r="E6" s="1682"/>
      <c r="F6" s="1680"/>
      <c r="G6" s="1670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58" t="s">
        <v>2217</v>
      </c>
      <c r="B7" s="905" t="s">
        <v>111</v>
      </c>
      <c r="C7" s="1684">
        <f>IFERROR(VLOOKUP(A7,Escassez[#All],2,FALSE),0)</f>
        <v>0</v>
      </c>
      <c r="D7" s="1684" t="e">
        <f>C7/$C$8*$O$87</f>
        <v>#DIV/0!</v>
      </c>
      <c r="E7" s="1682"/>
      <c r="F7" s="1680"/>
      <c r="G7" s="1670"/>
      <c r="N7" s="8">
        <f t="shared" ref="N7:N70" si="0">N6+1</f>
        <v>44692</v>
      </c>
      <c r="O7" s="234">
        <f>O6*VLOOKUP(N7,Índices!$K$6:$N$3249,4,FALSE)/VLOOKUP(N6,Índices!$K$6:$N$3249,4,FALSE)</f>
        <v>0</v>
      </c>
    </row>
    <row r="8" spans="1:15">
      <c r="B8" s="1677"/>
      <c r="C8" s="1685">
        <f>SUM(C5:C7)</f>
        <v>0</v>
      </c>
      <c r="D8" s="1685" t="e">
        <f>SUM(D5:D7)</f>
        <v>#DIV/0!</v>
      </c>
      <c r="E8" s="905"/>
      <c r="F8" s="1671"/>
      <c r="G8" s="1671"/>
      <c r="N8" s="8">
        <f t="shared" si="0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0</v>
      </c>
    </row>
    <row r="10" spans="1:15">
      <c r="B10" s="1686" t="s">
        <v>2300</v>
      </c>
      <c r="C10" s="1678"/>
      <c r="D10" s="1687"/>
      <c r="E10" s="1679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86" t="s">
        <v>1389</v>
      </c>
      <c r="C12" s="1678"/>
      <c r="D12" s="1687"/>
      <c r="E12" s="1668"/>
      <c r="F12" s="1668"/>
      <c r="G12" s="1668"/>
      <c r="H12" s="1668"/>
      <c r="I12" s="1668"/>
      <c r="J12" s="1668"/>
      <c r="K12" s="1668"/>
      <c r="L12" s="1668"/>
      <c r="N12" s="8">
        <f t="shared" si="0"/>
        <v>44697</v>
      </c>
      <c r="O12" s="234">
        <f>O11*VLOOKUP(N12,Índices!$K$6:$N$3249,4,FALSE)/VLOOKUP(N11,Índices!$K$6:$N$3249,4,FALSE)</f>
        <v>0</v>
      </c>
    </row>
    <row r="13" spans="1:15">
      <c r="B13" s="1688"/>
      <c r="C13" s="1669"/>
      <c r="D13" s="1669"/>
      <c r="E13" s="1669"/>
      <c r="F13" s="1669"/>
      <c r="G13" s="1669"/>
      <c r="H13" s="1669"/>
      <c r="I13" s="1669"/>
      <c r="J13" s="1669"/>
      <c r="K13" s="1669"/>
      <c r="L13" s="1669"/>
      <c r="N13" s="8">
        <f t="shared" si="0"/>
        <v>44698</v>
      </c>
      <c r="O13" s="234">
        <f>O12*VLOOKUP(N13,Índices!$K$6:$N$3249,4,FALSE)/VLOOKUP(N12,Índices!$K$6:$N$3249,4,FALSE)</f>
        <v>0</v>
      </c>
    </row>
    <row r="14" spans="1:15">
      <c r="B14" s="1689"/>
      <c r="C14" s="1690"/>
      <c r="D14" s="1690"/>
      <c r="E14" s="1691"/>
      <c r="F14" s="1692"/>
      <c r="G14" s="1670"/>
      <c r="H14" s="1670"/>
      <c r="I14" s="1670"/>
      <c r="J14" s="1670"/>
      <c r="K14" s="1670"/>
      <c r="L14" s="1670"/>
      <c r="N14" s="8">
        <f t="shared" si="0"/>
        <v>44699</v>
      </c>
      <c r="O14" s="234">
        <f>O13*VLOOKUP(N14,Índices!$K$6:$N$3249,4,FALSE)/VLOOKUP(N13,Índices!$K$6:$N$3249,4,FALSE)</f>
        <v>0</v>
      </c>
    </row>
    <row r="15" spans="1:15">
      <c r="B15" s="1689"/>
      <c r="C15" s="1690"/>
      <c r="D15" s="1690"/>
      <c r="E15" s="1691"/>
      <c r="F15" s="1692"/>
      <c r="G15" s="1670"/>
      <c r="H15" s="1670"/>
      <c r="I15" s="1670"/>
      <c r="J15" s="1670"/>
      <c r="K15" s="1670"/>
      <c r="L15" s="1670"/>
      <c r="N15" s="8">
        <f t="shared" si="0"/>
        <v>44700</v>
      </c>
      <c r="O15" s="234">
        <f>O14*VLOOKUP(N15,Índices!$K$6:$N$3249,4,FALSE)/VLOOKUP(N14,Índices!$K$6:$N$3249,4,FALSE)</f>
        <v>0</v>
      </c>
    </row>
    <row r="16" spans="1:15">
      <c r="B16" s="1689"/>
      <c r="C16" s="1690"/>
      <c r="D16" s="1690"/>
      <c r="E16" s="1691"/>
      <c r="F16" s="1692"/>
      <c r="G16" s="1670"/>
      <c r="H16" s="1670"/>
      <c r="I16" s="1670"/>
      <c r="J16" s="1670"/>
      <c r="K16" s="1670"/>
      <c r="L16" s="1670"/>
      <c r="N16" s="8">
        <f t="shared" si="0"/>
        <v>44701</v>
      </c>
      <c r="O16" s="234">
        <f>O15*VLOOKUP(N16,Índices!$K$6:$N$3249,4,FALSE)/VLOOKUP(N15,Índices!$K$6:$N$3249,4,FALSE)</f>
        <v>0</v>
      </c>
    </row>
    <row r="17" spans="2:15">
      <c r="B17" s="1689"/>
      <c r="C17" s="1690"/>
      <c r="D17" s="1690"/>
      <c r="E17" s="1691"/>
      <c r="F17" s="1692"/>
      <c r="G17" s="1670"/>
      <c r="H17" s="1670"/>
      <c r="I17" s="1670"/>
      <c r="J17" s="1670"/>
      <c r="K17" s="1670"/>
      <c r="L17" s="1670"/>
      <c r="N17" s="8">
        <f t="shared" si="0"/>
        <v>44702</v>
      </c>
      <c r="O17" s="234">
        <f>O16*VLOOKUP(N17,Índices!$K$6:$N$3249,4,FALSE)/VLOOKUP(N16,Índices!$K$6:$N$3249,4,FALSE)</f>
        <v>0</v>
      </c>
    </row>
    <row r="18" spans="2:15">
      <c r="B18" s="1689"/>
      <c r="C18" s="1690"/>
      <c r="D18" s="1690"/>
      <c r="E18" s="1691"/>
      <c r="F18" s="1692"/>
      <c r="G18" s="1670"/>
      <c r="H18" s="1670"/>
      <c r="I18" s="1670"/>
      <c r="J18" s="1670"/>
      <c r="K18" s="1670"/>
      <c r="L18" s="1670"/>
      <c r="N18" s="8">
        <f t="shared" si="0"/>
        <v>44703</v>
      </c>
      <c r="O18" s="234">
        <f>O17*VLOOKUP(N18,Índices!$K$6:$N$3249,4,FALSE)/VLOOKUP(N17,Índices!$K$6:$N$3249,4,FALSE)</f>
        <v>0</v>
      </c>
    </row>
    <row r="19" spans="2:15">
      <c r="B19" s="1689"/>
      <c r="C19" s="1690"/>
      <c r="D19" s="1690"/>
      <c r="E19" s="1690"/>
      <c r="F19" s="1692"/>
      <c r="G19" s="1670"/>
      <c r="H19" s="1670"/>
      <c r="I19" s="1670"/>
      <c r="J19" s="1670"/>
      <c r="K19" s="1670"/>
      <c r="L19" s="1670"/>
      <c r="N19" s="8">
        <f t="shared" si="0"/>
        <v>44704</v>
      </c>
      <c r="O19" s="234">
        <f>O18*VLOOKUP(N19,Índices!$K$6:$N$3249,4,FALSE)/VLOOKUP(N18,Índices!$K$6:$N$3249,4,FALSE)</f>
        <v>0</v>
      </c>
    </row>
    <row r="20" spans="2:15">
      <c r="B20" s="1689"/>
      <c r="C20" s="1690"/>
      <c r="D20" s="1690"/>
      <c r="E20" s="1690"/>
      <c r="F20" s="1692"/>
      <c r="G20" s="1670"/>
      <c r="H20" s="1670"/>
      <c r="I20" s="1670"/>
      <c r="J20" s="1670"/>
      <c r="K20" s="1670"/>
      <c r="L20" s="1670"/>
      <c r="N20" s="8">
        <f t="shared" si="0"/>
        <v>44705</v>
      </c>
      <c r="O20" s="234">
        <f>O19*VLOOKUP(N20,Índices!$K$6:$N$3249,4,FALSE)/VLOOKUP(N19,Índices!$K$6:$N$3249,4,FALSE)</f>
        <v>0</v>
      </c>
    </row>
    <row r="21" spans="2:15">
      <c r="B21" s="1689"/>
      <c r="C21" s="1690"/>
      <c r="D21" s="1690"/>
      <c r="E21" s="1690"/>
      <c r="F21" s="1692"/>
      <c r="G21" s="1670"/>
      <c r="H21" s="1670"/>
      <c r="I21" s="1670"/>
      <c r="J21" s="1670"/>
      <c r="K21" s="1670"/>
      <c r="L21" s="1670"/>
      <c r="N21" s="8">
        <f t="shared" si="0"/>
        <v>44706</v>
      </c>
      <c r="O21" s="234">
        <f>O20*VLOOKUP(N21,Índices!$K$6:$N$3249,4,FALSE)/VLOOKUP(N20,Índices!$K$6:$N$3249,4,FALSE)</f>
        <v>0</v>
      </c>
    </row>
    <row r="22" spans="2:15">
      <c r="B22" s="1689"/>
      <c r="C22" s="1690"/>
      <c r="D22" s="1690"/>
      <c r="E22" s="1690"/>
      <c r="F22" s="1692"/>
      <c r="G22" s="1670"/>
      <c r="H22" s="1670"/>
      <c r="I22" s="1670"/>
      <c r="J22" s="1670"/>
      <c r="K22" s="1670"/>
      <c r="L22" s="1670"/>
      <c r="N22" s="8">
        <f t="shared" si="0"/>
        <v>44707</v>
      </c>
      <c r="O22" s="234">
        <f>O21*VLOOKUP(N22,Índices!$K$6:$N$3249,4,FALSE)/VLOOKUP(N21,Índices!$K$6:$N$3249,4,FALSE)</f>
        <v>0</v>
      </c>
    </row>
    <row r="23" spans="2:15">
      <c r="B23" s="1689"/>
      <c r="C23" s="1690"/>
      <c r="D23" s="1690"/>
      <c r="E23" s="1690"/>
      <c r="F23" s="1692"/>
      <c r="G23" s="1670"/>
      <c r="H23" s="1670"/>
      <c r="I23" s="1670"/>
      <c r="J23" s="1670"/>
      <c r="K23" s="1670"/>
      <c r="L23" s="1670"/>
      <c r="N23" s="8">
        <f t="shared" si="0"/>
        <v>44708</v>
      </c>
      <c r="O23" s="234">
        <f>O22*VLOOKUP(N23,Índices!$K$6:$N$3249,4,FALSE)/VLOOKUP(N22,Índices!$K$6:$N$3249,4,FALSE)</f>
        <v>0</v>
      </c>
    </row>
    <row r="24" spans="2:15">
      <c r="B24" s="1689"/>
      <c r="C24" s="1690"/>
      <c r="D24" s="1690"/>
      <c r="E24" s="1690"/>
      <c r="F24" s="1692"/>
      <c r="G24" s="1670"/>
      <c r="H24" s="1670"/>
      <c r="I24" s="1670"/>
      <c r="J24" s="1670"/>
      <c r="K24" s="1670"/>
      <c r="L24" s="1670"/>
      <c r="N24" s="8">
        <f t="shared" si="0"/>
        <v>44709</v>
      </c>
      <c r="O24" s="234">
        <f>O23*VLOOKUP(N24,Índices!$K$6:$N$3249,4,FALSE)/VLOOKUP(N23,Índices!$K$6:$N$3249,4,FALSE)</f>
        <v>0</v>
      </c>
    </row>
    <row r="25" spans="2:15">
      <c r="B25" s="1693"/>
      <c r="C25" s="1690"/>
      <c r="D25" s="1690"/>
      <c r="E25" s="1694"/>
      <c r="F25" s="1692"/>
      <c r="G25" s="1670"/>
      <c r="H25" s="1670"/>
      <c r="I25" s="1670"/>
      <c r="J25" s="1670"/>
      <c r="K25" s="1670"/>
      <c r="L25" s="1670"/>
      <c r="N25" s="8">
        <f t="shared" si="0"/>
        <v>44710</v>
      </c>
      <c r="O25" s="234">
        <f>O24*VLOOKUP(N25,Índices!$K$6:$N$3249,4,FALSE)/VLOOKUP(N24,Índices!$K$6:$N$3249,4,FALSE)</f>
        <v>0</v>
      </c>
    </row>
    <row r="26" spans="2:15">
      <c r="B26" s="1695"/>
      <c r="C26" s="905"/>
      <c r="D26" s="905"/>
      <c r="E26" s="905"/>
      <c r="F26" s="1671"/>
      <c r="G26" s="1671"/>
      <c r="H26" s="1671"/>
      <c r="I26" s="1671"/>
      <c r="J26" s="1671"/>
      <c r="K26" s="1671"/>
      <c r="L26" s="1671"/>
      <c r="N26" s="8">
        <f t="shared" si="0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33" sqref="H33"/>
    </sheetView>
  </sheetViews>
  <sheetFormatPr defaultColWidth="9.140625" defaultRowHeight="15" customHeight="1"/>
  <cols>
    <col min="1" max="1" width="4.42578125" style="914" customWidth="1"/>
    <col min="2" max="2" width="27.28515625" style="914" customWidth="1"/>
    <col min="3" max="5" width="17.7109375" style="915" customWidth="1"/>
    <col min="6" max="7" width="17.7109375" style="914" customWidth="1"/>
    <col min="8" max="8" width="46.42578125" style="914" customWidth="1"/>
    <col min="9" max="9" width="14.7109375" style="914" customWidth="1"/>
    <col min="10" max="13" width="12.7109375" style="914" customWidth="1"/>
    <col min="14" max="17" width="9.140625" style="914"/>
    <col min="18" max="18" width="17" style="914" customWidth="1"/>
    <col min="19" max="19" width="14.28515625" style="914" customWidth="1"/>
    <col min="20" max="20" width="15.42578125" style="914" customWidth="1"/>
    <col min="21" max="21" width="13.85546875" style="914" customWidth="1"/>
    <col min="22" max="22" width="17.140625" style="914" customWidth="1"/>
    <col min="23" max="23" width="13" style="914" customWidth="1"/>
    <col min="24" max="24" width="14.140625" style="914" customWidth="1"/>
    <col min="25" max="25" width="17.7109375" style="914" customWidth="1"/>
    <col min="26" max="26" width="17" style="914" customWidth="1"/>
    <col min="27" max="27" width="14" style="914" customWidth="1"/>
    <col min="28" max="28" width="14.85546875" style="914" customWidth="1"/>
    <col min="29" max="16384" width="9.140625" style="914"/>
  </cols>
  <sheetData>
    <row r="1" spans="1:18" ht="14.45" customHeight="1"/>
    <row r="2" spans="1:18" ht="14.45" customHeight="1">
      <c r="B2" s="916" t="s">
        <v>1392</v>
      </c>
      <c r="C2" s="917"/>
      <c r="D2" s="917"/>
      <c r="E2" s="917"/>
      <c r="F2" s="918"/>
      <c r="G2" s="918"/>
      <c r="H2" s="919" t="s">
        <v>13</v>
      </c>
      <c r="I2" s="920">
        <f>Resultado!$D$6</f>
        <v>0</v>
      </c>
      <c r="J2" s="921"/>
      <c r="K2" s="921"/>
    </row>
    <row r="3" spans="1:18" ht="14.45" customHeight="1">
      <c r="B3" s="922"/>
      <c r="C3" s="923"/>
      <c r="D3" s="923"/>
      <c r="E3" s="923"/>
      <c r="H3" s="924" t="s">
        <v>14</v>
      </c>
      <c r="I3" s="925">
        <f>Resultado!$D$8</f>
        <v>0</v>
      </c>
      <c r="J3" s="921"/>
      <c r="K3" s="921"/>
    </row>
    <row r="4" spans="1:18" ht="14.45" customHeight="1">
      <c r="B4" s="921"/>
      <c r="C4" s="923"/>
      <c r="D4" s="923"/>
      <c r="E4" s="923"/>
      <c r="F4" s="926"/>
      <c r="G4" s="921"/>
      <c r="H4" s="921"/>
      <c r="I4" s="921"/>
      <c r="J4" s="921"/>
      <c r="K4" s="921"/>
    </row>
    <row r="5" spans="1:18" ht="15" customHeight="1">
      <c r="B5" s="921"/>
      <c r="C5" s="927"/>
      <c r="D5" s="923"/>
      <c r="E5" s="923"/>
      <c r="F5" s="926"/>
      <c r="G5" s="921"/>
      <c r="H5" s="921"/>
      <c r="I5" s="921"/>
      <c r="J5" s="921"/>
      <c r="K5" s="921"/>
      <c r="R5" s="1442" t="s">
        <v>949</v>
      </c>
    </row>
    <row r="6" spans="1:18" s="931" customFormat="1" ht="15" customHeight="1">
      <c r="A6" s="928"/>
      <c r="B6" s="929"/>
      <c r="C6" s="930"/>
      <c r="D6" s="930"/>
      <c r="E6" s="930"/>
      <c r="F6" s="929"/>
      <c r="G6" s="929"/>
      <c r="H6" s="929"/>
      <c r="I6" s="929"/>
      <c r="J6" s="929"/>
      <c r="K6" s="929"/>
      <c r="R6" s="977">
        <f>DATE(YEAR(R8),MONTH(R8)-1,1)</f>
        <v>44378</v>
      </c>
    </row>
    <row r="7" spans="1:18" s="931" customFormat="1" ht="15" customHeight="1">
      <c r="A7" s="928"/>
      <c r="B7" s="932" t="s">
        <v>2302</v>
      </c>
      <c r="C7" s="930"/>
      <c r="D7" s="933"/>
      <c r="E7" s="933"/>
      <c r="F7" s="934"/>
      <c r="G7" s="929"/>
      <c r="H7" s="929"/>
      <c r="I7" s="929"/>
      <c r="J7" s="929"/>
      <c r="K7" s="929"/>
      <c r="R7" s="1442" t="s">
        <v>949</v>
      </c>
    </row>
    <row r="8" spans="1:18" ht="27.95" customHeight="1">
      <c r="B8" s="935" t="s">
        <v>852</v>
      </c>
      <c r="C8" s="935" t="s">
        <v>1393</v>
      </c>
      <c r="D8" s="935" t="s">
        <v>1394</v>
      </c>
      <c r="E8" s="935" t="s">
        <v>1395</v>
      </c>
      <c r="F8" s="921"/>
      <c r="G8" s="921"/>
      <c r="H8" s="921"/>
      <c r="I8" s="936"/>
      <c r="R8" s="977">
        <f>DATE(YEAR(R10),MONTH(R10)-1,1)</f>
        <v>44409</v>
      </c>
    </row>
    <row r="9" spans="1:18" ht="14.45" customHeight="1">
      <c r="B9" s="1443" t="s">
        <v>1396</v>
      </c>
      <c r="C9" s="1444"/>
      <c r="D9" s="1444"/>
      <c r="E9" s="1444"/>
      <c r="F9" s="921"/>
      <c r="G9" s="448"/>
      <c r="H9" s="1445" t="s">
        <v>1397</v>
      </c>
      <c r="I9" s="1446"/>
      <c r="R9" s="1442" t="s">
        <v>949</v>
      </c>
    </row>
    <row r="10" spans="1:18" ht="14.45" customHeight="1">
      <c r="B10" s="937" t="s">
        <v>41</v>
      </c>
      <c r="C10" s="938"/>
      <c r="D10" s="938"/>
      <c r="E10" s="938"/>
      <c r="F10" s="921"/>
      <c r="G10" s="448"/>
      <c r="H10" s="939" t="s">
        <v>1398</v>
      </c>
      <c r="I10" s="940">
        <f>Indexador!F173</f>
        <v>0</v>
      </c>
      <c r="R10" s="977">
        <f>DATE(YEAR(R12),MONTH(R12)-1,1)</f>
        <v>44440</v>
      </c>
    </row>
    <row r="11" spans="1:18" ht="14.45" customHeight="1">
      <c r="B11" s="937" t="s">
        <v>1399</v>
      </c>
      <c r="C11" s="938"/>
      <c r="D11" s="938"/>
      <c r="E11" s="938"/>
      <c r="F11" s="921"/>
      <c r="G11" s="921"/>
      <c r="H11" s="939" t="s">
        <v>1400</v>
      </c>
      <c r="I11" s="941"/>
      <c r="R11" s="1442" t="s">
        <v>949</v>
      </c>
    </row>
    <row r="12" spans="1:18" ht="14.45" customHeight="1">
      <c r="B12" s="937" t="s">
        <v>704</v>
      </c>
      <c r="C12" s="938"/>
      <c r="D12" s="938"/>
      <c r="E12" s="938"/>
      <c r="F12" s="921"/>
      <c r="G12" s="448"/>
      <c r="H12" s="939" t="s">
        <v>1401</v>
      </c>
      <c r="I12" s="941"/>
      <c r="R12" s="977">
        <f>DATE(YEAR(R14),MONTH(R14)-1,1)</f>
        <v>44470</v>
      </c>
    </row>
    <row r="13" spans="1:18" ht="14.45" customHeight="1">
      <c r="B13" s="937" t="s">
        <v>1402</v>
      </c>
      <c r="C13" s="938"/>
      <c r="D13" s="938"/>
      <c r="E13" s="938"/>
      <c r="F13" s="921"/>
      <c r="G13" s="448"/>
      <c r="H13" s="939" t="s">
        <v>1403</v>
      </c>
      <c r="I13" s="1447"/>
      <c r="R13" s="1442" t="s">
        <v>949</v>
      </c>
    </row>
    <row r="14" spans="1:18" ht="14.45" customHeight="1">
      <c r="B14" s="937" t="s">
        <v>126</v>
      </c>
      <c r="C14" s="938"/>
      <c r="D14" s="938"/>
      <c r="E14" s="938"/>
      <c r="F14" s="921"/>
      <c r="G14" s="448"/>
      <c r="H14" s="1445" t="s">
        <v>1404</v>
      </c>
      <c r="I14" s="1448"/>
      <c r="J14" s="921"/>
      <c r="K14" s="921"/>
      <c r="R14" s="977">
        <f>DATE(YEAR(R16),MONTH(R16)-1,1)</f>
        <v>44501</v>
      </c>
    </row>
    <row r="15" spans="1:18" ht="14.45" customHeight="1">
      <c r="B15" s="937" t="s">
        <v>1405</v>
      </c>
      <c r="C15" s="938"/>
      <c r="D15" s="938"/>
      <c r="E15" s="938"/>
      <c r="F15" s="921"/>
      <c r="G15" s="448"/>
      <c r="H15" s="1449" t="s">
        <v>1406</v>
      </c>
      <c r="I15" s="1450" t="e">
        <f ca="1">-I14*K67/K66</f>
        <v>#DIV/0!</v>
      </c>
      <c r="J15" s="921"/>
      <c r="K15" s="921"/>
      <c r="R15" s="1442" t="s">
        <v>949</v>
      </c>
    </row>
    <row r="16" spans="1:18" ht="14.45" customHeight="1">
      <c r="B16" s="937" t="s">
        <v>122</v>
      </c>
      <c r="C16" s="938"/>
      <c r="D16" s="938"/>
      <c r="E16" s="938"/>
      <c r="F16" s="922"/>
      <c r="G16" s="448"/>
      <c r="H16" s="921"/>
      <c r="I16" s="936"/>
      <c r="J16" s="921"/>
      <c r="K16" s="921"/>
      <c r="R16" s="977">
        <f>DATE(YEAR(R18),MONTH(R18)-1,1)</f>
        <v>44531</v>
      </c>
    </row>
    <row r="17" spans="1:18" ht="14.45" customHeight="1">
      <c r="B17" s="937" t="s">
        <v>46</v>
      </c>
      <c r="C17" s="938"/>
      <c r="D17" s="938"/>
      <c r="E17" s="938"/>
      <c r="F17" s="921"/>
      <c r="G17" s="448"/>
      <c r="H17" s="921"/>
      <c r="I17" s="921"/>
      <c r="J17" s="921"/>
      <c r="K17" s="921"/>
      <c r="R17" s="1442" t="s">
        <v>949</v>
      </c>
    </row>
    <row r="18" spans="1:18" ht="14.45" customHeight="1">
      <c r="B18" s="942" t="s">
        <v>843</v>
      </c>
      <c r="C18" s="943">
        <f>SUM(C9:C17)</f>
        <v>0</v>
      </c>
      <c r="D18" s="943">
        <f t="shared" ref="D18:E18" si="0">SUM(D9:D17)</f>
        <v>0</v>
      </c>
      <c r="E18" s="943">
        <f t="shared" si="0"/>
        <v>0</v>
      </c>
      <c r="F18" s="921"/>
      <c r="G18" s="921"/>
      <c r="H18" s="921"/>
      <c r="I18" s="921"/>
      <c r="J18" s="921"/>
      <c r="K18" s="921"/>
      <c r="R18" s="977">
        <f>DATE(YEAR(R20),MONTH(R20)-1,1)</f>
        <v>44562</v>
      </c>
    </row>
    <row r="19" spans="1:18" ht="14.45" hidden="1" customHeight="1">
      <c r="B19" s="921"/>
      <c r="C19" s="923"/>
      <c r="D19" s="923"/>
      <c r="E19" s="923"/>
      <c r="F19" s="921"/>
      <c r="G19" s="921"/>
      <c r="R19" s="1442" t="s">
        <v>949</v>
      </c>
    </row>
    <row r="20" spans="1:18" ht="14.45" customHeight="1">
      <c r="B20" s="921"/>
      <c r="C20" s="923"/>
      <c r="D20" s="923"/>
      <c r="E20" s="923"/>
      <c r="F20" s="921"/>
      <c r="G20" s="921"/>
      <c r="R20" s="977">
        <f>DATE(YEAR(R22),MONTH(R22)-1,1)</f>
        <v>44593</v>
      </c>
    </row>
    <row r="21" spans="1:18" s="931" customFormat="1" ht="14.45" customHeight="1">
      <c r="A21" s="928"/>
      <c r="B21" s="929"/>
      <c r="C21" s="930"/>
      <c r="D21" s="930"/>
      <c r="E21" s="930"/>
      <c r="F21" s="929"/>
      <c r="G21" s="929"/>
      <c r="R21" s="1442" t="s">
        <v>949</v>
      </c>
    </row>
    <row r="22" spans="1:18" ht="14.45" customHeight="1">
      <c r="B22" s="932" t="s">
        <v>1407</v>
      </c>
      <c r="C22" s="923"/>
      <c r="D22" s="923"/>
      <c r="E22" s="923"/>
      <c r="F22" s="921"/>
      <c r="G22" s="921"/>
      <c r="R22" s="977">
        <f>DATE(YEAR(R24),MONTH(R24)-1,1)</f>
        <v>44621</v>
      </c>
    </row>
    <row r="23" spans="1:18" ht="42" customHeight="1">
      <c r="B23" s="1451" t="s">
        <v>852</v>
      </c>
      <c r="C23" s="1451" t="s">
        <v>1408</v>
      </c>
      <c r="D23" s="1451" t="s">
        <v>1409</v>
      </c>
      <c r="E23" s="1451" t="s">
        <v>1410</v>
      </c>
      <c r="F23" s="1451" t="s">
        <v>1411</v>
      </c>
      <c r="G23" s="1451" t="s">
        <v>1412</v>
      </c>
      <c r="R23" s="1442" t="s">
        <v>949</v>
      </c>
    </row>
    <row r="24" spans="1:18" ht="14.45" customHeight="1">
      <c r="B24" s="1452" t="s">
        <v>1396</v>
      </c>
      <c r="C24" s="1453">
        <f>BD!AM7</f>
        <v>0</v>
      </c>
      <c r="D24" s="944"/>
      <c r="E24" s="1454">
        <f t="shared" ref="E24:E32" si="1">D24-C24</f>
        <v>0</v>
      </c>
      <c r="F24" s="1455"/>
      <c r="G24" s="1455"/>
      <c r="H24" s="924"/>
      <c r="I24" s="949"/>
      <c r="J24" s="949"/>
      <c r="K24" s="979"/>
      <c r="R24" s="977">
        <f>DATE(YEAR(R26),MONTH(R26)-1,1)</f>
        <v>44652</v>
      </c>
    </row>
    <row r="25" spans="1:18" ht="14.45" customHeight="1">
      <c r="B25" s="945" t="s">
        <v>41</v>
      </c>
      <c r="C25" s="946">
        <f>BD!AM8</f>
        <v>0</v>
      </c>
      <c r="D25" s="947"/>
      <c r="E25" s="948">
        <f t="shared" si="1"/>
        <v>0</v>
      </c>
      <c r="F25" s="949">
        <f ca="1">M66</f>
        <v>0</v>
      </c>
      <c r="G25" s="980" t="e">
        <f ca="1">(D25+D39)/$D$33*Indexador!$X$80-M67</f>
        <v>#DIV/0!</v>
      </c>
      <c r="H25" s="924"/>
      <c r="I25" s="949"/>
      <c r="J25" s="949"/>
      <c r="K25" s="936"/>
      <c r="R25" s="1442" t="s">
        <v>949</v>
      </c>
    </row>
    <row r="26" spans="1:18" ht="14.45" customHeight="1">
      <c r="B26" s="945" t="s">
        <v>1399</v>
      </c>
      <c r="C26" s="946">
        <f>BD!AM14</f>
        <v>0</v>
      </c>
      <c r="D26" s="947"/>
      <c r="E26" s="948">
        <f t="shared" si="1"/>
        <v>0</v>
      </c>
      <c r="F26" s="949">
        <f ca="1">X66</f>
        <v>0</v>
      </c>
      <c r="G26" s="980" t="e">
        <f ca="1">(D26+D40)/$D$33*Indexador!$X$80-X67</f>
        <v>#DIV/0!</v>
      </c>
      <c r="H26" s="924"/>
      <c r="I26" s="949"/>
      <c r="J26" s="949"/>
      <c r="K26" s="936"/>
      <c r="R26" s="977">
        <f>DATE(YEAR(R28),MONTH(R28)-1,1)</f>
        <v>44682</v>
      </c>
    </row>
    <row r="27" spans="1:18" ht="14.45" customHeight="1">
      <c r="B27" s="945" t="s">
        <v>704</v>
      </c>
      <c r="C27" s="946">
        <f>BD!AM6</f>
        <v>0</v>
      </c>
      <c r="D27" s="947"/>
      <c r="E27" s="950">
        <f t="shared" si="1"/>
        <v>0</v>
      </c>
      <c r="F27" s="951">
        <f ca="1">L66</f>
        <v>0</v>
      </c>
      <c r="G27" s="981" t="e">
        <f ca="1">D27/$D$33*Indexador!$X$80-L67</f>
        <v>#DIV/0!</v>
      </c>
      <c r="H27" s="924"/>
      <c r="I27" s="951"/>
      <c r="J27" s="951"/>
      <c r="K27" s="936"/>
      <c r="R27" s="1442" t="s">
        <v>949</v>
      </c>
    </row>
    <row r="28" spans="1:18" ht="14.45" customHeight="1">
      <c r="B28" s="945" t="s">
        <v>1402</v>
      </c>
      <c r="C28" s="946">
        <f>BD!AM13</f>
        <v>0</v>
      </c>
      <c r="D28" s="947"/>
      <c r="E28" s="950">
        <f t="shared" si="1"/>
        <v>0</v>
      </c>
      <c r="F28" s="951">
        <f ca="1">K66</f>
        <v>0</v>
      </c>
      <c r="G28" s="981" t="e">
        <f ca="1">(IF(C42=0,D28,C42)+D42)/$D$33*Indexador!$X$80-K67</f>
        <v>#DIV/0!</v>
      </c>
      <c r="H28" s="924"/>
      <c r="I28" s="951"/>
      <c r="J28" s="951"/>
      <c r="K28" s="936"/>
      <c r="R28" s="977">
        <f>B65</f>
        <v>44713</v>
      </c>
    </row>
    <row r="29" spans="1:18" ht="14.45" customHeight="1">
      <c r="B29" s="945" t="s">
        <v>126</v>
      </c>
      <c r="C29" s="946">
        <f>BD!AM9</f>
        <v>0</v>
      </c>
      <c r="D29" s="947"/>
      <c r="E29" s="950">
        <f t="shared" si="1"/>
        <v>0</v>
      </c>
      <c r="F29" s="951">
        <f ca="1">N66</f>
        <v>0</v>
      </c>
      <c r="G29" s="981" t="e">
        <f ca="1">D29/$D$33*Indexador!$X$80-N67</f>
        <v>#DIV/0!</v>
      </c>
      <c r="H29" s="924"/>
      <c r="I29" s="951"/>
      <c r="J29" s="951"/>
      <c r="K29" s="936"/>
    </row>
    <row r="30" spans="1:18" ht="14.45" customHeight="1">
      <c r="B30" s="945" t="s">
        <v>1405</v>
      </c>
      <c r="C30" s="946">
        <f>BD!AM12</f>
        <v>0</v>
      </c>
      <c r="D30" s="947"/>
      <c r="E30" s="950">
        <f t="shared" si="1"/>
        <v>0</v>
      </c>
      <c r="F30" s="951">
        <f ca="1">O66</f>
        <v>0</v>
      </c>
      <c r="G30" s="981" t="e">
        <f ca="1">D30/$D$33*Indexador!$X$80-O67</f>
        <v>#DIV/0!</v>
      </c>
      <c r="H30" s="921"/>
      <c r="I30" s="951"/>
      <c r="J30" s="951"/>
      <c r="K30" s="936"/>
    </row>
    <row r="31" spans="1:18" ht="14.45" customHeight="1">
      <c r="B31" s="945" t="s">
        <v>122</v>
      </c>
      <c r="C31" s="946">
        <f>BD!AM11</f>
        <v>0</v>
      </c>
      <c r="D31" s="947"/>
      <c r="E31" s="950">
        <f t="shared" si="1"/>
        <v>0</v>
      </c>
      <c r="F31" s="951">
        <f ca="1">Q66</f>
        <v>0</v>
      </c>
      <c r="G31" s="981" t="e">
        <f ca="1">D31/$D$33*Indexador!$X$80-Q67</f>
        <v>#DIV/0!</v>
      </c>
      <c r="I31" s="951"/>
      <c r="J31" s="951"/>
      <c r="K31" s="921"/>
    </row>
    <row r="32" spans="1:18" ht="14.45" customHeight="1">
      <c r="B32" s="952" t="s">
        <v>46</v>
      </c>
      <c r="C32" s="953">
        <f>BD!AM10</f>
        <v>0</v>
      </c>
      <c r="D32" s="947"/>
      <c r="E32" s="954">
        <f t="shared" si="1"/>
        <v>0</v>
      </c>
      <c r="F32" s="955">
        <f ca="1">P66</f>
        <v>0</v>
      </c>
      <c r="G32" s="982" t="e">
        <f ca="1">IF(C46=0,D32,C46)/$D$33*Indexador!$X$80-P67</f>
        <v>#DIV/0!</v>
      </c>
      <c r="I32" s="951"/>
      <c r="J32" s="951"/>
      <c r="K32" s="921"/>
    </row>
    <row r="33" spans="2:11" ht="14.45" customHeight="1">
      <c r="B33" s="942" t="s">
        <v>843</v>
      </c>
      <c r="C33" s="956">
        <f>SUM(C24:C32)</f>
        <v>0</v>
      </c>
      <c r="D33" s="1456">
        <f>SUM(D24:D32)</f>
        <v>0</v>
      </c>
      <c r="E33" s="956">
        <f>SUM(E24:E32)</f>
        <v>0</v>
      </c>
      <c r="F33" s="957">
        <f ca="1">SUM(F24:F32)</f>
        <v>0</v>
      </c>
      <c r="G33" s="957" t="e">
        <f ca="1">SUM(G24:G32)</f>
        <v>#DIV/0!</v>
      </c>
      <c r="I33" s="978"/>
      <c r="J33" s="978"/>
      <c r="K33" s="921"/>
    </row>
    <row r="34" spans="2:11" ht="14.45" customHeight="1">
      <c r="B34" s="921"/>
      <c r="C34" s="958"/>
      <c r="D34" s="923"/>
      <c r="E34" s="923"/>
      <c r="F34" s="921"/>
      <c r="G34" s="921"/>
      <c r="K34" s="921"/>
    </row>
    <row r="35" spans="2:11" ht="14.45" customHeight="1">
      <c r="B35" s="921"/>
      <c r="C35" s="923"/>
      <c r="D35" s="923"/>
      <c r="E35" s="923"/>
      <c r="F35" s="448"/>
      <c r="G35" s="921"/>
      <c r="K35" s="921"/>
    </row>
    <row r="36" spans="2:11" ht="14.45" customHeight="1">
      <c r="B36" s="932" t="s">
        <v>1413</v>
      </c>
      <c r="C36" s="958"/>
      <c r="D36" s="923"/>
      <c r="E36" s="923"/>
      <c r="F36" s="921"/>
      <c r="G36" s="959"/>
      <c r="K36" s="921"/>
    </row>
    <row r="37" spans="2:11" ht="43.5" customHeight="1">
      <c r="B37" s="1457" t="s">
        <v>852</v>
      </c>
      <c r="C37" s="1457" t="s">
        <v>1414</v>
      </c>
      <c r="D37" s="1457" t="s">
        <v>1415</v>
      </c>
      <c r="E37" s="960"/>
      <c r="F37" s="448"/>
      <c r="G37" s="921"/>
      <c r="H37" s="921"/>
      <c r="I37" s="921"/>
      <c r="J37" s="921"/>
      <c r="K37" s="921"/>
    </row>
    <row r="38" spans="2:11" ht="14.45" customHeight="1">
      <c r="B38" s="1443" t="s">
        <v>1396</v>
      </c>
      <c r="C38" s="1458"/>
      <c r="D38" s="961"/>
      <c r="E38" s="960"/>
      <c r="F38" s="448"/>
      <c r="G38" s="921"/>
      <c r="H38" s="921"/>
      <c r="I38" s="921"/>
      <c r="J38" s="921"/>
      <c r="K38" s="921"/>
    </row>
    <row r="39" spans="2:11" ht="14.45" customHeight="1">
      <c r="B39" s="937" t="s">
        <v>41</v>
      </c>
      <c r="C39" s="962"/>
      <c r="D39" s="963">
        <v>0</v>
      </c>
      <c r="E39" s="960"/>
      <c r="F39" s="448"/>
      <c r="G39" s="448"/>
      <c r="H39" s="921"/>
      <c r="I39" s="921"/>
      <c r="J39" s="921"/>
      <c r="K39" s="921"/>
    </row>
    <row r="40" spans="2:11" ht="14.45" customHeight="1">
      <c r="B40" s="937" t="s">
        <v>1399</v>
      </c>
      <c r="C40" s="964"/>
      <c r="D40" s="963">
        <v>0</v>
      </c>
      <c r="E40" s="960"/>
      <c r="F40" s="448"/>
      <c r="G40" s="921"/>
      <c r="H40" s="921"/>
      <c r="I40" s="921"/>
      <c r="J40" s="921"/>
      <c r="K40" s="921"/>
    </row>
    <row r="41" spans="2:11" ht="14.45" customHeight="1">
      <c r="B41" s="937" t="s">
        <v>704</v>
      </c>
      <c r="C41" s="964"/>
      <c r="D41" s="965"/>
      <c r="E41" s="960"/>
      <c r="F41" s="448"/>
      <c r="G41" s="921"/>
      <c r="H41" s="921"/>
      <c r="I41" s="921"/>
      <c r="J41" s="921"/>
      <c r="K41" s="921"/>
    </row>
    <row r="42" spans="2:11" ht="14.45" customHeight="1">
      <c r="B42" s="937" t="s">
        <v>1402</v>
      </c>
      <c r="C42" s="966"/>
      <c r="D42" s="963">
        <v>0</v>
      </c>
      <c r="E42" s="960"/>
      <c r="F42" s="448"/>
      <c r="G42" s="921"/>
      <c r="H42" s="921"/>
      <c r="I42" s="921"/>
      <c r="J42" s="921"/>
      <c r="K42" s="921"/>
    </row>
    <row r="43" spans="2:11" ht="14.45" customHeight="1">
      <c r="B43" s="937" t="s">
        <v>126</v>
      </c>
      <c r="C43" s="967"/>
      <c r="D43" s="961"/>
      <c r="E43" s="960"/>
      <c r="F43" s="448"/>
      <c r="G43" s="921"/>
      <c r="H43" s="921"/>
      <c r="I43" s="921"/>
      <c r="J43" s="921"/>
      <c r="K43" s="921"/>
    </row>
    <row r="44" spans="2:11" ht="14.45" customHeight="1">
      <c r="B44" s="937" t="s">
        <v>1405</v>
      </c>
      <c r="C44" s="967"/>
      <c r="D44" s="961"/>
      <c r="E44" s="960"/>
      <c r="F44" s="448"/>
      <c r="G44" s="921"/>
      <c r="H44" s="921"/>
      <c r="I44" s="921"/>
      <c r="J44" s="921"/>
      <c r="K44" s="921"/>
    </row>
    <row r="45" spans="2:11" ht="14.45" customHeight="1">
      <c r="B45" s="937" t="s">
        <v>122</v>
      </c>
      <c r="C45" s="967"/>
      <c r="D45" s="961"/>
      <c r="E45" s="960"/>
      <c r="F45" s="448"/>
      <c r="G45" s="921"/>
      <c r="H45" s="921"/>
      <c r="I45" s="921"/>
      <c r="J45" s="921"/>
      <c r="K45" s="921"/>
    </row>
    <row r="46" spans="2:11" ht="14.45" customHeight="1">
      <c r="B46" s="952" t="s">
        <v>46</v>
      </c>
      <c r="C46" s="968"/>
      <c r="D46" s="969"/>
      <c r="E46" s="960"/>
      <c r="F46" s="448"/>
      <c r="G46" s="921"/>
      <c r="H46" s="921"/>
      <c r="I46" s="921"/>
      <c r="J46" s="921"/>
      <c r="K46" s="921"/>
    </row>
    <row r="47" spans="2:11" ht="14.45" customHeight="1">
      <c r="B47" s="448"/>
      <c r="C47" s="960"/>
      <c r="D47" s="960"/>
      <c r="E47" s="960"/>
      <c r="F47" s="448"/>
      <c r="G47" s="921"/>
      <c r="H47" s="921"/>
      <c r="I47" s="921"/>
      <c r="J47" s="921"/>
      <c r="K47" s="921"/>
    </row>
    <row r="48" spans="2:11" ht="14.45" customHeight="1">
      <c r="B48" s="65"/>
      <c r="C48" s="970"/>
      <c r="D48" s="970"/>
      <c r="E48" s="970"/>
      <c r="F48" s="65"/>
    </row>
    <row r="49" spans="2:28" ht="14.45" customHeight="1">
      <c r="B49" s="65"/>
      <c r="C49" s="970"/>
      <c r="D49" s="970"/>
      <c r="E49" s="970"/>
      <c r="F49" s="65"/>
    </row>
    <row r="50" spans="2:28" ht="14.45" customHeight="1"/>
    <row r="52" spans="2:28" ht="15" customHeight="1">
      <c r="B52" s="905" t="s">
        <v>999</v>
      </c>
      <c r="C52" s="905"/>
      <c r="D52" s="905"/>
      <c r="E52" s="905"/>
      <c r="F52" s="905"/>
      <c r="G52" s="905"/>
      <c r="H52" s="905"/>
      <c r="I52" s="905"/>
      <c r="J52" s="905"/>
      <c r="K52" s="971"/>
      <c r="L52" s="971"/>
      <c r="M52" s="971"/>
      <c r="N52" s="971"/>
      <c r="O52" s="971"/>
      <c r="P52" s="971"/>
      <c r="Q52" s="971"/>
      <c r="R52" s="971"/>
      <c r="S52" s="971"/>
      <c r="T52" s="971"/>
      <c r="U52" s="971"/>
      <c r="V52" s="971"/>
      <c r="W52" s="971"/>
      <c r="X52" s="971"/>
      <c r="Y52" s="971"/>
      <c r="Z52" s="971"/>
      <c r="AA52" s="971"/>
      <c r="AB52" s="971"/>
    </row>
    <row r="53" spans="2:28" ht="15" customHeight="1">
      <c r="B53" s="1459" t="s">
        <v>1000</v>
      </c>
      <c r="C53" s="1459"/>
      <c r="D53" s="972" t="s">
        <v>963</v>
      </c>
      <c r="E53" s="972" t="s">
        <v>49</v>
      </c>
      <c r="F53" s="972" t="s">
        <v>966</v>
      </c>
      <c r="G53" s="972" t="s">
        <v>47</v>
      </c>
      <c r="H53" s="972" t="s">
        <v>41</v>
      </c>
      <c r="I53" s="972" t="s">
        <v>40</v>
      </c>
      <c r="J53" s="972" t="s">
        <v>126</v>
      </c>
      <c r="K53" s="972" t="s">
        <v>1058</v>
      </c>
      <c r="L53" s="972" t="s">
        <v>1059</v>
      </c>
      <c r="M53" s="972" t="s">
        <v>1052</v>
      </c>
      <c r="N53" s="972" t="s">
        <v>1056</v>
      </c>
      <c r="O53" s="972" t="s">
        <v>1054</v>
      </c>
      <c r="P53" s="972" t="s">
        <v>1055</v>
      </c>
      <c r="Q53" s="972" t="s">
        <v>1053</v>
      </c>
      <c r="R53" s="1460" t="s">
        <v>1416</v>
      </c>
      <c r="S53" s="972" t="s">
        <v>1072</v>
      </c>
      <c r="T53" s="972" t="s">
        <v>1073</v>
      </c>
      <c r="U53" s="972" t="s">
        <v>1074</v>
      </c>
      <c r="V53" s="972" t="s">
        <v>1071</v>
      </c>
      <c r="W53" s="972" t="s">
        <v>1075</v>
      </c>
      <c r="X53" s="972" t="s">
        <v>1057</v>
      </c>
      <c r="Y53" s="972" t="s">
        <v>1051</v>
      </c>
      <c r="Z53" s="972" t="s">
        <v>1028</v>
      </c>
      <c r="AA53" s="972" t="s">
        <v>1417</v>
      </c>
      <c r="AB53" s="972" t="s">
        <v>1087</v>
      </c>
    </row>
    <row r="54" spans="2:28" ht="15" customHeight="1">
      <c r="B54" s="973">
        <f t="shared" ref="B54:B64" si="2">DATE(YEAR(B55),MONTH(B55)-1,1)</f>
        <v>44378</v>
      </c>
      <c r="C54" s="974"/>
      <c r="D54" s="1461" cm="1">
        <f t="array" aca="1" ref="D54" ca="1">DSUM(MercadoBase1,D$53,INDIRECT("r"&amp;5+2*(ROW()-54)&amp;":r"&amp;6+2*(ROW()-54)))</f>
        <v>0</v>
      </c>
      <c r="E54" s="1461" cm="1">
        <f t="array" aca="1" ref="E54" ca="1">DSUM(MercadoBase1,E$53,INDIRECT("r"&amp;5+2*(ROW()-54)&amp;":r"&amp;6+2*(ROW()-54)))</f>
        <v>0</v>
      </c>
      <c r="F54" s="1461" cm="1">
        <f t="array" aca="1" ref="F54" ca="1">DSUM(MercadoBase1,F$53,INDIRECT("r"&amp;5+2*(ROW()-54)&amp;":r"&amp;6+2*(ROW()-54)))</f>
        <v>0</v>
      </c>
      <c r="G54" s="1461" cm="1">
        <f t="array" aca="1" ref="G54" ca="1">DSUM(MercadoBase1,G$53,INDIRECT("r"&amp;5+2*(ROW()-54)&amp;":r"&amp;6+2*(ROW()-54)))</f>
        <v>49042.457350704601</v>
      </c>
      <c r="H54" s="1461" cm="1">
        <f t="array" aca="1" ref="H54" ca="1">DSUM(MercadoBase1,H$53,INDIRECT("r"&amp;5+2*(ROW()-54)&amp;":r"&amp;6+2*(ROW()-54)))</f>
        <v>312570.73830061615</v>
      </c>
      <c r="I54" s="1461" cm="1">
        <f t="array" aca="1" ref="I54" ca="1">DSUM(MercadoBase1,I$53,INDIRECT("r"&amp;5+2*(ROW()-54)&amp;":r"&amp;6+2*(ROW()-54)))</f>
        <v>12129.235121243417</v>
      </c>
      <c r="J54" s="1461" cm="1">
        <f t="array" aca="1" ref="J54" ca="1">DSUM(MercadoBase1,J$53,INDIRECT("r"&amp;5+2*(ROW()-54)&amp;":r"&amp;6+2*(ROW()-54)))</f>
        <v>0</v>
      </c>
      <c r="K54" s="1461" cm="1">
        <f t="array" aca="1" ref="K54" ca="1">DSUM(MercadoBase1,K$53,INDIRECT("r"&amp;5+2*(ROW()-54)&amp;":r"&amp;6+2*(ROW()-54)))</f>
        <v>0</v>
      </c>
      <c r="L54" s="1461" cm="1">
        <f t="array" aca="1" ref="L54" ca="1">DSUM(MercadoBase1,L$53,INDIRECT("r"&amp;5+2*(ROW()-54)&amp;":r"&amp;6+2*(ROW()-54)))</f>
        <v>0</v>
      </c>
      <c r="M54" s="1461" cm="1">
        <f t="array" aca="1" ref="M54" ca="1">DSUM(MercadoBase1,M$53,INDIRECT("r"&amp;5+2*(ROW()-54)&amp;":r"&amp;6+2*(ROW()-54)))</f>
        <v>0</v>
      </c>
      <c r="N54" s="1461" cm="1">
        <f t="array" aca="1" ref="N54" ca="1">DSUM(MercadoBase1,N$53,INDIRECT("r"&amp;5+2*(ROW()-54)&amp;":r"&amp;6+2*(ROW()-54)))</f>
        <v>0</v>
      </c>
      <c r="O54" s="1461" cm="1">
        <f t="array" aca="1" ref="O54" ca="1">DSUM(MercadoBase1,O$53,INDIRECT("r"&amp;5+2*(ROW()-54)&amp;":r"&amp;6+2*(ROW()-54)))</f>
        <v>0</v>
      </c>
      <c r="P54" s="1461" cm="1">
        <f t="array" aca="1" ref="P54" ca="1">DSUM(MercadoBase1,P$53,INDIRECT("r"&amp;5+2*(ROW()-54)&amp;":r"&amp;6+2*(ROW()-54)))</f>
        <v>0</v>
      </c>
      <c r="Q54" s="1462" cm="1">
        <f t="array" aca="1" ref="Q54" ca="1">DSUM(MercadoBase1,Q$53,INDIRECT("r"&amp;5+2*(ROW()-54)&amp;":r"&amp;6+2*(ROW()-54)))</f>
        <v>0</v>
      </c>
      <c r="R54" s="1463">
        <f>VLOOKUP(CAPA!$C$17,Índices!B:F,5,FALSE)/VLOOKUP(DATE(YEAR(B54),MONTH(B54),1),Índices!B:F,5,FALSE)</f>
        <v>1.0830593980554473</v>
      </c>
      <c r="S54" s="1464" cm="1">
        <f t="array" aca="1" ref="S54" ca="1">DSUM(MercadoBase1,S$53,INDIRECT("r"&amp;5+2*(ROW()-54)&amp;":r"&amp;6+2*(ROW()-54)))</f>
        <v>0</v>
      </c>
      <c r="T54" s="1461" cm="1">
        <f t="array" aca="1" ref="T54" ca="1">DSUM(MercadoBase1,T$53,INDIRECT("r"&amp;5+2*(ROW()-54)&amp;":r"&amp;6+2*(ROW()-54)))</f>
        <v>0</v>
      </c>
      <c r="U54" s="1461" cm="1">
        <f t="array" aca="1" ref="U54" ca="1">DSUM(MercadoBase1,U$53,INDIRECT("r"&amp;5+2*(ROW()-54)&amp;":r"&amp;6+2*(ROW()-54)))</f>
        <v>0</v>
      </c>
      <c r="V54" s="1461" cm="1">
        <f t="array" aca="1" ref="V54" ca="1">DSUM(MercadoBase1,V$53,INDIRECT("r"&amp;5+2*(ROW()-54)&amp;":r"&amp;6+2*(ROW()-54)))</f>
        <v>0</v>
      </c>
      <c r="W54" s="1461" cm="1">
        <f t="array" aca="1" ref="W54" ca="1">DSUM(MercadoBase1,W$53,INDIRECT("r"&amp;5+2*(ROW()-54)&amp;":r"&amp;6+2*(ROW()-54)))</f>
        <v>0</v>
      </c>
      <c r="X54" s="1461" cm="1">
        <f t="array" aca="1" ref="X54" ca="1">DSUM(MercadoBase1,X$53,INDIRECT("r"&amp;5+2*(ROW()-54)&amp;":r"&amp;6+2*(ROW()-54)))</f>
        <v>0</v>
      </c>
      <c r="Y54" s="1461" cm="1">
        <f t="array" aca="1" ref="Y54" ca="1">DSUM(MercadoBase1,Y$53,INDIRECT("r"&amp;5+2*(ROW()-54)&amp;":r"&amp;6+2*(ROW()-54)))</f>
        <v>0</v>
      </c>
      <c r="Z54" s="1461" cm="1">
        <f t="array" aca="1" ref="Z54" ca="1">DSUM(MercadoBase1,Z$53,INDIRECT("r"&amp;5+2*(ROW()-54)&amp;":r"&amp;6+2*(ROW()-54)))</f>
        <v>2699197.1092675477</v>
      </c>
      <c r="AA54" s="1461" cm="1">
        <f t="array" aca="1" ref="AA54" ca="1">DSUM(MercadoBase1,AA$53,INDIRECT("r"&amp;5+2*(ROW()-54)&amp;":r"&amp;6+2*(ROW()-54)))</f>
        <v>0</v>
      </c>
      <c r="AB54" s="1461" cm="1">
        <f t="array" aca="1" ref="AB54" ca="1">DSUM(MercadoBase1,AB$53,INDIRECT("r"&amp;5+2*(ROW()-54)&amp;":r"&amp;6+2*(ROW()-54)))</f>
        <v>0</v>
      </c>
    </row>
    <row r="55" spans="2:28" ht="15" customHeight="1">
      <c r="B55" s="973">
        <f t="shared" si="2"/>
        <v>44409</v>
      </c>
      <c r="C55" s="974"/>
      <c r="D55" s="975" cm="1">
        <f t="array" aca="1" ref="D55" ca="1">DSUM(MercadoBase1,D$53,INDIRECT("r"&amp;5+2*(ROW()-54)&amp;":r"&amp;6+2*(ROW()-54)))</f>
        <v>0</v>
      </c>
      <c r="E55" s="975" cm="1">
        <f t="array" aca="1" ref="E55" ca="1">DSUM(MercadoBase1,E$53,INDIRECT("r"&amp;5+2*(ROW()-54)&amp;":r"&amp;6+2*(ROW()-54)))</f>
        <v>0</v>
      </c>
      <c r="F55" s="975" cm="1">
        <f t="array" aca="1" ref="F55" ca="1">DSUM(MercadoBase1,F$53,INDIRECT("r"&amp;5+2*(ROW()-54)&amp;":r"&amp;6+2*(ROW()-54)))</f>
        <v>0</v>
      </c>
      <c r="G55" s="975" cm="1">
        <f t="array" aca="1" ref="G55" ca="1">DSUM(MercadoBase1,G$53,INDIRECT("r"&amp;5+2*(ROW()-54)&amp;":r"&amp;6+2*(ROW()-54)))</f>
        <v>52524.98478663995</v>
      </c>
      <c r="H55" s="975" cm="1">
        <f t="array" aca="1" ref="H55" ca="1">DSUM(MercadoBase1,H$53,INDIRECT("r"&amp;5+2*(ROW()-54)&amp;":r"&amp;6+2*(ROW()-54)))</f>
        <v>332967.28554411163</v>
      </c>
      <c r="I55" s="975" cm="1">
        <f t="array" aca="1" ref="I55" ca="1">DSUM(MercadoBase1,I$53,INDIRECT("r"&amp;5+2*(ROW()-54)&amp;":r"&amp;6+2*(ROW()-54)))</f>
        <v>13006.137621600648</v>
      </c>
      <c r="J55" s="975" cm="1">
        <f t="array" aca="1" ref="J55" ca="1">DSUM(MercadoBase1,J$53,INDIRECT("r"&amp;5+2*(ROW()-54)&amp;":r"&amp;6+2*(ROW()-54)))</f>
        <v>0</v>
      </c>
      <c r="K55" s="975" cm="1">
        <f t="array" aca="1" ref="K55" ca="1">DSUM(MercadoBase1,K$53,INDIRECT("r"&amp;5+2*(ROW()-54)&amp;":r"&amp;6+2*(ROW()-54)))</f>
        <v>0</v>
      </c>
      <c r="L55" s="975" cm="1">
        <f t="array" aca="1" ref="L55" ca="1">DSUM(MercadoBase1,L$53,INDIRECT("r"&amp;5+2*(ROW()-54)&amp;":r"&amp;6+2*(ROW()-54)))</f>
        <v>0</v>
      </c>
      <c r="M55" s="975" cm="1">
        <f t="array" aca="1" ref="M55" ca="1">DSUM(MercadoBase1,M$53,INDIRECT("r"&amp;5+2*(ROW()-54)&amp;":r"&amp;6+2*(ROW()-54)))</f>
        <v>0</v>
      </c>
      <c r="N55" s="975" cm="1">
        <f t="array" aca="1" ref="N55" ca="1">DSUM(MercadoBase1,N$53,INDIRECT("r"&amp;5+2*(ROW()-54)&amp;":r"&amp;6+2*(ROW()-54)))</f>
        <v>0</v>
      </c>
      <c r="O55" s="975" cm="1">
        <f t="array" aca="1" ref="O55" ca="1">DSUM(MercadoBase1,O$53,INDIRECT("r"&amp;5+2*(ROW()-54)&amp;":r"&amp;6+2*(ROW()-54)))</f>
        <v>0</v>
      </c>
      <c r="P55" s="975" cm="1">
        <f t="array" aca="1" ref="P55" ca="1">DSUM(MercadoBase1,P$53,INDIRECT("r"&amp;5+2*(ROW()-54)&amp;":r"&amp;6+2*(ROW()-54)))</f>
        <v>0</v>
      </c>
      <c r="Q55" s="983" cm="1">
        <f t="array" aca="1" ref="Q55" ca="1">DSUM(MercadoBase1,Q$53,INDIRECT("r"&amp;5+2*(ROW()-54)&amp;":r"&amp;6+2*(ROW()-54)))</f>
        <v>0</v>
      </c>
      <c r="R55" s="976">
        <f>VLOOKUP(CAPA!$C$17,Índices!B:F,5,FALSE)/VLOOKUP(DATE(YEAR(B55),MONTH(B55),1),Índices!B:F,5,FALSE)</f>
        <v>1.0784441695152505</v>
      </c>
      <c r="S55" s="985" cm="1">
        <f t="array" aca="1" ref="S55" ca="1">DSUM(MercadoBase1,S$53,INDIRECT("r"&amp;5+2*(ROW()-54)&amp;":r"&amp;6+2*(ROW()-54)))</f>
        <v>0</v>
      </c>
      <c r="T55" s="975" cm="1">
        <f t="array" aca="1" ref="T55" ca="1">DSUM(MercadoBase1,T$53,INDIRECT("r"&amp;5+2*(ROW()-54)&amp;":r"&amp;6+2*(ROW()-54)))</f>
        <v>0</v>
      </c>
      <c r="U55" s="975" cm="1">
        <f t="array" aca="1" ref="U55" ca="1">DSUM(MercadoBase1,U$53,INDIRECT("r"&amp;5+2*(ROW()-54)&amp;":r"&amp;6+2*(ROW()-54)))</f>
        <v>0</v>
      </c>
      <c r="V55" s="975" cm="1">
        <f t="array" aca="1" ref="V55" ca="1">DSUM(MercadoBase1,V$53,INDIRECT("r"&amp;5+2*(ROW()-54)&amp;":r"&amp;6+2*(ROW()-54)))</f>
        <v>0</v>
      </c>
      <c r="W55" s="975" cm="1">
        <f t="array" aca="1" ref="W55" ca="1">DSUM(MercadoBase1,W$53,INDIRECT("r"&amp;5+2*(ROW()-54)&amp;":r"&amp;6+2*(ROW()-54)))</f>
        <v>0</v>
      </c>
      <c r="X55" s="975" cm="1">
        <f t="array" aca="1" ref="X55" ca="1">DSUM(MercadoBase1,X$53,INDIRECT("r"&amp;5+2*(ROW()-54)&amp;":r"&amp;6+2*(ROW()-54)))</f>
        <v>0</v>
      </c>
      <c r="Y55" s="975" cm="1">
        <f t="array" aca="1" ref="Y55" ca="1">DSUM(MercadoBase1,Y$53,INDIRECT("r"&amp;5+2*(ROW()-54)&amp;":r"&amp;6+2*(ROW()-54)))</f>
        <v>0</v>
      </c>
      <c r="Z55" s="975" cm="1">
        <f t="array" aca="1" ref="Z55" ca="1">DSUM(MercadoBase1,Z$53,INDIRECT("r"&amp;5+2*(ROW()-54)&amp;":r"&amp;6+2*(ROW()-54)))</f>
        <v>2810733.7067171847</v>
      </c>
      <c r="AA55" s="975" cm="1">
        <f t="array" aca="1" ref="AA55" ca="1">DSUM(MercadoBase1,AA$53,INDIRECT("r"&amp;5+2*(ROW()-54)&amp;":r"&amp;6+2*(ROW()-54)))</f>
        <v>0</v>
      </c>
      <c r="AB55" s="975" cm="1">
        <f t="array" aca="1" ref="AB55" ca="1">DSUM(MercadoBase1,AB$53,INDIRECT("r"&amp;5+2*(ROW()-54)&amp;":r"&amp;6+2*(ROW()-54)))</f>
        <v>0</v>
      </c>
    </row>
    <row r="56" spans="2:28" ht="15" customHeight="1">
      <c r="B56" s="973">
        <f t="shared" si="2"/>
        <v>44440</v>
      </c>
      <c r="C56" s="974"/>
      <c r="D56" s="975" cm="1">
        <f t="array" aca="1" ref="D56" ca="1">DSUM(MercadoBase1,D$53,INDIRECT("r"&amp;5+2*(ROW()-54)&amp;":r"&amp;6+2*(ROW()-54)))</f>
        <v>0</v>
      </c>
      <c r="E56" s="975" cm="1">
        <f t="array" aca="1" ref="E56" ca="1">DSUM(MercadoBase1,E$53,INDIRECT("r"&amp;5+2*(ROW()-54)&amp;":r"&amp;6+2*(ROW()-54)))</f>
        <v>0</v>
      </c>
      <c r="F56" s="975" cm="1">
        <f t="array" aca="1" ref="F56" ca="1">DSUM(MercadoBase1,F$53,INDIRECT("r"&amp;5+2*(ROW()-54)&amp;":r"&amp;6+2*(ROW()-54)))</f>
        <v>0</v>
      </c>
      <c r="G56" s="975" cm="1">
        <f t="array" aca="1" ref="G56" ca="1">DSUM(MercadoBase1,G$53,INDIRECT("r"&amp;5+2*(ROW()-54)&amp;":r"&amp;6+2*(ROW()-54)))</f>
        <v>51694.838388658587</v>
      </c>
      <c r="H56" s="975" cm="1">
        <f t="array" aca="1" ref="H56" ca="1">DSUM(MercadoBase1,H$53,INDIRECT("r"&amp;5+2*(ROW()-54)&amp;":r"&amp;6+2*(ROW()-54)))</f>
        <v>328537.73544127762</v>
      </c>
      <c r="I56" s="975" cm="1">
        <f t="array" aca="1" ref="I56" ca="1">DSUM(MercadoBase1,I$53,INDIRECT("r"&amp;5+2*(ROW()-54)&amp;":r"&amp;6+2*(ROW()-54)))</f>
        <v>12800.889389179789</v>
      </c>
      <c r="J56" s="975" cm="1">
        <f t="array" aca="1" ref="J56" ca="1">DSUM(MercadoBase1,J$53,INDIRECT("r"&amp;5+2*(ROW()-54)&amp;":r"&amp;6+2*(ROW()-54)))</f>
        <v>0</v>
      </c>
      <c r="K56" s="975" cm="1">
        <f t="array" aca="1" ref="K56" ca="1">DSUM(MercadoBase1,K$53,INDIRECT("r"&amp;5+2*(ROW()-54)&amp;":r"&amp;6+2*(ROW()-54)))</f>
        <v>0</v>
      </c>
      <c r="L56" s="975" cm="1">
        <f t="array" aca="1" ref="L56" ca="1">DSUM(MercadoBase1,L$53,INDIRECT("r"&amp;5+2*(ROW()-54)&amp;":r"&amp;6+2*(ROW()-54)))</f>
        <v>0</v>
      </c>
      <c r="M56" s="975" cm="1">
        <f t="array" aca="1" ref="M56" ca="1">DSUM(MercadoBase1,M$53,INDIRECT("r"&amp;5+2*(ROW()-54)&amp;":r"&amp;6+2*(ROW()-54)))</f>
        <v>0</v>
      </c>
      <c r="N56" s="975" cm="1">
        <f t="array" aca="1" ref="N56" ca="1">DSUM(MercadoBase1,N$53,INDIRECT("r"&amp;5+2*(ROW()-54)&amp;":r"&amp;6+2*(ROW()-54)))</f>
        <v>0</v>
      </c>
      <c r="O56" s="975" cm="1">
        <f t="array" aca="1" ref="O56" ca="1">DSUM(MercadoBase1,O$53,INDIRECT("r"&amp;5+2*(ROW()-54)&amp;":r"&amp;6+2*(ROW()-54)))</f>
        <v>0</v>
      </c>
      <c r="P56" s="975" cm="1">
        <f t="array" aca="1" ref="P56" ca="1">DSUM(MercadoBase1,P$53,INDIRECT("r"&amp;5+2*(ROW()-54)&amp;":r"&amp;6+2*(ROW()-54)))</f>
        <v>0</v>
      </c>
      <c r="Q56" s="983" cm="1">
        <f t="array" aca="1" ref="Q56" ca="1">DSUM(MercadoBase1,Q$53,INDIRECT("r"&amp;5+2*(ROW()-54)&amp;":r"&amp;6+2*(ROW()-54)))</f>
        <v>0</v>
      </c>
      <c r="R56" s="976">
        <f>VLOOKUP(CAPA!$C$17,Índices!B:F,5,FALSE)/VLOOKUP(DATE(YEAR(B56),MONTH(B56),1),Índices!B:F,5,FALSE)</f>
        <v>1.073698429626083</v>
      </c>
      <c r="S56" s="985" cm="1">
        <f t="array" aca="1" ref="S56" ca="1">DSUM(MercadoBase1,S$53,INDIRECT("r"&amp;5+2*(ROW()-54)&amp;":r"&amp;6+2*(ROW()-54)))</f>
        <v>0</v>
      </c>
      <c r="T56" s="975" cm="1">
        <f t="array" aca="1" ref="T56" ca="1">DSUM(MercadoBase1,T$53,INDIRECT("r"&amp;5+2*(ROW()-54)&amp;":r"&amp;6+2*(ROW()-54)))</f>
        <v>0</v>
      </c>
      <c r="U56" s="975" cm="1">
        <f t="array" aca="1" ref="U56" ca="1">DSUM(MercadoBase1,U$53,INDIRECT("r"&amp;5+2*(ROW()-54)&amp;":r"&amp;6+2*(ROW()-54)))</f>
        <v>0</v>
      </c>
      <c r="V56" s="975" cm="1">
        <f t="array" aca="1" ref="V56" ca="1">DSUM(MercadoBase1,V$53,INDIRECT("r"&amp;5+2*(ROW()-54)&amp;":r"&amp;6+2*(ROW()-54)))</f>
        <v>0</v>
      </c>
      <c r="W56" s="975" cm="1">
        <f t="array" aca="1" ref="W56" ca="1">DSUM(MercadoBase1,W$53,INDIRECT("r"&amp;5+2*(ROW()-54)&amp;":r"&amp;6+2*(ROW()-54)))</f>
        <v>0</v>
      </c>
      <c r="X56" s="975" cm="1">
        <f t="array" aca="1" ref="X56" ca="1">DSUM(MercadoBase1,X$53,INDIRECT("r"&amp;5+2*(ROW()-54)&amp;":r"&amp;6+2*(ROW()-54)))</f>
        <v>0</v>
      </c>
      <c r="Y56" s="975" cm="1">
        <f t="array" aca="1" ref="Y56" ca="1">DSUM(MercadoBase1,Y$53,INDIRECT("r"&amp;5+2*(ROW()-54)&amp;":r"&amp;6+2*(ROW()-54)))</f>
        <v>0</v>
      </c>
      <c r="Z56" s="975" cm="1">
        <f t="array" aca="1" ref="Z56" ca="1">DSUM(MercadoBase1,Z$53,INDIRECT("r"&amp;5+2*(ROW()-54)&amp;":r"&amp;6+2*(ROW()-54)))</f>
        <v>2789089.1946336664</v>
      </c>
      <c r="AA56" s="975" cm="1">
        <f t="array" aca="1" ref="AA56" ca="1">DSUM(MercadoBase1,AA$53,INDIRECT("r"&amp;5+2*(ROW()-54)&amp;":r"&amp;6+2*(ROW()-54)))</f>
        <v>0</v>
      </c>
      <c r="AB56" s="975" cm="1">
        <f t="array" aca="1" ref="AB56" ca="1">DSUM(MercadoBase1,AB$53,INDIRECT("r"&amp;5+2*(ROW()-54)&amp;":r"&amp;6+2*(ROW()-54)))</f>
        <v>0</v>
      </c>
    </row>
    <row r="57" spans="2:28" ht="15" customHeight="1">
      <c r="B57" s="973">
        <f t="shared" si="2"/>
        <v>44470</v>
      </c>
      <c r="C57" s="974"/>
      <c r="D57" s="975" cm="1">
        <f t="array" aca="1" ref="D57" ca="1">DSUM(MercadoBase1,D$53,INDIRECT("r"&amp;5+2*(ROW()-54)&amp;":r"&amp;6+2*(ROW()-54)))</f>
        <v>0</v>
      </c>
      <c r="E57" s="975" cm="1">
        <f t="array" aca="1" ref="E57" ca="1">DSUM(MercadoBase1,E$53,INDIRECT("r"&amp;5+2*(ROW()-54)&amp;":r"&amp;6+2*(ROW()-54)))</f>
        <v>0</v>
      </c>
      <c r="F57" s="975" cm="1">
        <f t="array" aca="1" ref="F57" ca="1">DSUM(MercadoBase1,F$53,INDIRECT("r"&amp;5+2*(ROW()-54)&amp;":r"&amp;6+2*(ROW()-54)))</f>
        <v>0</v>
      </c>
      <c r="G57" s="975" cm="1">
        <f t="array" aca="1" ref="G57" ca="1">DSUM(MercadoBase1,G$53,INDIRECT("r"&amp;5+2*(ROW()-54)&amp;":r"&amp;6+2*(ROW()-54)))</f>
        <v>52902.511106947888</v>
      </c>
      <c r="H57" s="975" cm="1">
        <f t="array" aca="1" ref="H57" ca="1">DSUM(MercadoBase1,H$53,INDIRECT("r"&amp;5+2*(ROW()-54)&amp;":r"&amp;6+2*(ROW()-54)))</f>
        <v>335860.37354690488</v>
      </c>
      <c r="I57" s="975" cm="1">
        <f t="array" aca="1" ref="I57" ca="1">DSUM(MercadoBase1,I$53,INDIRECT("r"&amp;5+2*(ROW()-54)&amp;":r"&amp;6+2*(ROW()-54)))</f>
        <v>13100.739414218542</v>
      </c>
      <c r="J57" s="975" cm="1">
        <f t="array" aca="1" ref="J57" ca="1">DSUM(MercadoBase1,J$53,INDIRECT("r"&amp;5+2*(ROW()-54)&amp;":r"&amp;6+2*(ROW()-54)))</f>
        <v>0</v>
      </c>
      <c r="K57" s="975" cm="1">
        <f t="array" aca="1" ref="K57" ca="1">DSUM(MercadoBase1,K$53,INDIRECT("r"&amp;5+2*(ROW()-54)&amp;":r"&amp;6+2*(ROW()-54)))</f>
        <v>0</v>
      </c>
      <c r="L57" s="975" cm="1">
        <f t="array" aca="1" ref="L57" ca="1">DSUM(MercadoBase1,L$53,INDIRECT("r"&amp;5+2*(ROW()-54)&amp;":r"&amp;6+2*(ROW()-54)))</f>
        <v>0</v>
      </c>
      <c r="M57" s="975" cm="1">
        <f t="array" aca="1" ref="M57" ca="1">DSUM(MercadoBase1,M$53,INDIRECT("r"&amp;5+2*(ROW()-54)&amp;":r"&amp;6+2*(ROW()-54)))</f>
        <v>0</v>
      </c>
      <c r="N57" s="975" cm="1">
        <f t="array" aca="1" ref="N57" ca="1">DSUM(MercadoBase1,N$53,INDIRECT("r"&amp;5+2*(ROW()-54)&amp;":r"&amp;6+2*(ROW()-54)))</f>
        <v>0</v>
      </c>
      <c r="O57" s="975" cm="1">
        <f t="array" aca="1" ref="O57" ca="1">DSUM(MercadoBase1,O$53,INDIRECT("r"&amp;5+2*(ROW()-54)&amp;":r"&amp;6+2*(ROW()-54)))</f>
        <v>0</v>
      </c>
      <c r="P57" s="975" cm="1">
        <f t="array" aca="1" ref="P57" ca="1">DSUM(MercadoBase1,P$53,INDIRECT("r"&amp;5+2*(ROW()-54)&amp;":r"&amp;6+2*(ROW()-54)))</f>
        <v>0</v>
      </c>
      <c r="Q57" s="983" cm="1">
        <f t="array" aca="1" ref="Q57" ca="1">DSUM(MercadoBase1,Q$53,INDIRECT("r"&amp;5+2*(ROW()-54)&amp;":r"&amp;6+2*(ROW()-54)))</f>
        <v>0</v>
      </c>
      <c r="R57" s="976">
        <f>VLOOKUP(CAPA!$C$17,Índices!B:F,5,FALSE)/VLOOKUP(DATE(YEAR(B57),MONTH(B57),1),Índices!B:F,5,FALSE)</f>
        <v>1.0685055343738492</v>
      </c>
      <c r="S57" s="985" cm="1">
        <f t="array" aca="1" ref="S57" ca="1">DSUM(MercadoBase1,S$53,INDIRECT("r"&amp;5+2*(ROW()-54)&amp;":r"&amp;6+2*(ROW()-54)))</f>
        <v>0</v>
      </c>
      <c r="T57" s="975" cm="1">
        <f t="array" aca="1" ref="T57" ca="1">DSUM(MercadoBase1,T$53,INDIRECT("r"&amp;5+2*(ROW()-54)&amp;":r"&amp;6+2*(ROW()-54)))</f>
        <v>0</v>
      </c>
      <c r="U57" s="975" cm="1">
        <f t="array" aca="1" ref="U57" ca="1">DSUM(MercadoBase1,U$53,INDIRECT("r"&amp;5+2*(ROW()-54)&amp;":r"&amp;6+2*(ROW()-54)))</f>
        <v>0</v>
      </c>
      <c r="V57" s="975" cm="1">
        <f t="array" aca="1" ref="V57" ca="1">DSUM(MercadoBase1,V$53,INDIRECT("r"&amp;5+2*(ROW()-54)&amp;":r"&amp;6+2*(ROW()-54)))</f>
        <v>0</v>
      </c>
      <c r="W57" s="975" cm="1">
        <f t="array" aca="1" ref="W57" ca="1">DSUM(MercadoBase1,W$53,INDIRECT("r"&amp;5+2*(ROW()-54)&amp;":r"&amp;6+2*(ROW()-54)))</f>
        <v>0</v>
      </c>
      <c r="X57" s="975" cm="1">
        <f t="array" aca="1" ref="X57" ca="1">DSUM(MercadoBase1,X$53,INDIRECT("r"&amp;5+2*(ROW()-54)&amp;":r"&amp;6+2*(ROW()-54)))</f>
        <v>0</v>
      </c>
      <c r="Y57" s="975" cm="1">
        <f t="array" aca="1" ref="Y57" ca="1">DSUM(MercadoBase1,Y$53,INDIRECT("r"&amp;5+2*(ROW()-54)&amp;":r"&amp;6+2*(ROW()-54)))</f>
        <v>0</v>
      </c>
      <c r="Z57" s="975" cm="1">
        <f t="array" aca="1" ref="Z57" ca="1">DSUM(MercadoBase1,Z$53,INDIRECT("r"&amp;5+2*(ROW()-54)&amp;":r"&amp;6+2*(ROW()-54)))</f>
        <v>2833238.4921788825</v>
      </c>
      <c r="AA57" s="975" cm="1">
        <f t="array" aca="1" ref="AA57" ca="1">DSUM(MercadoBase1,AA$53,INDIRECT("r"&amp;5+2*(ROW()-54)&amp;":r"&amp;6+2*(ROW()-54)))</f>
        <v>0</v>
      </c>
      <c r="AB57" s="975" cm="1">
        <f t="array" aca="1" ref="AB57" ca="1">DSUM(MercadoBase1,AB$53,INDIRECT("r"&amp;5+2*(ROW()-54)&amp;":r"&amp;6+2*(ROW()-54)))</f>
        <v>0</v>
      </c>
    </row>
    <row r="58" spans="2:28" ht="15" customHeight="1">
      <c r="B58" s="973">
        <f t="shared" si="2"/>
        <v>44501</v>
      </c>
      <c r="C58" s="974"/>
      <c r="D58" s="975" cm="1">
        <f t="array" aca="1" ref="D58" ca="1">DSUM(MercadoBase1,D$53,INDIRECT("r"&amp;5+2*(ROW()-54)&amp;":r"&amp;6+2*(ROW()-54)))</f>
        <v>0</v>
      </c>
      <c r="E58" s="975" cm="1">
        <f t="array" aca="1" ref="E58" ca="1">DSUM(MercadoBase1,E$53,INDIRECT("r"&amp;5+2*(ROW()-54)&amp;":r"&amp;6+2*(ROW()-54)))</f>
        <v>0</v>
      </c>
      <c r="F58" s="975" cm="1">
        <f t="array" aca="1" ref="F58" ca="1">DSUM(MercadoBase1,F$53,INDIRECT("r"&amp;5+2*(ROW()-54)&amp;":r"&amp;6+2*(ROW()-54)))</f>
        <v>0</v>
      </c>
      <c r="G58" s="975" cm="1">
        <f t="array" aca="1" ref="G58" ca="1">DSUM(MercadoBase1,G$53,INDIRECT("r"&amp;5+2*(ROW()-54)&amp;":r"&amp;6+2*(ROW()-54)))</f>
        <v>74549.19317263503</v>
      </c>
      <c r="H58" s="975" cm="1">
        <f t="array" aca="1" ref="H58" ca="1">DSUM(MercadoBase1,H$53,INDIRECT("r"&amp;5+2*(ROW()-54)&amp;":r"&amp;6+2*(ROW()-54)))</f>
        <v>469507.98714655195</v>
      </c>
      <c r="I58" s="975" cm="1">
        <f t="array" aca="1" ref="I58" ca="1">DSUM(MercadoBase1,I$53,INDIRECT("r"&amp;5+2*(ROW()-54)&amp;":r"&amp;6+2*(ROW()-54)))</f>
        <v>18467.881684833246</v>
      </c>
      <c r="J58" s="975" cm="1">
        <f t="array" aca="1" ref="J58" ca="1">DSUM(MercadoBase1,J$53,INDIRECT("r"&amp;5+2*(ROW()-54)&amp;":r"&amp;6+2*(ROW()-54)))</f>
        <v>0</v>
      </c>
      <c r="K58" s="975" cm="1">
        <f t="array" aca="1" ref="K58" ca="1">DSUM(MercadoBase1,K$53,INDIRECT("r"&amp;5+2*(ROW()-54)&amp;":r"&amp;6+2*(ROW()-54)))</f>
        <v>0</v>
      </c>
      <c r="L58" s="975" cm="1">
        <f t="array" aca="1" ref="L58" ca="1">DSUM(MercadoBase1,L$53,INDIRECT("r"&amp;5+2*(ROW()-54)&amp;":r"&amp;6+2*(ROW()-54)))</f>
        <v>0</v>
      </c>
      <c r="M58" s="975" cm="1">
        <f t="array" aca="1" ref="M58" ca="1">DSUM(MercadoBase1,M$53,INDIRECT("r"&amp;5+2*(ROW()-54)&amp;":r"&amp;6+2*(ROW()-54)))</f>
        <v>0</v>
      </c>
      <c r="N58" s="975" cm="1">
        <f t="array" aca="1" ref="N58" ca="1">DSUM(MercadoBase1,N$53,INDIRECT("r"&amp;5+2*(ROW()-54)&amp;":r"&amp;6+2*(ROW()-54)))</f>
        <v>0</v>
      </c>
      <c r="O58" s="975" cm="1">
        <f t="array" aca="1" ref="O58" ca="1">DSUM(MercadoBase1,O$53,INDIRECT("r"&amp;5+2*(ROW()-54)&amp;":r"&amp;6+2*(ROW()-54)))</f>
        <v>0</v>
      </c>
      <c r="P58" s="975" cm="1">
        <f t="array" aca="1" ref="P58" ca="1">DSUM(MercadoBase1,P$53,INDIRECT("r"&amp;5+2*(ROW()-54)&amp;":r"&amp;6+2*(ROW()-54)))</f>
        <v>0</v>
      </c>
      <c r="Q58" s="983" cm="1">
        <f t="array" aca="1" ref="Q58" ca="1">DSUM(MercadoBase1,Q$53,INDIRECT("r"&amp;5+2*(ROW()-54)&amp;":r"&amp;6+2*(ROW()-54)))</f>
        <v>0</v>
      </c>
      <c r="R58" s="976">
        <f>VLOOKUP(CAPA!$C$17,Índices!B:F,5,FALSE)/VLOOKUP(DATE(YEAR(B58),MONTH(B58),1),Índices!B:F,5,FALSE)</f>
        <v>1.0622726591714087</v>
      </c>
      <c r="S58" s="985" cm="1">
        <f t="array" aca="1" ref="S58" ca="1">DSUM(MercadoBase1,S$53,INDIRECT("r"&amp;5+2*(ROW()-54)&amp;":r"&amp;6+2*(ROW()-54)))</f>
        <v>0</v>
      </c>
      <c r="T58" s="975" cm="1">
        <f t="array" aca="1" ref="T58" ca="1">DSUM(MercadoBase1,T$53,INDIRECT("r"&amp;5+2*(ROW()-54)&amp;":r"&amp;6+2*(ROW()-54)))</f>
        <v>0</v>
      </c>
      <c r="U58" s="975" cm="1">
        <f t="array" aca="1" ref="U58" ca="1">DSUM(MercadoBase1,U$53,INDIRECT("r"&amp;5+2*(ROW()-54)&amp;":r"&amp;6+2*(ROW()-54)))</f>
        <v>0</v>
      </c>
      <c r="V58" s="975" cm="1">
        <f t="array" aca="1" ref="V58" ca="1">DSUM(MercadoBase1,V$53,INDIRECT("r"&amp;5+2*(ROW()-54)&amp;":r"&amp;6+2*(ROW()-54)))</f>
        <v>0</v>
      </c>
      <c r="W58" s="975" cm="1">
        <f t="array" aca="1" ref="W58" ca="1">DSUM(MercadoBase1,W$53,INDIRECT("r"&amp;5+2*(ROW()-54)&amp;":r"&amp;6+2*(ROW()-54)))</f>
        <v>0</v>
      </c>
      <c r="X58" s="975" cm="1">
        <f t="array" aca="1" ref="X58" ca="1">DSUM(MercadoBase1,X$53,INDIRECT("r"&amp;5+2*(ROW()-54)&amp;":r"&amp;6+2*(ROW()-54)))</f>
        <v>0</v>
      </c>
      <c r="Y58" s="975" cm="1">
        <f t="array" aca="1" ref="Y58" ca="1">DSUM(MercadoBase1,Y$53,INDIRECT("r"&amp;5+2*(ROW()-54)&amp;":r"&amp;6+2*(ROW()-54)))</f>
        <v>0</v>
      </c>
      <c r="Z58" s="975" cm="1">
        <f t="array" aca="1" ref="Z58" ca="1">DSUM(MercadoBase1,Z$53,INDIRECT("r"&amp;5+2*(ROW()-54)&amp;":r"&amp;6+2*(ROW()-54)))</f>
        <v>3792445.0003829109</v>
      </c>
      <c r="AA58" s="975" cm="1">
        <f t="array" aca="1" ref="AA58" ca="1">DSUM(MercadoBase1,AA$53,INDIRECT("r"&amp;5+2*(ROW()-54)&amp;":r"&amp;6+2*(ROW()-54)))</f>
        <v>0</v>
      </c>
      <c r="AB58" s="975" cm="1">
        <f t="array" aca="1" ref="AB58" ca="1">DSUM(MercadoBase1,AB$53,INDIRECT("r"&amp;5+2*(ROW()-54)&amp;":r"&amp;6+2*(ROW()-54)))</f>
        <v>0</v>
      </c>
    </row>
    <row r="59" spans="2:28" ht="15" customHeight="1">
      <c r="B59" s="973">
        <f t="shared" si="2"/>
        <v>44531</v>
      </c>
      <c r="C59" s="974"/>
      <c r="D59" s="975" cm="1">
        <f t="array" aca="1" ref="D59" ca="1">DSUM(MercadoBase1,D$53,INDIRECT("r"&amp;5+2*(ROW()-54)&amp;":r"&amp;6+2*(ROW()-54)))</f>
        <v>0</v>
      </c>
      <c r="E59" s="975" cm="1">
        <f t="array" aca="1" ref="E59" ca="1">DSUM(MercadoBase1,E$53,INDIRECT("r"&amp;5+2*(ROW()-54)&amp;":r"&amp;6+2*(ROW()-54)))</f>
        <v>0</v>
      </c>
      <c r="F59" s="975" cm="1">
        <f t="array" aca="1" ref="F59" ca="1">DSUM(MercadoBase1,F$53,INDIRECT("r"&amp;5+2*(ROW()-54)&amp;":r"&amp;6+2*(ROW()-54)))</f>
        <v>0</v>
      </c>
      <c r="G59" s="975" cm="1">
        <f t="array" aca="1" ref="G59" ca="1">DSUM(MercadoBase1,G$53,INDIRECT("r"&amp;5+2*(ROW()-54)&amp;":r"&amp;6+2*(ROW()-54)))</f>
        <v>88295.819117512103</v>
      </c>
      <c r="H59" s="975" cm="1">
        <f t="array" aca="1" ref="H59" ca="1">DSUM(MercadoBase1,H$53,INDIRECT("r"&amp;5+2*(ROW()-54)&amp;":r"&amp;6+2*(ROW()-54)))</f>
        <v>557226.21827760572</v>
      </c>
      <c r="I59" s="975" cm="1">
        <f t="array" aca="1" ref="I59" ca="1">DSUM(MercadoBase1,I$53,INDIRECT("r"&amp;5+2*(ROW()-54)&amp;":r"&amp;6+2*(ROW()-54)))</f>
        <v>21852.107664294501</v>
      </c>
      <c r="J59" s="975" cm="1">
        <f t="array" aca="1" ref="J59" ca="1">DSUM(MercadoBase1,J$53,INDIRECT("r"&amp;5+2*(ROW()-54)&amp;":r"&amp;6+2*(ROW()-54)))</f>
        <v>0</v>
      </c>
      <c r="K59" s="975" cm="1">
        <f t="array" aca="1" ref="K59" ca="1">DSUM(MercadoBase1,K$53,INDIRECT("r"&amp;5+2*(ROW()-54)&amp;":r"&amp;6+2*(ROW()-54)))</f>
        <v>0</v>
      </c>
      <c r="L59" s="975" cm="1">
        <f t="array" aca="1" ref="L59" ca="1">DSUM(MercadoBase1,L$53,INDIRECT("r"&amp;5+2*(ROW()-54)&amp;":r"&amp;6+2*(ROW()-54)))</f>
        <v>0</v>
      </c>
      <c r="M59" s="975" cm="1">
        <f t="array" aca="1" ref="M59" ca="1">DSUM(MercadoBase1,M$53,INDIRECT("r"&amp;5+2*(ROW()-54)&amp;":r"&amp;6+2*(ROW()-54)))</f>
        <v>0</v>
      </c>
      <c r="N59" s="975" cm="1">
        <f t="array" aca="1" ref="N59" ca="1">DSUM(MercadoBase1,N$53,INDIRECT("r"&amp;5+2*(ROW()-54)&amp;":r"&amp;6+2*(ROW()-54)))</f>
        <v>0</v>
      </c>
      <c r="O59" s="975" cm="1">
        <f t="array" aca="1" ref="O59" ca="1">DSUM(MercadoBase1,O$53,INDIRECT("r"&amp;5+2*(ROW()-54)&amp;":r"&amp;6+2*(ROW()-54)))</f>
        <v>0</v>
      </c>
      <c r="P59" s="975" cm="1">
        <f t="array" aca="1" ref="P59" ca="1">DSUM(MercadoBase1,P$53,INDIRECT("r"&amp;5+2*(ROW()-54)&amp;":r"&amp;6+2*(ROW()-54)))</f>
        <v>0</v>
      </c>
      <c r="Q59" s="983" cm="1">
        <f t="array" aca="1" ref="Q59" ca="1">DSUM(MercadoBase1,Q$53,INDIRECT("r"&amp;5+2*(ROW()-54)&amp;":r"&amp;6+2*(ROW()-54)))</f>
        <v>0</v>
      </c>
      <c r="R59" s="976">
        <f>VLOOKUP(CAPA!$C$17,Índices!B:F,5,FALSE)/VLOOKUP(DATE(YEAR(B59),MONTH(B59),1),Índices!B:F,5,FALSE)</f>
        <v>1.0541652525590945</v>
      </c>
      <c r="S59" s="985" cm="1">
        <f t="array" aca="1" ref="S59" ca="1">DSUM(MercadoBase1,S$53,INDIRECT("r"&amp;5+2*(ROW()-54)&amp;":r"&amp;6+2*(ROW()-54)))</f>
        <v>0</v>
      </c>
      <c r="T59" s="975" cm="1">
        <f t="array" aca="1" ref="T59" ca="1">DSUM(MercadoBase1,T$53,INDIRECT("r"&amp;5+2*(ROW()-54)&amp;":r"&amp;6+2*(ROW()-54)))</f>
        <v>0</v>
      </c>
      <c r="U59" s="975" cm="1">
        <f t="array" aca="1" ref="U59" ca="1">DSUM(MercadoBase1,U$53,INDIRECT("r"&amp;5+2*(ROW()-54)&amp;":r"&amp;6+2*(ROW()-54)))</f>
        <v>0</v>
      </c>
      <c r="V59" s="975" cm="1">
        <f t="array" aca="1" ref="V59" ca="1">DSUM(MercadoBase1,V$53,INDIRECT("r"&amp;5+2*(ROW()-54)&amp;":r"&amp;6+2*(ROW()-54)))</f>
        <v>0</v>
      </c>
      <c r="W59" s="975" cm="1">
        <f t="array" aca="1" ref="W59" ca="1">DSUM(MercadoBase1,W$53,INDIRECT("r"&amp;5+2*(ROW()-54)&amp;":r"&amp;6+2*(ROW()-54)))</f>
        <v>0</v>
      </c>
      <c r="X59" s="975" cm="1">
        <f t="array" aca="1" ref="X59" ca="1">DSUM(MercadoBase1,X$53,INDIRECT("r"&amp;5+2*(ROW()-54)&amp;":r"&amp;6+2*(ROW()-54)))</f>
        <v>0</v>
      </c>
      <c r="Y59" s="975" cm="1">
        <f t="array" aca="1" ref="Y59" ca="1">DSUM(MercadoBase1,Y$53,INDIRECT("r"&amp;5+2*(ROW()-54)&amp;":r"&amp;6+2*(ROW()-54)))</f>
        <v>0</v>
      </c>
      <c r="Z59" s="975" cm="1">
        <f t="array" aca="1" ref="Z59" ca="1">DSUM(MercadoBase1,Z$53,INDIRECT("r"&amp;5+2*(ROW()-54)&amp;":r"&amp;6+2*(ROW()-54)))</f>
        <v>4478548.7286273474</v>
      </c>
      <c r="AA59" s="975" cm="1">
        <f t="array" aca="1" ref="AA59" ca="1">DSUM(MercadoBase1,AA$53,INDIRECT("r"&amp;5+2*(ROW()-54)&amp;":r"&amp;6+2*(ROW()-54)))</f>
        <v>0</v>
      </c>
      <c r="AB59" s="975" cm="1">
        <f t="array" aca="1" ref="AB59" ca="1">DSUM(MercadoBase1,AB$53,INDIRECT("r"&amp;5+2*(ROW()-54)&amp;":r"&amp;6+2*(ROW()-54)))</f>
        <v>0</v>
      </c>
    </row>
    <row r="60" spans="2:28" ht="15" customHeight="1">
      <c r="B60" s="973">
        <f t="shared" si="2"/>
        <v>44562</v>
      </c>
      <c r="C60" s="974"/>
      <c r="D60" s="975" cm="1">
        <f t="array" aca="1" ref="D60" ca="1">DSUM(MercadoBase1,D$53,INDIRECT("r"&amp;5+2*(ROW()-54)&amp;":r"&amp;6+2*(ROW()-54)))</f>
        <v>0</v>
      </c>
      <c r="E60" s="975" cm="1">
        <f t="array" aca="1" ref="E60" ca="1">DSUM(MercadoBase1,E$53,INDIRECT("r"&amp;5+2*(ROW()-54)&amp;":r"&amp;6+2*(ROW()-54)))</f>
        <v>0</v>
      </c>
      <c r="F60" s="975" cm="1">
        <f t="array" aca="1" ref="F60" ca="1">DSUM(MercadoBase1,F$53,INDIRECT("r"&amp;5+2*(ROW()-54)&amp;":r"&amp;6+2*(ROW()-54)))</f>
        <v>0</v>
      </c>
      <c r="G60" s="975" cm="1">
        <f t="array" aca="1" ref="G60" ca="1">DSUM(MercadoBase1,G$53,INDIRECT("r"&amp;5+2*(ROW()-54)&amp;":r"&amp;6+2*(ROW()-54)))</f>
        <v>108245.90181306469</v>
      </c>
      <c r="H60" s="975" cm="1">
        <f t="array" aca="1" ref="H60" ca="1">DSUM(MercadoBase1,H$53,INDIRECT("r"&amp;5+2*(ROW()-54)&amp;":r"&amp;6+2*(ROW()-54)))</f>
        <v>685123.26411540259</v>
      </c>
      <c r="I60" s="975" cm="1">
        <f t="array" aca="1" ref="I60" ca="1">DSUM(MercadoBase1,I$53,INDIRECT("r"&amp;5+2*(ROW()-54)&amp;":r"&amp;6+2*(ROW()-54)))</f>
        <v>26772.864496819275</v>
      </c>
      <c r="J60" s="975" cm="1">
        <f t="array" aca="1" ref="J60" ca="1">DSUM(MercadoBase1,J$53,INDIRECT("r"&amp;5+2*(ROW()-54)&amp;":r"&amp;6+2*(ROW()-54)))</f>
        <v>0</v>
      </c>
      <c r="K60" s="975" cm="1">
        <f t="array" aca="1" ref="K60" ca="1">DSUM(MercadoBase1,K$53,INDIRECT("r"&amp;5+2*(ROW()-54)&amp;":r"&amp;6+2*(ROW()-54)))</f>
        <v>0</v>
      </c>
      <c r="L60" s="975" cm="1">
        <f t="array" aca="1" ref="L60" ca="1">DSUM(MercadoBase1,L$53,INDIRECT("r"&amp;5+2*(ROW()-54)&amp;":r"&amp;6+2*(ROW()-54)))</f>
        <v>0</v>
      </c>
      <c r="M60" s="975" cm="1">
        <f t="array" aca="1" ref="M60" ca="1">DSUM(MercadoBase1,M$53,INDIRECT("r"&amp;5+2*(ROW()-54)&amp;":r"&amp;6+2*(ROW()-54)))</f>
        <v>0</v>
      </c>
      <c r="N60" s="975" cm="1">
        <f t="array" aca="1" ref="N60" ca="1">DSUM(MercadoBase1,N$53,INDIRECT("r"&amp;5+2*(ROW()-54)&amp;":r"&amp;6+2*(ROW()-54)))</f>
        <v>0</v>
      </c>
      <c r="O60" s="975" cm="1">
        <f t="array" aca="1" ref="O60" ca="1">DSUM(MercadoBase1,O$53,INDIRECT("r"&amp;5+2*(ROW()-54)&amp;":r"&amp;6+2*(ROW()-54)))</f>
        <v>0</v>
      </c>
      <c r="P60" s="975" cm="1">
        <f t="array" aca="1" ref="P60" ca="1">DSUM(MercadoBase1,P$53,INDIRECT("r"&amp;5+2*(ROW()-54)&amp;":r"&amp;6+2*(ROW()-54)))</f>
        <v>0</v>
      </c>
      <c r="Q60" s="983" cm="1">
        <f t="array" aca="1" ref="Q60" ca="1">DSUM(MercadoBase1,Q$53,INDIRECT("r"&amp;5+2*(ROW()-54)&amp;":r"&amp;6+2*(ROW()-54)))</f>
        <v>0</v>
      </c>
      <c r="R60" s="976">
        <f>VLOOKUP(CAPA!$C$17,Índices!B:F,5,FALSE)/VLOOKUP(DATE(YEAR(B60),MONTH(B60),1),Índices!B:F,5,FALSE)</f>
        <v>1.0465020287560824</v>
      </c>
      <c r="S60" s="985" cm="1">
        <f t="array" aca="1" ref="S60" ca="1">DSUM(MercadoBase1,S$53,INDIRECT("r"&amp;5+2*(ROW()-54)&amp;":r"&amp;6+2*(ROW()-54)))</f>
        <v>0</v>
      </c>
      <c r="T60" s="975" cm="1">
        <f t="array" aca="1" ref="T60" ca="1">DSUM(MercadoBase1,T$53,INDIRECT("r"&amp;5+2*(ROW()-54)&amp;":r"&amp;6+2*(ROW()-54)))</f>
        <v>0</v>
      </c>
      <c r="U60" s="975" cm="1">
        <f t="array" aca="1" ref="U60" ca="1">DSUM(MercadoBase1,U$53,INDIRECT("r"&amp;5+2*(ROW()-54)&amp;":r"&amp;6+2*(ROW()-54)))</f>
        <v>0</v>
      </c>
      <c r="V60" s="975" cm="1">
        <f t="array" aca="1" ref="V60" ca="1">DSUM(MercadoBase1,V$53,INDIRECT("r"&amp;5+2*(ROW()-54)&amp;":r"&amp;6+2*(ROW()-54)))</f>
        <v>0</v>
      </c>
      <c r="W60" s="975" cm="1">
        <f t="array" aca="1" ref="W60" ca="1">DSUM(MercadoBase1,W$53,INDIRECT("r"&amp;5+2*(ROW()-54)&amp;":r"&amp;6+2*(ROW()-54)))</f>
        <v>0</v>
      </c>
      <c r="X60" s="975" cm="1">
        <f t="array" aca="1" ref="X60" ca="1">DSUM(MercadoBase1,X$53,INDIRECT("r"&amp;5+2*(ROW()-54)&amp;":r"&amp;6+2*(ROW()-54)))</f>
        <v>0</v>
      </c>
      <c r="Y60" s="975" cm="1">
        <f t="array" aca="1" ref="Y60" ca="1">DSUM(MercadoBase1,Y$53,INDIRECT("r"&amp;5+2*(ROW()-54)&amp;":r"&amp;6+2*(ROW()-54)))</f>
        <v>0</v>
      </c>
      <c r="Z60" s="975" cm="1">
        <f t="array" aca="1" ref="Z60" ca="1">DSUM(MercadoBase1,Z$53,INDIRECT("r"&amp;5+2*(ROW()-54)&amp;":r"&amp;6+2*(ROW()-54)))</f>
        <v>5538571.2306356747</v>
      </c>
      <c r="AA60" s="975" cm="1">
        <f t="array" aca="1" ref="AA60" ca="1">DSUM(MercadoBase1,AA$53,INDIRECT("r"&amp;5+2*(ROW()-54)&amp;":r"&amp;6+2*(ROW()-54)))</f>
        <v>0</v>
      </c>
      <c r="AB60" s="975" cm="1">
        <f t="array" aca="1" ref="AB60" ca="1">DSUM(MercadoBase1,AB$53,INDIRECT("r"&amp;5+2*(ROW()-54)&amp;":r"&amp;6+2*(ROW()-54)))</f>
        <v>0</v>
      </c>
    </row>
    <row r="61" spans="2:28" ht="15" customHeight="1">
      <c r="B61" s="973">
        <f t="shared" si="2"/>
        <v>44593</v>
      </c>
      <c r="C61" s="974"/>
      <c r="D61" s="975" cm="1">
        <f t="array" aca="1" ref="D61" ca="1">DSUM(MercadoBase1,D$53,INDIRECT("r"&amp;5+2*(ROW()-54)&amp;":r"&amp;6+2*(ROW()-54)))</f>
        <v>0</v>
      </c>
      <c r="E61" s="975" cm="1">
        <f t="array" aca="1" ref="E61" ca="1">DSUM(MercadoBase1,E$53,INDIRECT("r"&amp;5+2*(ROW()-54)&amp;":r"&amp;6+2*(ROW()-54)))</f>
        <v>0</v>
      </c>
      <c r="F61" s="975" cm="1">
        <f t="array" aca="1" ref="F61" ca="1">DSUM(MercadoBase1,F$53,INDIRECT("r"&amp;5+2*(ROW()-54)&amp;":r"&amp;6+2*(ROW()-54)))</f>
        <v>0</v>
      </c>
      <c r="G61" s="975" cm="1">
        <f t="array" aca="1" ref="G61" ca="1">DSUM(MercadoBase1,G$53,INDIRECT("r"&amp;5+2*(ROW()-54)&amp;":r"&amp;6+2*(ROW()-54)))</f>
        <v>99552.754497030197</v>
      </c>
      <c r="H61" s="975" cm="1">
        <f t="array" aca="1" ref="H61" ca="1">DSUM(MercadoBase1,H$53,INDIRECT("r"&amp;5+2*(ROW()-54)&amp;":r"&amp;6+2*(ROW()-54)))</f>
        <v>630515.97036696505</v>
      </c>
      <c r="I61" s="975" cm="1">
        <f t="array" aca="1" ref="I61" ca="1">DSUM(MercadoBase1,I$53,INDIRECT("r"&amp;5+2*(ROW()-54)&amp;":r"&amp;6+2*(ROW()-54)))</f>
        <v>24637.071071050079</v>
      </c>
      <c r="J61" s="975" cm="1">
        <f t="array" aca="1" ref="J61" ca="1">DSUM(MercadoBase1,J$53,INDIRECT("r"&amp;5+2*(ROW()-54)&amp;":r"&amp;6+2*(ROW()-54)))</f>
        <v>0</v>
      </c>
      <c r="K61" s="975" cm="1">
        <f t="array" aca="1" ref="K61" ca="1">DSUM(MercadoBase1,K$53,INDIRECT("r"&amp;5+2*(ROW()-54)&amp;":r"&amp;6+2*(ROW()-54)))</f>
        <v>0</v>
      </c>
      <c r="L61" s="975" cm="1">
        <f t="array" aca="1" ref="L61" ca="1">DSUM(MercadoBase1,L$53,INDIRECT("r"&amp;5+2*(ROW()-54)&amp;":r"&amp;6+2*(ROW()-54)))</f>
        <v>0</v>
      </c>
      <c r="M61" s="975" cm="1">
        <f t="array" aca="1" ref="M61" ca="1">DSUM(MercadoBase1,M$53,INDIRECT("r"&amp;5+2*(ROW()-54)&amp;":r"&amp;6+2*(ROW()-54)))</f>
        <v>0</v>
      </c>
      <c r="N61" s="975" cm="1">
        <f t="array" aca="1" ref="N61" ca="1">DSUM(MercadoBase1,N$53,INDIRECT("r"&amp;5+2*(ROW()-54)&amp;":r"&amp;6+2*(ROW()-54)))</f>
        <v>0</v>
      </c>
      <c r="O61" s="975" cm="1">
        <f t="array" aca="1" ref="O61" ca="1">DSUM(MercadoBase1,O$53,INDIRECT("r"&amp;5+2*(ROW()-54)&amp;":r"&amp;6+2*(ROW()-54)))</f>
        <v>0</v>
      </c>
      <c r="P61" s="975" cm="1">
        <f t="array" aca="1" ref="P61" ca="1">DSUM(MercadoBase1,P$53,INDIRECT("r"&amp;5+2*(ROW()-54)&amp;":r"&amp;6+2*(ROW()-54)))</f>
        <v>0</v>
      </c>
      <c r="Q61" s="983" cm="1">
        <f t="array" aca="1" ref="Q61" ca="1">DSUM(MercadoBase1,Q$53,INDIRECT("r"&amp;5+2*(ROW()-54)&amp;":r"&amp;6+2*(ROW()-54)))</f>
        <v>0</v>
      </c>
      <c r="R61" s="976">
        <f>VLOOKUP(CAPA!$C$17,Índices!B:F,5,FALSE)/VLOOKUP(DATE(YEAR(B61),MONTH(B61),1),Índices!B:F,5,FALSE)</f>
        <v>1.038659722138076</v>
      </c>
      <c r="S61" s="985" cm="1">
        <f t="array" aca="1" ref="S61" ca="1">DSUM(MercadoBase1,S$53,INDIRECT("r"&amp;5+2*(ROW()-54)&amp;":r"&amp;6+2*(ROW()-54)))</f>
        <v>0</v>
      </c>
      <c r="T61" s="975" cm="1">
        <f t="array" aca="1" ref="T61" ca="1">DSUM(MercadoBase1,T$53,INDIRECT("r"&amp;5+2*(ROW()-54)&amp;":r"&amp;6+2*(ROW()-54)))</f>
        <v>0</v>
      </c>
      <c r="U61" s="975" cm="1">
        <f t="array" aca="1" ref="U61" ca="1">DSUM(MercadoBase1,U$53,INDIRECT("r"&amp;5+2*(ROW()-54)&amp;":r"&amp;6+2*(ROW()-54)))</f>
        <v>0</v>
      </c>
      <c r="V61" s="975" cm="1">
        <f t="array" aca="1" ref="V61" ca="1">DSUM(MercadoBase1,V$53,INDIRECT("r"&amp;5+2*(ROW()-54)&amp;":r"&amp;6+2*(ROW()-54)))</f>
        <v>0</v>
      </c>
      <c r="W61" s="975" cm="1">
        <f t="array" aca="1" ref="W61" ca="1">DSUM(MercadoBase1,W$53,INDIRECT("r"&amp;5+2*(ROW()-54)&amp;":r"&amp;6+2*(ROW()-54)))</f>
        <v>0</v>
      </c>
      <c r="X61" s="975" cm="1">
        <f t="array" aca="1" ref="X61" ca="1">DSUM(MercadoBase1,X$53,INDIRECT("r"&amp;5+2*(ROW()-54)&amp;":r"&amp;6+2*(ROW()-54)))</f>
        <v>0</v>
      </c>
      <c r="Y61" s="975" cm="1">
        <f t="array" aca="1" ref="Y61" ca="1">DSUM(MercadoBase1,Y$53,INDIRECT("r"&amp;5+2*(ROW()-54)&amp;":r"&amp;6+2*(ROW()-54)))</f>
        <v>0</v>
      </c>
      <c r="Z61" s="975" cm="1">
        <f t="array" aca="1" ref="Z61" ca="1">DSUM(MercadoBase1,Z$53,INDIRECT("r"&amp;5+2*(ROW()-54)&amp;":r"&amp;6+2*(ROW()-54)))</f>
        <v>5213989.7530379668</v>
      </c>
      <c r="AA61" s="975" cm="1">
        <f t="array" aca="1" ref="AA61" ca="1">DSUM(MercadoBase1,AA$53,INDIRECT("r"&amp;5+2*(ROW()-54)&amp;":r"&amp;6+2*(ROW()-54)))</f>
        <v>0</v>
      </c>
      <c r="AB61" s="975" cm="1">
        <f t="array" aca="1" ref="AB61" ca="1">DSUM(MercadoBase1,AB$53,INDIRECT("r"&amp;5+2*(ROW()-54)&amp;":r"&amp;6+2*(ROW()-54)))</f>
        <v>0</v>
      </c>
    </row>
    <row r="62" spans="2:28" ht="15" customHeight="1">
      <c r="B62" s="973">
        <f t="shared" si="2"/>
        <v>44621</v>
      </c>
      <c r="C62" s="974"/>
      <c r="D62" s="975" cm="1">
        <f t="array" aca="1" ref="D62" ca="1">DSUM(MercadoBase1,D$53,INDIRECT("r"&amp;5+2*(ROW()-54)&amp;":r"&amp;6+2*(ROW()-54)))</f>
        <v>0</v>
      </c>
      <c r="E62" s="975" cm="1">
        <f t="array" aca="1" ref="E62" ca="1">DSUM(MercadoBase1,E$53,INDIRECT("r"&amp;5+2*(ROW()-54)&amp;":r"&amp;6+2*(ROW()-54)))</f>
        <v>0</v>
      </c>
      <c r="F62" s="975" cm="1">
        <f t="array" aca="1" ref="F62" ca="1">DSUM(MercadoBase1,F$53,INDIRECT("r"&amp;5+2*(ROW()-54)&amp;":r"&amp;6+2*(ROW()-54)))</f>
        <v>0</v>
      </c>
      <c r="G62" s="975" cm="1">
        <f t="array" aca="1" ref="G62" ca="1">DSUM(MercadoBase1,G$53,INDIRECT("r"&amp;5+2*(ROW()-54)&amp;":r"&amp;6+2*(ROW()-54)))</f>
        <v>86614.905093805326</v>
      </c>
      <c r="H62" s="975" cm="1">
        <f t="array" aca="1" ref="H62" ca="1">DSUM(MercadoBase1,H$53,INDIRECT("r"&amp;5+2*(ROW()-54)&amp;":r"&amp;6+2*(ROW()-54)))</f>
        <v>549734.59734808316</v>
      </c>
      <c r="I62" s="975" cm="1">
        <f t="array" aca="1" ref="I62" ca="1">DSUM(MercadoBase1,I$53,INDIRECT("r"&amp;5+2*(ROW()-54)&amp;":r"&amp;6+2*(ROW()-54)))</f>
        <v>21435.687755322982</v>
      </c>
      <c r="J62" s="975" cm="1">
        <f t="array" aca="1" ref="J62" ca="1">DSUM(MercadoBase1,J$53,INDIRECT("r"&amp;5+2*(ROW()-54)&amp;":r"&amp;6+2*(ROW()-54)))</f>
        <v>0</v>
      </c>
      <c r="K62" s="975" cm="1">
        <f t="array" aca="1" ref="K62" ca="1">DSUM(MercadoBase1,K$53,INDIRECT("r"&amp;5+2*(ROW()-54)&amp;":r"&amp;6+2*(ROW()-54)))</f>
        <v>0</v>
      </c>
      <c r="L62" s="975" cm="1">
        <f t="array" aca="1" ref="L62" ca="1">DSUM(MercadoBase1,L$53,INDIRECT("r"&amp;5+2*(ROW()-54)&amp;":r"&amp;6+2*(ROW()-54)))</f>
        <v>0</v>
      </c>
      <c r="M62" s="975" cm="1">
        <f t="array" aca="1" ref="M62" ca="1">DSUM(MercadoBase1,M$53,INDIRECT("r"&amp;5+2*(ROW()-54)&amp;":r"&amp;6+2*(ROW()-54)))</f>
        <v>0</v>
      </c>
      <c r="N62" s="975" cm="1">
        <f t="array" aca="1" ref="N62" ca="1">DSUM(MercadoBase1,N$53,INDIRECT("r"&amp;5+2*(ROW()-54)&amp;":r"&amp;6+2*(ROW()-54)))</f>
        <v>0</v>
      </c>
      <c r="O62" s="975" cm="1">
        <f t="array" aca="1" ref="O62" ca="1">DSUM(MercadoBase1,O$53,INDIRECT("r"&amp;5+2*(ROW()-54)&amp;":r"&amp;6+2*(ROW()-54)))</f>
        <v>0</v>
      </c>
      <c r="P62" s="975" cm="1">
        <f t="array" aca="1" ref="P62" ca="1">DSUM(MercadoBase1,P$53,INDIRECT("r"&amp;5+2*(ROW()-54)&amp;":r"&amp;6+2*(ROW()-54)))</f>
        <v>0</v>
      </c>
      <c r="Q62" s="983" cm="1">
        <f t="array" aca="1" ref="Q62" ca="1">DSUM(MercadoBase1,Q$53,INDIRECT("r"&amp;5+2*(ROW()-54)&amp;":r"&amp;6+2*(ROW()-54)))</f>
        <v>0</v>
      </c>
      <c r="R62" s="976">
        <f>VLOOKUP(CAPA!$C$17,Índices!B:F,5,FALSE)/VLOOKUP(DATE(YEAR(B62),MONTH(B62),1),Índices!B:F,5,FALSE)</f>
        <v>1.0291192325390464</v>
      </c>
      <c r="S62" s="985" cm="1">
        <f t="array" aca="1" ref="S62" ca="1">DSUM(MercadoBase1,S$53,INDIRECT("r"&amp;5+2*(ROW()-54)&amp;":r"&amp;6+2*(ROW()-54)))</f>
        <v>0</v>
      </c>
      <c r="T62" s="975" cm="1">
        <f t="array" aca="1" ref="T62" ca="1">DSUM(MercadoBase1,T$53,INDIRECT("r"&amp;5+2*(ROW()-54)&amp;":r"&amp;6+2*(ROW()-54)))</f>
        <v>0</v>
      </c>
      <c r="U62" s="975" cm="1">
        <f t="array" aca="1" ref="U62" ca="1">DSUM(MercadoBase1,U$53,INDIRECT("r"&amp;5+2*(ROW()-54)&amp;":r"&amp;6+2*(ROW()-54)))</f>
        <v>0</v>
      </c>
      <c r="V62" s="975" cm="1">
        <f t="array" aca="1" ref="V62" ca="1">DSUM(MercadoBase1,V$53,INDIRECT("r"&amp;5+2*(ROW()-54)&amp;":r"&amp;6+2*(ROW()-54)))</f>
        <v>0</v>
      </c>
      <c r="W62" s="975" cm="1">
        <f t="array" aca="1" ref="W62" ca="1">DSUM(MercadoBase1,W$53,INDIRECT("r"&amp;5+2*(ROW()-54)&amp;":r"&amp;6+2*(ROW()-54)))</f>
        <v>0</v>
      </c>
      <c r="X62" s="975" cm="1">
        <f t="array" aca="1" ref="X62" ca="1">DSUM(MercadoBase1,X$53,INDIRECT("r"&amp;5+2*(ROW()-54)&amp;":r"&amp;6+2*(ROW()-54)))</f>
        <v>0</v>
      </c>
      <c r="Y62" s="975" cm="1">
        <f t="array" aca="1" ref="Y62" ca="1">DSUM(MercadoBase1,Y$53,INDIRECT("r"&amp;5+2*(ROW()-54)&amp;":r"&amp;6+2*(ROW()-54)))</f>
        <v>0</v>
      </c>
      <c r="Z62" s="975" cm="1">
        <f t="array" aca="1" ref="Z62" ca="1">DSUM(MercadoBase1,Z$53,INDIRECT("r"&amp;5+2*(ROW()-54)&amp;":r"&amp;6+2*(ROW()-54)))</f>
        <v>4632178.7618618784</v>
      </c>
      <c r="AA62" s="975" cm="1">
        <f t="array" aca="1" ref="AA62" ca="1">DSUM(MercadoBase1,AA$53,INDIRECT("r"&amp;5+2*(ROW()-54)&amp;":r"&amp;6+2*(ROW()-54)))</f>
        <v>0</v>
      </c>
      <c r="AB62" s="975" cm="1">
        <f t="array" aca="1" ref="AB62" ca="1">DSUM(MercadoBase1,AB$53,INDIRECT("r"&amp;5+2*(ROW()-54)&amp;":r"&amp;6+2*(ROW()-54)))</f>
        <v>0</v>
      </c>
    </row>
    <row r="63" spans="2:28" ht="15" customHeight="1">
      <c r="B63" s="973">
        <f t="shared" si="2"/>
        <v>44652</v>
      </c>
      <c r="C63" s="974"/>
      <c r="D63" s="975" cm="1">
        <f t="array" aca="1" ref="D63" ca="1">DSUM(MercadoBase1,D$53,INDIRECT("r"&amp;5+2*(ROW()-54)&amp;":r"&amp;6+2*(ROW()-54)))</f>
        <v>0</v>
      </c>
      <c r="E63" s="975" cm="1">
        <f t="array" aca="1" ref="E63" ca="1">DSUM(MercadoBase1,E$53,INDIRECT("r"&amp;5+2*(ROW()-54)&amp;":r"&amp;6+2*(ROW()-54)))</f>
        <v>0</v>
      </c>
      <c r="F63" s="975" cm="1">
        <f t="array" aca="1" ref="F63" ca="1">DSUM(MercadoBase1,F$53,INDIRECT("r"&amp;5+2*(ROW()-54)&amp;":r"&amp;6+2*(ROW()-54)))</f>
        <v>0</v>
      </c>
      <c r="G63" s="975" cm="1">
        <f t="array" aca="1" ref="G63" ca="1">DSUM(MercadoBase1,G$53,INDIRECT("r"&amp;5+2*(ROW()-54)&amp;":r"&amp;6+2*(ROW()-54)))</f>
        <v>69055.911981843048</v>
      </c>
      <c r="H63" s="975" cm="1">
        <f t="array" aca="1" ref="H63" ca="1">DSUM(MercadoBase1,H$53,INDIRECT("r"&amp;5+2*(ROW()-54)&amp;":r"&amp;6+2*(ROW()-54)))</f>
        <v>433064.95836347621</v>
      </c>
      <c r="I63" s="975" cm="1">
        <f t="array" aca="1" ref="I63" ca="1">DSUM(MercadoBase1,I$53,INDIRECT("r"&amp;5+2*(ROW()-54)&amp;":r"&amp;6+2*(ROW()-54)))</f>
        <v>17262.184471299639</v>
      </c>
      <c r="J63" s="975" cm="1">
        <f t="array" aca="1" ref="J63" ca="1">DSUM(MercadoBase1,J$53,INDIRECT("r"&amp;5+2*(ROW()-54)&amp;":r"&amp;6+2*(ROW()-54)))</f>
        <v>0</v>
      </c>
      <c r="K63" s="975" cm="1">
        <f t="array" aca="1" ref="K63" ca="1">DSUM(MercadoBase1,K$53,INDIRECT("r"&amp;5+2*(ROW()-54)&amp;":r"&amp;6+2*(ROW()-54)))</f>
        <v>0</v>
      </c>
      <c r="L63" s="975" cm="1">
        <f t="array" aca="1" ref="L63" ca="1">DSUM(MercadoBase1,L$53,INDIRECT("r"&amp;5+2*(ROW()-54)&amp;":r"&amp;6+2*(ROW()-54)))</f>
        <v>0</v>
      </c>
      <c r="M63" s="975" cm="1">
        <f t="array" aca="1" ref="M63" ca="1">DSUM(MercadoBase1,M$53,INDIRECT("r"&amp;5+2*(ROW()-54)&amp;":r"&amp;6+2*(ROW()-54)))</f>
        <v>0</v>
      </c>
      <c r="N63" s="975" cm="1">
        <f t="array" aca="1" ref="N63" ca="1">DSUM(MercadoBase1,N$53,INDIRECT("r"&amp;5+2*(ROW()-54)&amp;":r"&amp;6+2*(ROW()-54)))</f>
        <v>0</v>
      </c>
      <c r="O63" s="975" cm="1">
        <f t="array" aca="1" ref="O63" ca="1">DSUM(MercadoBase1,O$53,INDIRECT("r"&amp;5+2*(ROW()-54)&amp;":r"&amp;6+2*(ROW()-54)))</f>
        <v>0</v>
      </c>
      <c r="P63" s="975" cm="1">
        <f t="array" aca="1" ref="P63" ca="1">DSUM(MercadoBase1,P$53,INDIRECT("r"&amp;5+2*(ROW()-54)&amp;":r"&amp;6+2*(ROW()-54)))</f>
        <v>0</v>
      </c>
      <c r="Q63" s="983" cm="1">
        <f t="array" aca="1" ref="Q63" ca="1">DSUM(MercadoBase1,Q$53,INDIRECT("r"&amp;5+2*(ROW()-54)&amp;":r"&amp;6+2*(ROW()-54)))</f>
        <v>0</v>
      </c>
      <c r="R63" s="976">
        <f>VLOOKUP(CAPA!$C$17,Índices!B:F,5,FALSE)/VLOOKUP(DATE(YEAR(B63),MONTH(B63),1),Índices!B:F,5,FALSE)</f>
        <v>1.0206041228759459</v>
      </c>
      <c r="S63" s="985" cm="1">
        <f t="array" aca="1" ref="S63" ca="1">DSUM(MercadoBase1,S$53,INDIRECT("r"&amp;5+2*(ROW()-54)&amp;":r"&amp;6+2*(ROW()-54)))</f>
        <v>0</v>
      </c>
      <c r="T63" s="975" cm="1">
        <f t="array" aca="1" ref="T63" ca="1">DSUM(MercadoBase1,T$53,INDIRECT("r"&amp;5+2*(ROW()-54)&amp;":r"&amp;6+2*(ROW()-54)))</f>
        <v>0</v>
      </c>
      <c r="U63" s="975" cm="1">
        <f t="array" aca="1" ref="U63" ca="1">DSUM(MercadoBase1,U$53,INDIRECT("r"&amp;5+2*(ROW()-54)&amp;":r"&amp;6+2*(ROW()-54)))</f>
        <v>0</v>
      </c>
      <c r="V63" s="975" cm="1">
        <f t="array" aca="1" ref="V63" ca="1">DSUM(MercadoBase1,V$53,INDIRECT("r"&amp;5+2*(ROW()-54)&amp;":r"&amp;6+2*(ROW()-54)))</f>
        <v>0</v>
      </c>
      <c r="W63" s="975" cm="1">
        <f t="array" aca="1" ref="W63" ca="1">DSUM(MercadoBase1,W$53,INDIRECT("r"&amp;5+2*(ROW()-54)&amp;":r"&amp;6+2*(ROW()-54)))</f>
        <v>0</v>
      </c>
      <c r="X63" s="975" cm="1">
        <f t="array" aca="1" ref="X63" ca="1">DSUM(MercadoBase1,X$53,INDIRECT("r"&amp;5+2*(ROW()-54)&amp;":r"&amp;6+2*(ROW()-54)))</f>
        <v>0</v>
      </c>
      <c r="Y63" s="975" cm="1">
        <f t="array" aca="1" ref="Y63" ca="1">DSUM(MercadoBase1,Y$53,INDIRECT("r"&amp;5+2*(ROW()-54)&amp;":r"&amp;6+2*(ROW()-54)))</f>
        <v>0</v>
      </c>
      <c r="Z63" s="975" cm="1">
        <f t="array" aca="1" ref="Z63" ca="1">DSUM(MercadoBase1,Z$53,INDIRECT("r"&amp;5+2*(ROW()-54)&amp;":r"&amp;6+2*(ROW()-54)))</f>
        <v>3732218.3572201887</v>
      </c>
      <c r="AA63" s="975" cm="1">
        <f t="array" aca="1" ref="AA63" ca="1">DSUM(MercadoBase1,AA$53,INDIRECT("r"&amp;5+2*(ROW()-54)&amp;":r"&amp;6+2*(ROW()-54)))</f>
        <v>0</v>
      </c>
      <c r="AB63" s="975" cm="1">
        <f t="array" aca="1" ref="AB63" ca="1">DSUM(MercadoBase1,AB$53,INDIRECT("r"&amp;5+2*(ROW()-54)&amp;":r"&amp;6+2*(ROW()-54)))</f>
        <v>0</v>
      </c>
    </row>
    <row r="64" spans="2:28" ht="15" customHeight="1">
      <c r="B64" s="973">
        <f t="shared" si="2"/>
        <v>44682</v>
      </c>
      <c r="C64" s="974"/>
      <c r="D64" s="975" cm="1">
        <f t="array" aca="1" ref="D64" ca="1">DSUM(MercadoBase1,D$53,INDIRECT("r"&amp;5+2*(ROW()-54)&amp;":r"&amp;6+2*(ROW()-54)))</f>
        <v>0</v>
      </c>
      <c r="E64" s="975" cm="1">
        <f t="array" aca="1" ref="E64" ca="1">DSUM(MercadoBase1,E$53,INDIRECT("r"&amp;5+2*(ROW()-54)&amp;":r"&amp;6+2*(ROW()-54)))</f>
        <v>0</v>
      </c>
      <c r="F64" s="975" cm="1">
        <f t="array" aca="1" ref="F64" ca="1">DSUM(MercadoBase1,F$53,INDIRECT("r"&amp;5+2*(ROW()-54)&amp;":r"&amp;6+2*(ROW()-54)))</f>
        <v>0</v>
      </c>
      <c r="G64" s="975" cm="1">
        <f t="array" aca="1" ref="G64" ca="1">DSUM(MercadoBase1,G$53,INDIRECT("r"&amp;5+2*(ROW()-54)&amp;":r"&amp;6+2*(ROW()-54)))</f>
        <v>64687.488742857364</v>
      </c>
      <c r="H64" s="975" cm="1">
        <f t="array" aca="1" ref="H64" ca="1">DSUM(MercadoBase1,H$53,INDIRECT("r"&amp;5+2*(ROW()-54)&amp;":r"&amp;6+2*(ROW()-54)))</f>
        <v>406212.30976032169</v>
      </c>
      <c r="I64" s="975" cm="1">
        <f t="array" aca="1" ref="I64" ca="1">DSUM(MercadoBase1,I$53,INDIRECT("r"&amp;5+2*(ROW()-54)&amp;":r"&amp;6+2*(ROW()-54)))</f>
        <v>16171.854214662015</v>
      </c>
      <c r="J64" s="975" cm="1">
        <f t="array" aca="1" ref="J64" ca="1">DSUM(MercadoBase1,J$53,INDIRECT("r"&amp;5+2*(ROW()-54)&amp;":r"&amp;6+2*(ROW()-54)))</f>
        <v>0</v>
      </c>
      <c r="K64" s="975" cm="1">
        <f t="array" aca="1" ref="K64" ca="1">DSUM(MercadoBase1,K$53,INDIRECT("r"&amp;5+2*(ROW()-54)&amp;":r"&amp;6+2*(ROW()-54)))</f>
        <v>0</v>
      </c>
      <c r="L64" s="975" cm="1">
        <f t="array" aca="1" ref="L64" ca="1">DSUM(MercadoBase1,L$53,INDIRECT("r"&amp;5+2*(ROW()-54)&amp;":r"&amp;6+2*(ROW()-54)))</f>
        <v>0</v>
      </c>
      <c r="M64" s="975" cm="1">
        <f t="array" aca="1" ref="M64" ca="1">DSUM(MercadoBase1,M$53,INDIRECT("r"&amp;5+2*(ROW()-54)&amp;":r"&amp;6+2*(ROW()-54)))</f>
        <v>0</v>
      </c>
      <c r="N64" s="975" cm="1">
        <f t="array" aca="1" ref="N64" ca="1">DSUM(MercadoBase1,N$53,INDIRECT("r"&amp;5+2*(ROW()-54)&amp;":r"&amp;6+2*(ROW()-54)))</f>
        <v>0</v>
      </c>
      <c r="O64" s="975" cm="1">
        <f t="array" aca="1" ref="O64" ca="1">DSUM(MercadoBase1,O$53,INDIRECT("r"&amp;5+2*(ROW()-54)&amp;":r"&amp;6+2*(ROW()-54)))</f>
        <v>0</v>
      </c>
      <c r="P64" s="975" cm="1">
        <f t="array" aca="1" ref="P64" ca="1">DSUM(MercadoBase1,P$53,INDIRECT("r"&amp;5+2*(ROW()-54)&amp;":r"&amp;6+2*(ROW()-54)))</f>
        <v>0</v>
      </c>
      <c r="Q64" s="983" cm="1">
        <f t="array" aca="1" ref="Q64" ca="1">DSUM(MercadoBase1,Q$53,INDIRECT("r"&amp;5+2*(ROW()-54)&amp;":r"&amp;6+2*(ROW()-54)))</f>
        <v>0</v>
      </c>
      <c r="R64" s="976">
        <f>VLOOKUP(CAPA!$C$17,Índices!B:F,5,FALSE)/VLOOKUP(DATE(YEAR(B64),MONTH(B64),1),Índices!B:F,5,FALSE)</f>
        <v>1.0101531560893695</v>
      </c>
      <c r="S64" s="985" cm="1">
        <f t="array" aca="1" ref="S64" ca="1">DSUM(MercadoBase1,S$53,INDIRECT("r"&amp;5+2*(ROW()-54)&amp;":r"&amp;6+2*(ROW()-54)))</f>
        <v>0</v>
      </c>
      <c r="T64" s="975" cm="1">
        <f t="array" aca="1" ref="T64" ca="1">DSUM(MercadoBase1,T$53,INDIRECT("r"&amp;5+2*(ROW()-54)&amp;":r"&amp;6+2*(ROW()-54)))</f>
        <v>0</v>
      </c>
      <c r="U64" s="975" cm="1">
        <f t="array" aca="1" ref="U64" ca="1">DSUM(MercadoBase1,U$53,INDIRECT("r"&amp;5+2*(ROW()-54)&amp;":r"&amp;6+2*(ROW()-54)))</f>
        <v>0</v>
      </c>
      <c r="V64" s="975" cm="1">
        <f t="array" aca="1" ref="V64" ca="1">DSUM(MercadoBase1,V$53,INDIRECT("r"&amp;5+2*(ROW()-54)&amp;":r"&amp;6+2*(ROW()-54)))</f>
        <v>0</v>
      </c>
      <c r="W64" s="975" cm="1">
        <f t="array" aca="1" ref="W64" ca="1">DSUM(MercadoBase1,W$53,INDIRECT("r"&amp;5+2*(ROW()-54)&amp;":r"&amp;6+2*(ROW()-54)))</f>
        <v>0</v>
      </c>
      <c r="X64" s="975" cm="1">
        <f t="array" aca="1" ref="X64" ca="1">DSUM(MercadoBase1,X$53,INDIRECT("r"&amp;5+2*(ROW()-54)&amp;":r"&amp;6+2*(ROW()-54)))</f>
        <v>0</v>
      </c>
      <c r="Y64" s="975" cm="1">
        <f t="array" aca="1" ref="Y64" ca="1">DSUM(MercadoBase1,Y$53,INDIRECT("r"&amp;5+2*(ROW()-54)&amp;":r"&amp;6+2*(ROW()-54)))</f>
        <v>0</v>
      </c>
      <c r="Z64" s="975" cm="1">
        <f t="array" aca="1" ref="Z64" ca="1">DSUM(MercadoBase1,Z$53,INDIRECT("r"&amp;5+2*(ROW()-54)&amp;":r"&amp;6+2*(ROW()-54)))</f>
        <v>3228881.2043914171</v>
      </c>
      <c r="AA64" s="975" cm="1">
        <f t="array" aca="1" ref="AA64" ca="1">DSUM(MercadoBase1,AA$53,INDIRECT("r"&amp;5+2*(ROW()-54)&amp;":r"&amp;6+2*(ROW()-54)))</f>
        <v>0</v>
      </c>
      <c r="AB64" s="975" cm="1">
        <f t="array" aca="1" ref="AB64" ca="1">DSUM(MercadoBase1,AB$53,INDIRECT("r"&amp;5+2*(ROW()-54)&amp;":r"&amp;6+2*(ROW()-54)))</f>
        <v>0</v>
      </c>
    </row>
    <row r="65" spans="2:28" ht="15" customHeight="1">
      <c r="B65" s="973">
        <f>DATE(YEAR(CAPA!$C$15),MONTH(CAPA!$C$15)-1,1)</f>
        <v>44713</v>
      </c>
      <c r="C65" s="974"/>
      <c r="D65" s="1465" cm="1">
        <f t="array" aca="1" ref="D65" ca="1">DSUM(MercadoBase1,D$53,INDIRECT("r"&amp;5+2*(ROW()-54)&amp;":r"&amp;6+2*(ROW()-54)))</f>
        <v>0</v>
      </c>
      <c r="E65" s="1465" cm="1">
        <f t="array" aca="1" ref="E65" ca="1">DSUM(MercadoBase1,E$53,INDIRECT("r"&amp;5+2*(ROW()-54)&amp;":r"&amp;6+2*(ROW()-54)))</f>
        <v>0</v>
      </c>
      <c r="F65" s="975" cm="1">
        <f t="array" aca="1" ref="F65" ca="1">DSUM(MercadoBase1,F$53,INDIRECT("r"&amp;5+2*(ROW()-54)&amp;":r"&amp;6+2*(ROW()-54)))</f>
        <v>0</v>
      </c>
      <c r="G65" s="1465" cm="1">
        <f t="array" aca="1" ref="G65" ca="1">DSUM(MercadoBase1,G$53,INDIRECT("r"&amp;5+2*(ROW()-54)&amp;":r"&amp;6+2*(ROW()-54)))</f>
        <v>58522.898053866324</v>
      </c>
      <c r="H65" s="1465" cm="1">
        <f t="array" aca="1" ref="H65" ca="1">DSUM(MercadoBase1,H$53,INDIRECT("r"&amp;5+2*(ROW()-54)&amp;":r"&amp;6+2*(ROW()-54)))</f>
        <v>368346.70909449598</v>
      </c>
      <c r="I65" s="975" cm="1">
        <f t="array" aca="1" ref="I65" ca="1">DSUM(MercadoBase1,I$53,INDIRECT("r"&amp;5+2*(ROW()-54)&amp;":r"&amp;6+2*(ROW()-54)))</f>
        <v>14648.266177959626</v>
      </c>
      <c r="J65" s="1465" cm="1">
        <f t="array" aca="1" ref="J65" ca="1">DSUM(MercadoBase1,J$53,INDIRECT("r"&amp;5+2*(ROW()-54)&amp;":r"&amp;6+2*(ROW()-54)))</f>
        <v>0</v>
      </c>
      <c r="K65" s="1465" cm="1">
        <f t="array" aca="1" ref="K65" ca="1">DSUM(MercadoBase1,K$53,INDIRECT("r"&amp;5+2*(ROW()-54)&amp;":r"&amp;6+2*(ROW()-54)))</f>
        <v>0</v>
      </c>
      <c r="L65" s="975" cm="1">
        <f t="array" aca="1" ref="L65" ca="1">DSUM(MercadoBase1,L$53,INDIRECT("r"&amp;5+2*(ROW()-54)&amp;":r"&amp;6+2*(ROW()-54)))</f>
        <v>0</v>
      </c>
      <c r="M65" s="1465" cm="1">
        <f t="array" aca="1" ref="M65" ca="1">DSUM(MercadoBase1,M$53,INDIRECT("r"&amp;5+2*(ROW()-54)&amp;":r"&amp;6+2*(ROW()-54)))</f>
        <v>0</v>
      </c>
      <c r="N65" s="1465" cm="1">
        <f t="array" aca="1" ref="N65" ca="1">DSUM(MercadoBase1,N$53,INDIRECT("r"&amp;5+2*(ROW()-54)&amp;":r"&amp;6+2*(ROW()-54)))</f>
        <v>0</v>
      </c>
      <c r="O65" s="975" cm="1">
        <f t="array" aca="1" ref="O65" ca="1">DSUM(MercadoBase1,O$53,INDIRECT("r"&amp;5+2*(ROW()-54)&amp;":r"&amp;6+2*(ROW()-54)))</f>
        <v>0</v>
      </c>
      <c r="P65" s="1465" cm="1">
        <f t="array" aca="1" ref="P65" ca="1">DSUM(MercadoBase1,P$53,INDIRECT("r"&amp;5+2*(ROW()-54)&amp;":r"&amp;6+2*(ROW()-54)))</f>
        <v>0</v>
      </c>
      <c r="Q65" s="984" cm="1">
        <f t="array" aca="1" ref="Q65" ca="1">DSUM(MercadoBase1,Q$53,INDIRECT("r"&amp;5+2*(ROW()-54)&amp;":r"&amp;6+2*(ROW()-54)))</f>
        <v>0</v>
      </c>
      <c r="R65" s="1466">
        <f>VLOOKUP(CAPA!$C$17,Índices!B:F,5,FALSE)/VLOOKUP(DATE(YEAR(B65),MONTH(B65),1),Índices!B:F,5,FALSE)</f>
        <v>1</v>
      </c>
      <c r="S65" s="985" cm="1">
        <f t="array" aca="1" ref="S65" ca="1">DSUM(MercadoBase1,S$53,INDIRECT("r"&amp;5+2*(ROW()-54)&amp;":r"&amp;6+2*(ROW()-54)))</f>
        <v>0</v>
      </c>
      <c r="T65" s="1465" cm="1">
        <f t="array" aca="1" ref="T65" ca="1">DSUM(MercadoBase1,T$53,INDIRECT("r"&amp;5+2*(ROW()-54)&amp;":r"&amp;6+2*(ROW()-54)))</f>
        <v>0</v>
      </c>
      <c r="U65" s="1465" cm="1">
        <f t="array" aca="1" ref="U65" ca="1">DSUM(MercadoBase1,U$53,INDIRECT("r"&amp;5+2*(ROW()-54)&amp;":r"&amp;6+2*(ROW()-54)))</f>
        <v>0</v>
      </c>
      <c r="V65" s="975" cm="1">
        <f t="array" aca="1" ref="V65" ca="1">DSUM(MercadoBase1,V$53,INDIRECT("r"&amp;5+2*(ROW()-54)&amp;":r"&amp;6+2*(ROW()-54)))</f>
        <v>0</v>
      </c>
      <c r="W65" s="1465" cm="1">
        <f t="array" aca="1" ref="W65" ca="1">DSUM(MercadoBase1,W$53,INDIRECT("r"&amp;5+2*(ROW()-54)&amp;":r"&amp;6+2*(ROW()-54)))</f>
        <v>0</v>
      </c>
      <c r="X65" s="1465" cm="1">
        <f t="array" aca="1" ref="X65" ca="1">DSUM(MercadoBase1,X$53,INDIRECT("r"&amp;5+2*(ROW()-54)&amp;":r"&amp;6+2*(ROW()-54)))</f>
        <v>0</v>
      </c>
      <c r="Y65" s="975" cm="1">
        <f t="array" aca="1" ref="Y65" ca="1">DSUM(MercadoBase1,Y$53,INDIRECT("r"&amp;5+2*(ROW()-54)&amp;":r"&amp;6+2*(ROW()-54)))</f>
        <v>0</v>
      </c>
      <c r="Z65" s="1465" cm="1">
        <f t="array" aca="1" ref="Z65" ca="1">DSUM(MercadoBase1,Z$53,INDIRECT("r"&amp;5+2*(ROW()-54)&amp;":r"&amp;6+2*(ROW()-54)))</f>
        <v>3046613.1212638593</v>
      </c>
      <c r="AA65" s="1465" cm="1">
        <f t="array" aca="1" ref="AA65" ca="1">DSUM(MercadoBase1,AA$53,INDIRECT("r"&amp;5+2*(ROW()-54)&amp;":r"&amp;6+2*(ROW()-54)))</f>
        <v>0</v>
      </c>
      <c r="AB65" s="975" cm="1">
        <f t="array" aca="1" ref="AB65" ca="1">DSUM(MercadoBase1,AB$53,INDIRECT("r"&amp;5+2*(ROW()-54)&amp;":r"&amp;6+2*(ROW()-54)))</f>
        <v>0</v>
      </c>
    </row>
    <row r="66" spans="2:28" ht="15" customHeight="1">
      <c r="B66" s="1467" t="s">
        <v>1009</v>
      </c>
      <c r="C66" s="1468"/>
      <c r="D66" s="1469">
        <f ca="1">SUM(D54:D65)</f>
        <v>0</v>
      </c>
      <c r="E66" s="1469">
        <f t="shared" ref="E66:Q66" ca="1" si="3">SUM(E54:E65)</f>
        <v>0</v>
      </c>
      <c r="F66" s="1469">
        <f t="shared" ca="1" si="3"/>
        <v>0</v>
      </c>
      <c r="G66" s="1469">
        <f ca="1">SUM(G54:G65)</f>
        <v>855689.66410556505</v>
      </c>
      <c r="H66" s="1469">
        <f t="shared" ca="1" si="3"/>
        <v>5409668.1473058127</v>
      </c>
      <c r="I66" s="1469">
        <f t="shared" ca="1" si="3"/>
        <v>212284.91908248374</v>
      </c>
      <c r="J66" s="1469">
        <f t="shared" ca="1" si="3"/>
        <v>0</v>
      </c>
      <c r="K66" s="1469">
        <f t="shared" ca="1" si="3"/>
        <v>0</v>
      </c>
      <c r="L66" s="1469">
        <f t="shared" ca="1" si="3"/>
        <v>0</v>
      </c>
      <c r="M66" s="1469">
        <f t="shared" ca="1" si="3"/>
        <v>0</v>
      </c>
      <c r="N66" s="1469">
        <f t="shared" ca="1" si="3"/>
        <v>0</v>
      </c>
      <c r="O66" s="1469">
        <f t="shared" ca="1" si="3"/>
        <v>0</v>
      </c>
      <c r="P66" s="1469">
        <f t="shared" ca="1" si="3"/>
        <v>0</v>
      </c>
      <c r="Q66" s="1469">
        <f t="shared" ca="1" si="3"/>
        <v>0</v>
      </c>
      <c r="R66" s="1465"/>
      <c r="S66" s="1469">
        <f t="shared" ref="S66:AB66" ca="1" si="4">SUM(S54:S65)</f>
        <v>0</v>
      </c>
      <c r="T66" s="1469">
        <f t="shared" ca="1" si="4"/>
        <v>0</v>
      </c>
      <c r="U66" s="1469">
        <f t="shared" ca="1" si="4"/>
        <v>0</v>
      </c>
      <c r="V66" s="1469">
        <f t="shared" ca="1" si="4"/>
        <v>0</v>
      </c>
      <c r="W66" s="1469">
        <f t="shared" ca="1" si="4"/>
        <v>0</v>
      </c>
      <c r="X66" s="1469">
        <f t="shared" ca="1" si="4"/>
        <v>0</v>
      </c>
      <c r="Y66" s="1469">
        <f t="shared" ca="1" si="4"/>
        <v>0</v>
      </c>
      <c r="Z66" s="1469">
        <f t="shared" ca="1" si="4"/>
        <v>44795704.660218529</v>
      </c>
      <c r="AA66" s="1469">
        <f t="shared" ca="1" si="4"/>
        <v>0</v>
      </c>
      <c r="AB66" s="1469">
        <f t="shared" ca="1" si="4"/>
        <v>0</v>
      </c>
    </row>
    <row r="67" spans="2:28" ht="15" customHeight="1">
      <c r="B67" s="1470" t="s">
        <v>1418</v>
      </c>
      <c r="C67" s="1471"/>
      <c r="D67" s="1472">
        <f t="shared" ref="D67:AB67" ca="1" si="5">SUMPRODUCT(D54:D65,$R$54:$R$65)</f>
        <v>0</v>
      </c>
      <c r="E67" s="1473">
        <f t="shared" ca="1" si="5"/>
        <v>0</v>
      </c>
      <c r="F67" s="1474">
        <f t="shared" ca="1" si="5"/>
        <v>0</v>
      </c>
      <c r="G67" s="1473">
        <f t="shared" ca="1" si="5"/>
        <v>894226.3790397055</v>
      </c>
      <c r="H67" s="1473">
        <f t="shared" ca="1" si="5"/>
        <v>5653680.5502403211</v>
      </c>
      <c r="I67" s="1474">
        <f t="shared" ca="1" si="5"/>
        <v>221828.68249032879</v>
      </c>
      <c r="J67" s="1472">
        <f t="shared" ca="1" si="5"/>
        <v>0</v>
      </c>
      <c r="K67" s="1473">
        <f t="shared" ca="1" si="5"/>
        <v>0</v>
      </c>
      <c r="L67" s="1474">
        <f t="shared" ca="1" si="5"/>
        <v>0</v>
      </c>
      <c r="M67" s="1473">
        <f t="shared" ca="1" si="5"/>
        <v>0</v>
      </c>
      <c r="N67" s="1473">
        <f t="shared" ca="1" si="5"/>
        <v>0</v>
      </c>
      <c r="O67" s="1474">
        <f t="shared" ca="1" si="5"/>
        <v>0</v>
      </c>
      <c r="P67" s="1472">
        <f t="shared" ca="1" si="5"/>
        <v>0</v>
      </c>
      <c r="Q67" s="1472">
        <f t="shared" ca="1" si="5"/>
        <v>0</v>
      </c>
      <c r="R67" s="1473">
        <f t="shared" si="5"/>
        <v>13.165388547125795</v>
      </c>
      <c r="S67" s="1474">
        <f t="shared" ca="1" si="5"/>
        <v>0</v>
      </c>
      <c r="T67" s="1473">
        <f t="shared" ca="1" si="5"/>
        <v>0</v>
      </c>
      <c r="U67" s="1473">
        <f t="shared" ca="1" si="5"/>
        <v>0</v>
      </c>
      <c r="V67" s="1474">
        <f t="shared" ca="1" si="5"/>
        <v>0</v>
      </c>
      <c r="W67" s="1472">
        <f t="shared" ca="1" si="5"/>
        <v>0</v>
      </c>
      <c r="X67" s="1473">
        <f t="shared" ca="1" si="5"/>
        <v>0</v>
      </c>
      <c r="Y67" s="1474">
        <f t="shared" ca="1" si="5"/>
        <v>0</v>
      </c>
      <c r="Z67" s="1473">
        <f t="shared" ca="1" si="5"/>
        <v>46822469.492006756</v>
      </c>
      <c r="AA67" s="1473">
        <f t="shared" ca="1" si="5"/>
        <v>0</v>
      </c>
      <c r="AB67" s="1474">
        <f t="shared" ca="1" si="5"/>
        <v>0</v>
      </c>
    </row>
    <row r="71" spans="2:28" ht="15" customHeight="1">
      <c r="H71" s="986"/>
      <c r="J71" s="986"/>
    </row>
    <row r="72" spans="2:28" ht="15" customHeight="1">
      <c r="H72" s="986"/>
      <c r="J72" s="986"/>
    </row>
    <row r="73" spans="2:28" ht="15" customHeight="1">
      <c r="H73" s="986"/>
      <c r="J73" s="986"/>
    </row>
    <row r="74" spans="2:28" ht="15" customHeight="1">
      <c r="H74" s="986"/>
      <c r="J74" s="986"/>
    </row>
    <row r="75" spans="2:28" ht="15" customHeight="1">
      <c r="H75" s="986"/>
      <c r="J75" s="986"/>
    </row>
    <row r="76" spans="2:28" ht="15" customHeight="1">
      <c r="H76" s="986"/>
      <c r="J76" s="986"/>
    </row>
    <row r="77" spans="2:28" ht="15" customHeight="1">
      <c r="H77" s="986"/>
      <c r="J77" s="986"/>
    </row>
    <row r="78" spans="2:28" ht="15" customHeight="1">
      <c r="H78" s="986"/>
      <c r="J78" s="986"/>
    </row>
    <row r="79" spans="2:28" ht="15" customHeight="1">
      <c r="H79" s="986"/>
      <c r="J79" s="986"/>
    </row>
    <row r="80" spans="2:28" ht="15" customHeight="1">
      <c r="H80" s="986"/>
      <c r="J80" s="986"/>
    </row>
    <row r="81" spans="8:10" ht="15" customHeight="1">
      <c r="H81" s="986"/>
      <c r="J81" s="986"/>
    </row>
    <row r="82" spans="8:10" ht="15" customHeight="1">
      <c r="H82" s="986"/>
      <c r="J82" s="986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82" t="str">
        <f>CAPA!C9</f>
        <v>Celetro</v>
      </c>
    </row>
    <row r="3" spans="1:14">
      <c r="A3" s="882" t="s">
        <v>1419</v>
      </c>
      <c r="B3" s="883">
        <v>0</v>
      </c>
    </row>
    <row r="7" spans="1:14">
      <c r="A7" s="884"/>
      <c r="B7" s="1777" t="s">
        <v>1420</v>
      </c>
      <c r="C7" s="1777"/>
      <c r="D7" s="1777"/>
      <c r="E7" s="884"/>
      <c r="F7" s="1777" t="s">
        <v>1421</v>
      </c>
      <c r="G7" s="1777"/>
      <c r="H7" s="1777"/>
      <c r="I7" s="884"/>
      <c r="J7" s="1777" t="s">
        <v>1422</v>
      </c>
      <c r="K7" s="1777"/>
      <c r="L7" s="1777"/>
    </row>
    <row r="8" spans="1:14">
      <c r="A8" s="1475" t="s">
        <v>1423</v>
      </c>
      <c r="B8" s="1475" t="s">
        <v>1424</v>
      </c>
      <c r="C8" s="1475" t="s">
        <v>110</v>
      </c>
      <c r="D8" s="1475" t="s">
        <v>1425</v>
      </c>
      <c r="E8" s="1475"/>
      <c r="F8" s="1475" t="s">
        <v>1424</v>
      </c>
      <c r="G8" s="1475" t="s">
        <v>1426</v>
      </c>
      <c r="H8" s="1475" t="s">
        <v>1427</v>
      </c>
      <c r="I8" s="1475"/>
      <c r="J8" s="1475" t="s">
        <v>1424</v>
      </c>
      <c r="K8" s="1475" t="s">
        <v>1426</v>
      </c>
      <c r="L8" s="1475" t="s">
        <v>1428</v>
      </c>
    </row>
    <row r="9" spans="1:14">
      <c r="A9" s="1476">
        <v>44013</v>
      </c>
      <c r="B9" s="1477">
        <f>SUMIFS(BDCOVID!F:F,BDCOVID!$C:$C,'Conta covid'!$A$1,BDCOVID!$AH:$AH,'Conta covid'!$A9)</f>
        <v>0</v>
      </c>
      <c r="C9" s="1477">
        <f>SUMIFS(BDCOVID!G:G,BDCOVID!$C:$C,'Conta covid'!$A$1,BDCOVID!$AH:$AH,'Conta covid'!$A9)</f>
        <v>0</v>
      </c>
      <c r="D9" s="1478">
        <f>B9-C9</f>
        <v>0</v>
      </c>
      <c r="E9" s="1477"/>
      <c r="F9" s="1479">
        <f>B9*VLOOKUP(SAS_RA0_DataFim,Índices!$B$6:$F$405,5,FALSE)/VLOOKUP(EDATE('Conta covid'!$A9,-1),Índices!$B$6:$F$405,5,FALSE)</f>
        <v>0</v>
      </c>
      <c r="G9" s="1479">
        <f>C9*VLOOKUP(SAS_RA0_DataFim,Índices!$B$6:$F$405,5,FALSE)/VLOOKUP(EDATE('Conta covid'!$A9,-1),Índices!$B$6:$F$405,5,FALSE)</f>
        <v>0</v>
      </c>
      <c r="H9" s="1479">
        <f>F9-G9</f>
        <v>0</v>
      </c>
      <c r="I9" s="1477"/>
      <c r="J9" s="1479">
        <f>IFERROR(IF($C$19,H9*$B$3,0),0)</f>
        <v>0</v>
      </c>
      <c r="K9" s="1479"/>
      <c r="L9" s="1479"/>
    </row>
    <row r="10" spans="1:14">
      <c r="A10" s="1476">
        <v>44044</v>
      </c>
      <c r="B10" s="1477">
        <f>SUMIFS(BDCOVID!F:F,BDCOVID!$C:$C,'Conta covid'!$A$1,BDCOVID!$AH:$AH,'Conta covid'!$A10)</f>
        <v>0</v>
      </c>
      <c r="C10" s="1477">
        <f>SUMIFS(BDCOVID!G:G,BDCOVID!$C:$C,'Conta covid'!$A$1,BDCOVID!$AH:$AH,'Conta covid'!$A10)</f>
        <v>0</v>
      </c>
      <c r="D10" s="1478">
        <f t="shared" ref="D10:D15" si="0">B10-C10</f>
        <v>0</v>
      </c>
      <c r="E10" s="1477"/>
      <c r="F10" s="1479">
        <f>B10*VLOOKUP(SAS_RA0_DataFim,Índices!$B$6:$F$405,5,FALSE)/VLOOKUP(EDATE('Conta covid'!$A10,-1),Índices!$B$6:$F$405,5,FALSE)</f>
        <v>0</v>
      </c>
      <c r="G10" s="1479">
        <f>C10*VLOOKUP(SAS_RA0_DataFim,Índices!$B$6:$F$405,5,FALSE)/VLOOKUP(EDATE('Conta covid'!$A10,-1),Índices!$B$6:$F$405,5,FALSE)</f>
        <v>0</v>
      </c>
      <c r="H10" s="1479">
        <f t="shared" ref="H10:H15" si="1">F10-G10</f>
        <v>0</v>
      </c>
      <c r="I10" s="1477"/>
      <c r="J10" s="1479">
        <f t="shared" ref="J10:J16" si="2">IFERROR(IF($C$19,H10*$B$3,0),0)</f>
        <v>0</v>
      </c>
      <c r="K10" s="1479"/>
      <c r="L10" s="1479"/>
    </row>
    <row r="11" spans="1:14">
      <c r="A11" s="1476">
        <v>44075</v>
      </c>
      <c r="B11" s="1477">
        <f>SUMIFS(BDCOVID!F:F,BDCOVID!$C:$C,'Conta covid'!$A$1,BDCOVID!$AH:$AH,'Conta covid'!$A11)</f>
        <v>0</v>
      </c>
      <c r="C11" s="1477">
        <f>SUMIFS(BDCOVID!G:G,BDCOVID!$C:$C,'Conta covid'!$A$1,BDCOVID!$AH:$AH,'Conta covid'!$A11)</f>
        <v>0</v>
      </c>
      <c r="D11" s="1478">
        <f t="shared" si="0"/>
        <v>0</v>
      </c>
      <c r="E11" s="1477"/>
      <c r="F11" s="1479">
        <f>B11*VLOOKUP(SAS_RA0_DataFim,Índices!$B$6:$F$405,5,FALSE)/VLOOKUP(EDATE('Conta covid'!$A11,-1),Índices!$B$6:$F$405,5,FALSE)</f>
        <v>0</v>
      </c>
      <c r="G11" s="1479">
        <f>C11*VLOOKUP(SAS_RA0_DataFim,Índices!$B$6:$F$405,5,FALSE)/VLOOKUP(EDATE('Conta covid'!$A11,-1),Índices!$B$6:$F$405,5,FALSE)</f>
        <v>0</v>
      </c>
      <c r="H11" s="1479">
        <f t="shared" si="1"/>
        <v>0</v>
      </c>
      <c r="I11" s="1477"/>
      <c r="J11" s="1479">
        <f t="shared" si="2"/>
        <v>0</v>
      </c>
      <c r="K11" s="1479"/>
      <c r="L11" s="1479"/>
    </row>
    <row r="12" spans="1:14">
      <c r="A12" s="1476">
        <v>44105</v>
      </c>
      <c r="B12" s="1477">
        <f>SUMIFS(BDCOVID!F:F,BDCOVID!$C:$C,'Conta covid'!$A$1,BDCOVID!$AH:$AH,'Conta covid'!$A12)</f>
        <v>0</v>
      </c>
      <c r="C12" s="1477">
        <f>SUMIFS(BDCOVID!G:G,BDCOVID!$C:$C,'Conta covid'!$A$1,BDCOVID!$AH:$AH,'Conta covid'!$A12)</f>
        <v>0</v>
      </c>
      <c r="D12" s="1478">
        <f t="shared" si="0"/>
        <v>0</v>
      </c>
      <c r="E12" s="1477"/>
      <c r="F12" s="1479">
        <f>B12*VLOOKUP(SAS_RA0_DataFim,Índices!$B$6:$F$405,5,FALSE)/VLOOKUP(EDATE('Conta covid'!$A12,-1),Índices!$B$6:$F$405,5,FALSE)</f>
        <v>0</v>
      </c>
      <c r="G12" s="1479">
        <f>C12*VLOOKUP(SAS_RA0_DataFim,Índices!$B$6:$F$405,5,FALSE)/VLOOKUP(EDATE('Conta covid'!$A12,-1),Índices!$B$6:$F$405,5,FALSE)</f>
        <v>0</v>
      </c>
      <c r="H12" s="1479">
        <f t="shared" si="1"/>
        <v>0</v>
      </c>
      <c r="I12" s="1477"/>
      <c r="J12" s="1479">
        <f t="shared" si="2"/>
        <v>0</v>
      </c>
      <c r="K12" s="1479"/>
      <c r="L12" s="1479"/>
    </row>
    <row r="13" spans="1:14">
      <c r="A13" s="1476">
        <v>44136</v>
      </c>
      <c r="B13" s="1477">
        <f>SUMIFS(BDCOVID!F:F,BDCOVID!$C:$C,'Conta covid'!$A$1,BDCOVID!$AH:$AH,'Conta covid'!$A13)</f>
        <v>0</v>
      </c>
      <c r="C13" s="1477">
        <f>SUMIFS(BDCOVID!G:G,BDCOVID!$C:$C,'Conta covid'!$A$1,BDCOVID!$AH:$AH,'Conta covid'!$A13)</f>
        <v>0</v>
      </c>
      <c r="D13" s="1478">
        <f t="shared" si="0"/>
        <v>0</v>
      </c>
      <c r="E13" s="1477"/>
      <c r="F13" s="1479">
        <f>B13*VLOOKUP(SAS_RA0_DataFim,Índices!$B$6:$F$405,5,FALSE)/VLOOKUP(EDATE('Conta covid'!$A13,-1),Índices!$B$6:$F$405,5,FALSE)</f>
        <v>0</v>
      </c>
      <c r="G13" s="1479">
        <f>C13*VLOOKUP(SAS_RA0_DataFim,Índices!$B$6:$F$405,5,FALSE)/VLOOKUP(EDATE('Conta covid'!$A13,-1),Índices!$B$6:$F$405,5,FALSE)</f>
        <v>0</v>
      </c>
      <c r="H13" s="1479">
        <f t="shared" si="1"/>
        <v>0</v>
      </c>
      <c r="I13" s="1477"/>
      <c r="J13" s="1479">
        <f t="shared" si="2"/>
        <v>0</v>
      </c>
      <c r="K13" s="1479"/>
      <c r="L13" s="1479"/>
      <c r="M13" s="885">
        <f t="shared" ref="M13:N13" si="3">SUM(M5:M12)</f>
        <v>0</v>
      </c>
      <c r="N13" s="885">
        <f t="shared" si="3"/>
        <v>0</v>
      </c>
    </row>
    <row r="14" spans="1:14">
      <c r="A14" s="1476">
        <v>44166</v>
      </c>
      <c r="B14" s="1477">
        <f>SUMIFS(BDCOVID!F:F,BDCOVID!$C:$C,'Conta covid'!$A$1,BDCOVID!$AH:$AH,'Conta covid'!$A14)</f>
        <v>0</v>
      </c>
      <c r="C14" s="1477">
        <f>SUMIFS(BDCOVID!G:G,BDCOVID!$C:$C,'Conta covid'!$A$1,BDCOVID!$AH:$AH,'Conta covid'!$A14)</f>
        <v>0</v>
      </c>
      <c r="D14" s="1478">
        <f t="shared" si="0"/>
        <v>0</v>
      </c>
      <c r="E14" s="1477"/>
      <c r="F14" s="1479">
        <f>B14*VLOOKUP(SAS_RA0_DataFim,Índices!$B$6:$F$405,5,FALSE)/VLOOKUP(EDATE('Conta covid'!$A14,-1),Índices!$B$6:$F$405,5,FALSE)</f>
        <v>0</v>
      </c>
      <c r="G14" s="1479">
        <f>C14*VLOOKUP(SAS_RA0_DataFim,Índices!$B$6:$F$405,5,FALSE)/VLOOKUP(EDATE('Conta covid'!$A14,-1),Índices!$B$6:$F$405,5,FALSE)</f>
        <v>0</v>
      </c>
      <c r="H14" s="1479">
        <f t="shared" si="1"/>
        <v>0</v>
      </c>
      <c r="I14" s="1477"/>
      <c r="J14" s="1479">
        <f t="shared" si="2"/>
        <v>0</v>
      </c>
      <c r="K14" s="1479"/>
      <c r="L14" s="1479"/>
    </row>
    <row r="15" spans="1:14">
      <c r="A15" s="1476">
        <v>44197</v>
      </c>
      <c r="B15" s="1477">
        <f>SUMIFS(BDCOVID!F:F,BDCOVID!$C:$C,'Conta covid'!$A$1,BDCOVID!$AH:$AH,'Conta covid'!$A15)</f>
        <v>0</v>
      </c>
      <c r="C15" s="1477">
        <f>SUMIFS(BDCOVID!G:G,BDCOVID!$C:$C,'Conta covid'!$A$1,BDCOVID!$AH:$AH,'Conta covid'!$A15)</f>
        <v>0</v>
      </c>
      <c r="D15" s="1478">
        <f t="shared" si="0"/>
        <v>0</v>
      </c>
      <c r="E15" s="1477"/>
      <c r="F15" s="1479">
        <f>B15*VLOOKUP(SAS_RA0_DataFim,Índices!$B$6:$F$405,5,FALSE)/VLOOKUP(EDATE('Conta covid'!$A15,-1),Índices!$B$6:$F$405,5,FALSE)</f>
        <v>0</v>
      </c>
      <c r="G15" s="1479">
        <f>C15*VLOOKUP(SAS_RA0_DataFim,Índices!$B$6:$F$405,5,FALSE)/VLOOKUP(EDATE('Conta covid'!$A15,-1),Índices!$B$6:$F$405,5,FALSE)</f>
        <v>0</v>
      </c>
      <c r="H15" s="1479">
        <f t="shared" si="1"/>
        <v>0</v>
      </c>
      <c r="I15" s="1477"/>
      <c r="J15" s="1479">
        <f t="shared" si="2"/>
        <v>0</v>
      </c>
      <c r="K15" s="1479"/>
      <c r="L15" s="1479"/>
    </row>
    <row r="16" spans="1:14">
      <c r="A16" s="1477"/>
      <c r="B16" s="1477"/>
      <c r="C16" s="1477"/>
      <c r="D16" s="1477"/>
      <c r="E16" s="1477"/>
      <c r="F16" s="1477"/>
      <c r="G16" s="1479"/>
      <c r="H16" s="1477"/>
      <c r="I16" s="1477"/>
      <c r="J16" s="1479">
        <f t="shared" si="2"/>
        <v>0</v>
      </c>
      <c r="K16" s="1477"/>
      <c r="L16" s="1477"/>
    </row>
    <row r="17" spans="1:12">
      <c r="A17" s="1480" t="s">
        <v>843</v>
      </c>
      <c r="B17" s="1481">
        <f>SUM(B9:B16)</f>
        <v>0</v>
      </c>
      <c r="C17" s="1481">
        <f t="shared" ref="C17:L17" si="4">SUM(C9:C16)</f>
        <v>0</v>
      </c>
      <c r="D17" s="1481">
        <f t="shared" si="4"/>
        <v>0</v>
      </c>
      <c r="E17" s="1481">
        <f t="shared" si="4"/>
        <v>0</v>
      </c>
      <c r="F17" s="1481">
        <f t="shared" si="4"/>
        <v>0</v>
      </c>
      <c r="G17" s="1481">
        <f t="shared" si="4"/>
        <v>0</v>
      </c>
      <c r="H17" s="1481">
        <f t="shared" si="4"/>
        <v>0</v>
      </c>
      <c r="I17" s="1481">
        <f t="shared" si="4"/>
        <v>0</v>
      </c>
      <c r="J17" s="1481">
        <f t="shared" si="4"/>
        <v>0</v>
      </c>
      <c r="K17" s="1481">
        <f t="shared" si="4"/>
        <v>0</v>
      </c>
      <c r="L17" s="1481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1429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1430</v>
      </c>
      <c r="B3" s="65"/>
      <c r="C3" s="65"/>
      <c r="D3" s="65"/>
      <c r="E3" s="65"/>
      <c r="F3" s="695"/>
      <c r="G3" s="358"/>
      <c r="H3" s="358"/>
      <c r="I3" s="697" t="s">
        <v>1431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82" t="s">
        <v>22</v>
      </c>
      <c r="B4" s="1483"/>
      <c r="C4" s="699" t="s">
        <v>925</v>
      </c>
      <c r="D4" s="699" t="s">
        <v>1432</v>
      </c>
      <c r="E4" s="699" t="s">
        <v>1433</v>
      </c>
      <c r="F4" s="699" t="s">
        <v>8</v>
      </c>
      <c r="G4" s="700" t="s">
        <v>1434</v>
      </c>
      <c r="H4" s="358"/>
      <c r="I4" s="1482" t="s">
        <v>22</v>
      </c>
      <c r="J4" s="1482"/>
      <c r="K4" s="1482"/>
      <c r="L4" s="699" t="s">
        <v>1433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84" t="s">
        <v>771</v>
      </c>
      <c r="B5" s="1485"/>
      <c r="C5" s="1486">
        <f>SUMPRODUCT(C16:Q16,$C$22:$Q$22)</f>
        <v>184324.88995599194</v>
      </c>
      <c r="D5" s="704">
        <f>SUMPRODUCT(C28:Q28,$C$34:$Q$34)</f>
        <v>0</v>
      </c>
      <c r="E5" s="1487">
        <f>C5-D5</f>
        <v>184324.88995599194</v>
      </c>
      <c r="F5" s="1488">
        <f>Resultado!M9</f>
        <v>197940.51084737276</v>
      </c>
      <c r="G5" s="701">
        <f>F5+E5</f>
        <v>382265.4008033647</v>
      </c>
      <c r="H5" s="358"/>
      <c r="I5" s="1484" t="s">
        <v>771</v>
      </c>
      <c r="J5" s="1484"/>
      <c r="K5" s="1484"/>
      <c r="L5" s="1488">
        <f t="shared" ref="L5:N10" si="0">E5/12</f>
        <v>15360.407496332662</v>
      </c>
      <c r="M5" s="1488">
        <f t="shared" si="0"/>
        <v>16495.042570614398</v>
      </c>
      <c r="N5" s="1486">
        <f t="shared" si="0"/>
        <v>31855.450066947058</v>
      </c>
      <c r="P5" s="358"/>
      <c r="Q5" s="358"/>
      <c r="R5" s="9"/>
      <c r="S5" s="9"/>
      <c r="T5" s="9"/>
      <c r="U5" s="9"/>
      <c r="V5" s="9"/>
    </row>
    <row r="6" spans="1:22">
      <c r="A6" s="65" t="s">
        <v>773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773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775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775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776</v>
      </c>
      <c r="B8" s="702"/>
      <c r="C8" s="703">
        <f t="shared" si="1"/>
        <v>43932.457980468418</v>
      </c>
      <c r="D8" s="704">
        <f t="shared" si="2"/>
        <v>37889.500058464568</v>
      </c>
      <c r="E8" s="722">
        <f t="shared" si="3"/>
        <v>6042.9579220038504</v>
      </c>
      <c r="F8" s="704">
        <f>Resultado!M12</f>
        <v>22484.089928273901</v>
      </c>
      <c r="G8" s="701">
        <f t="shared" si="4"/>
        <v>28527.047850277751</v>
      </c>
      <c r="H8" s="358"/>
      <c r="I8" s="65" t="s">
        <v>776</v>
      </c>
      <c r="J8" s="65"/>
      <c r="K8" s="65"/>
      <c r="L8" s="704">
        <f t="shared" si="0"/>
        <v>503.57982683365418</v>
      </c>
      <c r="M8" s="704">
        <f t="shared" si="0"/>
        <v>1873.6741606894918</v>
      </c>
      <c r="N8" s="703">
        <f t="shared" si="0"/>
        <v>2377.253987523146</v>
      </c>
      <c r="P8" s="358"/>
      <c r="Q8" s="358"/>
      <c r="R8" s="9"/>
      <c r="S8" s="9"/>
      <c r="T8" s="9"/>
      <c r="U8" s="9"/>
      <c r="V8" s="9"/>
    </row>
    <row r="9" spans="1:22">
      <c r="A9" s="65" t="s">
        <v>779</v>
      </c>
      <c r="B9" s="702"/>
      <c r="C9" s="703">
        <f t="shared" si="1"/>
        <v>4223473.1953850389</v>
      </c>
      <c r="D9" s="704">
        <f t="shared" si="2"/>
        <v>4026400.785461525</v>
      </c>
      <c r="E9" s="722">
        <f>C9-D9</f>
        <v>197072.40992351389</v>
      </c>
      <c r="F9" s="704">
        <f>Resultado!M13</f>
        <v>2160693.0765542602</v>
      </c>
      <c r="G9" s="701">
        <f t="shared" si="4"/>
        <v>2357765.4864777741</v>
      </c>
      <c r="H9" s="358"/>
      <c r="I9" s="65" t="s">
        <v>779</v>
      </c>
      <c r="J9" s="65"/>
      <c r="K9" s="65"/>
      <c r="L9" s="704">
        <f t="shared" si="0"/>
        <v>16422.700826959492</v>
      </c>
      <c r="M9" s="704">
        <f t="shared" si="0"/>
        <v>180057.75637952168</v>
      </c>
      <c r="N9" s="703">
        <f t="shared" si="0"/>
        <v>196480.45720648117</v>
      </c>
      <c r="P9" s="358"/>
      <c r="Q9" s="358"/>
      <c r="R9" s="9"/>
      <c r="S9" s="9"/>
      <c r="T9" s="9"/>
      <c r="U9" s="9"/>
      <c r="V9" s="9"/>
    </row>
    <row r="10" spans="1:22">
      <c r="A10" s="1182" t="s">
        <v>781</v>
      </c>
      <c r="B10" s="705"/>
      <c r="C10" s="703">
        <f t="shared" si="1"/>
        <v>872798.8563925029</v>
      </c>
      <c r="D10" s="704">
        <f t="shared" si="2"/>
        <v>808087.26200654043</v>
      </c>
      <c r="E10" s="1489">
        <f t="shared" si="3"/>
        <v>64711.594385962468</v>
      </c>
      <c r="F10" s="1490">
        <f>Resultado!M14</f>
        <v>858939.83875974338</v>
      </c>
      <c r="G10" s="701">
        <f t="shared" si="4"/>
        <v>923651.43314570584</v>
      </c>
      <c r="H10" s="358"/>
      <c r="I10" s="1182" t="s">
        <v>781</v>
      </c>
      <c r="J10" s="1182"/>
      <c r="K10" s="1182"/>
      <c r="L10" s="1490">
        <f t="shared" si="0"/>
        <v>5392.632865496872</v>
      </c>
      <c r="M10" s="1490">
        <f t="shared" si="0"/>
        <v>71578.319896645276</v>
      </c>
      <c r="N10" s="706">
        <f t="shared" si="0"/>
        <v>76970.952762142158</v>
      </c>
      <c r="P10" s="358"/>
      <c r="Q10" s="358"/>
      <c r="R10" s="9"/>
      <c r="S10" s="9"/>
      <c r="T10" s="9"/>
      <c r="U10" s="9"/>
      <c r="V10" s="9"/>
    </row>
    <row r="11" spans="1:22">
      <c r="A11" s="1491" t="s">
        <v>843</v>
      </c>
      <c r="B11" s="1491"/>
      <c r="C11" s="1492">
        <f>SUM(C5:C10)</f>
        <v>5324529.3997140024</v>
      </c>
      <c r="D11" s="1492">
        <f>SUM(D5:D10)</f>
        <v>4872377.54752653</v>
      </c>
      <c r="E11" s="1492">
        <f t="shared" ref="E11" si="5">SUM(E5:E10)</f>
        <v>452151.85218747216</v>
      </c>
      <c r="F11" s="1492">
        <f>SUM(F5:F10)</f>
        <v>3240057.5160896499</v>
      </c>
      <c r="G11" s="1493">
        <f>SUM(G5:G10)</f>
        <v>3692209.3682771223</v>
      </c>
      <c r="H11" s="358"/>
      <c r="I11" s="1491" t="s">
        <v>843</v>
      </c>
      <c r="J11" s="1491"/>
      <c r="K11" s="1491"/>
      <c r="L11" s="1492">
        <f>SUM(L5:L10)</f>
        <v>37679.321015622685</v>
      </c>
      <c r="M11" s="1492">
        <f>SUM(M5:M10)</f>
        <v>270004.79300747084</v>
      </c>
      <c r="N11" s="1493">
        <f>SUM(N5:N10)</f>
        <v>307684.11402309354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1435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78" t="s">
        <v>22</v>
      </c>
      <c r="B14" s="1779" t="s">
        <v>1436</v>
      </c>
      <c r="C14" s="358"/>
      <c r="D14" s="358"/>
      <c r="E14" s="358"/>
      <c r="F14" s="707" t="s">
        <v>949</v>
      </c>
      <c r="G14" s="707" t="s">
        <v>949</v>
      </c>
      <c r="H14" s="707" t="s">
        <v>949</v>
      </c>
      <c r="I14" s="707" t="s">
        <v>949</v>
      </c>
      <c r="J14" s="707" t="s">
        <v>949</v>
      </c>
      <c r="K14" s="707" t="s">
        <v>949</v>
      </c>
      <c r="L14" s="707" t="s">
        <v>949</v>
      </c>
      <c r="M14" s="707" t="s">
        <v>949</v>
      </c>
      <c r="N14" s="707" t="s">
        <v>949</v>
      </c>
      <c r="O14" s="707" t="s">
        <v>949</v>
      </c>
      <c r="P14" s="707" t="s">
        <v>949</v>
      </c>
      <c r="Q14" s="707" t="s">
        <v>949</v>
      </c>
      <c r="R14" s="9"/>
      <c r="S14" s="9"/>
      <c r="T14" s="9"/>
      <c r="U14" s="9"/>
      <c r="V14" s="9"/>
    </row>
    <row r="15" spans="1:22">
      <c r="A15" s="1778"/>
      <c r="B15" s="1779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1012</v>
      </c>
      <c r="S15" s="9"/>
      <c r="T15" s="9"/>
      <c r="U15" s="9"/>
      <c r="V15" s="9"/>
    </row>
    <row r="16" spans="1:22">
      <c r="A16" s="710" t="s">
        <v>1437</v>
      </c>
      <c r="B16" s="711" t="s">
        <v>1001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27252</v>
      </c>
      <c r="G16" s="712">
        <f t="shared" si="8"/>
        <v>0</v>
      </c>
      <c r="H16" s="712">
        <f t="shared" si="8"/>
        <v>0</v>
      </c>
      <c r="I16" s="712">
        <f t="shared" si="8"/>
        <v>13525.216740000002</v>
      </c>
      <c r="J16" s="712">
        <f t="shared" si="8"/>
        <v>17757.403200000001</v>
      </c>
      <c r="K16" s="712">
        <f t="shared" si="8"/>
        <v>12604.050000000001</v>
      </c>
      <c r="L16" s="712">
        <f t="shared" si="8"/>
        <v>0</v>
      </c>
      <c r="M16" s="712">
        <f t="shared" si="8"/>
        <v>17269.592400000001</v>
      </c>
      <c r="N16" s="712">
        <f t="shared" si="8"/>
        <v>21406.446</v>
      </c>
      <c r="O16" s="712">
        <f t="shared" si="8"/>
        <v>20613.412800000002</v>
      </c>
      <c r="P16" s="712">
        <f t="shared" si="8"/>
        <v>26099.240400000002</v>
      </c>
      <c r="Q16" s="712">
        <f t="shared" si="8"/>
        <v>17863.686000000002</v>
      </c>
      <c r="R16" s="9"/>
      <c r="S16" s="9"/>
      <c r="T16" s="9"/>
      <c r="U16" s="9"/>
      <c r="V16" s="9"/>
    </row>
    <row r="17" spans="1:22">
      <c r="A17" s="710" t="s">
        <v>1438</v>
      </c>
      <c r="B17" s="711" t="s">
        <v>1002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1439</v>
      </c>
      <c r="B18" s="711" t="s">
        <v>1003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37">
        <f t="shared" ref="F18:Q18" si="10">IFERROR(DSUM(MercadoBase,$B18,F$14:F$15)+(DSUM(MercadoBase,$R$15,F$14:F$15)/($D$53/12))*$F$30,0)</f>
        <v>0</v>
      </c>
      <c r="G18" s="1037">
        <f t="shared" si="10"/>
        <v>0</v>
      </c>
      <c r="H18" s="1037">
        <f t="shared" si="10"/>
        <v>0</v>
      </c>
      <c r="I18" s="1037">
        <f t="shared" si="10"/>
        <v>0</v>
      </c>
      <c r="J18" s="1037">
        <f t="shared" si="10"/>
        <v>0</v>
      </c>
      <c r="K18" s="1037">
        <f t="shared" si="10"/>
        <v>0</v>
      </c>
      <c r="L18" s="1037">
        <f t="shared" si="10"/>
        <v>0</v>
      </c>
      <c r="M18" s="1037">
        <f t="shared" si="10"/>
        <v>0</v>
      </c>
      <c r="N18" s="1037">
        <f t="shared" si="10"/>
        <v>0</v>
      </c>
      <c r="O18" s="1037">
        <f t="shared" si="10"/>
        <v>0</v>
      </c>
      <c r="P18" s="1037">
        <f t="shared" si="10"/>
        <v>0</v>
      </c>
      <c r="Q18" s="1037">
        <f t="shared" si="10"/>
        <v>0</v>
      </c>
      <c r="R18" s="9"/>
      <c r="S18" s="9"/>
      <c r="T18" s="9"/>
      <c r="U18" s="9"/>
      <c r="V18" s="9"/>
    </row>
    <row r="19" spans="1:22">
      <c r="A19" s="710" t="s">
        <v>1440</v>
      </c>
      <c r="B19" s="711" t="s">
        <v>1004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3246.2423945999981</v>
      </c>
      <c r="G19" s="712">
        <f t="shared" si="8"/>
        <v>3195.5166792000059</v>
      </c>
      <c r="H19" s="712">
        <f t="shared" si="8"/>
        <v>3223.8693845999969</v>
      </c>
      <c r="I19" s="712">
        <f t="shared" si="8"/>
        <v>3164.8859945999948</v>
      </c>
      <c r="J19" s="712">
        <f t="shared" si="8"/>
        <v>3313.7275284000016</v>
      </c>
      <c r="K19" s="712">
        <f t="shared" si="8"/>
        <v>3485.4302106000091</v>
      </c>
      <c r="L19" s="712">
        <f t="shared" si="8"/>
        <v>3620.359800000002</v>
      </c>
      <c r="M19" s="712">
        <f t="shared" si="8"/>
        <v>3800.1574439999977</v>
      </c>
      <c r="N19" s="712">
        <f t="shared" si="8"/>
        <v>3442.9214916000046</v>
      </c>
      <c r="O19" s="712">
        <f t="shared" si="8"/>
        <v>3675.3974045999948</v>
      </c>
      <c r="P19" s="712">
        <f t="shared" si="8"/>
        <v>3509.1456012000026</v>
      </c>
      <c r="Q19" s="712">
        <f t="shared" si="8"/>
        <v>3533.2677737999998</v>
      </c>
      <c r="R19" s="9"/>
      <c r="S19" s="9"/>
      <c r="T19" s="9"/>
      <c r="U19" s="9"/>
      <c r="V19" s="9"/>
    </row>
    <row r="20" spans="1:22">
      <c r="A20" s="710" t="s">
        <v>1441</v>
      </c>
      <c r="B20" s="711" t="s">
        <v>1005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210615.98366839992</v>
      </c>
      <c r="G20" s="712">
        <f t="shared" si="8"/>
        <v>222208.10260439996</v>
      </c>
      <c r="H20" s="712">
        <f t="shared" si="8"/>
        <v>221918.49689999991</v>
      </c>
      <c r="I20" s="712">
        <f t="shared" si="8"/>
        <v>232093.36015679987</v>
      </c>
      <c r="J20" s="712">
        <f t="shared" si="8"/>
        <v>341637.13476519997</v>
      </c>
      <c r="K20" s="712">
        <f t="shared" si="8"/>
        <v>433932.63948279986</v>
      </c>
      <c r="L20" s="712">
        <f t="shared" si="8"/>
        <v>562400.34111359972</v>
      </c>
      <c r="M20" s="712">
        <f t="shared" si="8"/>
        <v>508526.07577119989</v>
      </c>
      <c r="N20" s="712">
        <f t="shared" si="8"/>
        <v>415175.68673839991</v>
      </c>
      <c r="O20" s="712">
        <f t="shared" si="8"/>
        <v>315630.36402560002</v>
      </c>
      <c r="P20" s="712">
        <f t="shared" si="8"/>
        <v>257128.73828119985</v>
      </c>
      <c r="Q20" s="712">
        <f t="shared" si="8"/>
        <v>236204.51081919999</v>
      </c>
      <c r="R20" s="9"/>
      <c r="S20" s="9"/>
      <c r="T20" s="9"/>
      <c r="U20" s="9"/>
      <c r="V20" s="9"/>
    </row>
    <row r="21" spans="1:22">
      <c r="A21" s="710" t="s">
        <v>1442</v>
      </c>
      <c r="B21" s="711" t="s">
        <v>1006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4217.4383920000009</v>
      </c>
      <c r="G21" s="712">
        <f t="shared" si="8"/>
        <v>6823.4530860000004</v>
      </c>
      <c r="H21" s="712">
        <f t="shared" si="8"/>
        <v>6951.4307340000005</v>
      </c>
      <c r="I21" s="712">
        <f t="shared" si="8"/>
        <v>16479.257549999998</v>
      </c>
      <c r="J21" s="712">
        <f t="shared" si="8"/>
        <v>112999.386818</v>
      </c>
      <c r="K21" s="712">
        <f t="shared" si="8"/>
        <v>217366.43417600001</v>
      </c>
      <c r="L21" s="712">
        <f t="shared" si="8"/>
        <v>228223.99070199998</v>
      </c>
      <c r="M21" s="712">
        <f t="shared" si="8"/>
        <v>122053.992784</v>
      </c>
      <c r="N21" s="712">
        <f t="shared" si="8"/>
        <v>66782.981079999998</v>
      </c>
      <c r="O21" s="712">
        <f t="shared" si="8"/>
        <v>20998.139326000004</v>
      </c>
      <c r="P21" s="712">
        <f>DSUM(MercadoBase,$B21,P$14:P$15)</f>
        <v>3847.8113999999996</v>
      </c>
      <c r="Q21" s="712">
        <f t="shared" si="8"/>
        <v>2847.3131639999997</v>
      </c>
      <c r="R21" s="9"/>
      <c r="S21" s="9"/>
      <c r="T21" s="9"/>
      <c r="U21" s="9"/>
      <c r="V21" s="9"/>
    </row>
    <row r="22" spans="1:22">
      <c r="A22" s="1494" t="s">
        <v>1443</v>
      </c>
      <c r="B22" s="1495" t="s">
        <v>1272</v>
      </c>
      <c r="C22" s="1496">
        <f>VLOOKUP($Q$15,Índices!$B:$F,2,FALSE)/VLOOKUP(EDATE(C15,-1),Índices!$B:$F,2,FALSE)</f>
        <v>1.1768213386458592</v>
      </c>
      <c r="D22" s="1496">
        <f>VLOOKUP($Q$15,Índices!$B:$F,2,FALSE)/VLOOKUP(EDATE(D15,-1),Índices!$B:$F,2,FALSE)</f>
        <v>1.1593353264324466</v>
      </c>
      <c r="E22" s="1496">
        <f>VLOOKUP($Q$15,Índices!$B:$F,2,FALSE)/VLOOKUP(EDATE(E15,-1),Índices!$B:$F,2,FALSE)</f>
        <v>1.1137138790355088</v>
      </c>
      <c r="F22" s="1496">
        <f>VLOOKUP($Q$15,Índices!$B:$F,2,FALSE)/VLOOKUP(EDATE(F15,-1),Índices!$B:$F,2,FALSE)</f>
        <v>1.1070423608832305</v>
      </c>
      <c r="G22" s="1496">
        <f>VLOOKUP($Q$15,Índices!$B:$F,2,FALSE)/VLOOKUP(EDATE(G15,-1),Índices!$B:$F,2,FALSE)</f>
        <v>1.0985033599453922</v>
      </c>
      <c r="H22" s="1496">
        <f>VLOOKUP($Q$15,Índices!$B:$F,2,FALSE)/VLOOKUP(EDATE(H15,-1),Índices!$B:$F,2,FALSE)</f>
        <v>1.0912608014368317</v>
      </c>
      <c r="I22" s="1496">
        <f>VLOOKUP($Q$15,Índices!$B:$F,2,FALSE)/VLOOKUP(EDATE(I15,-1),Índices!$B:$F,2,FALSE)</f>
        <v>1.0982835198725092</v>
      </c>
      <c r="J22" s="1496">
        <f>VLOOKUP($Q$15,Índices!$B:$F,2,FALSE)/VLOOKUP(EDATE(J15,-1),Índices!$B:$F,2,FALSE)</f>
        <v>1.0912678012944399</v>
      </c>
      <c r="K22" s="1496">
        <f>VLOOKUP($Q$15,Índices!$B:$F,2,FALSE)/VLOOKUP(EDATE(K15,-1),Índices!$B:$F,2,FALSE)</f>
        <v>1.0910678407267911</v>
      </c>
      <c r="L22" s="1496">
        <f>VLOOKUP($Q$15,Índices!$B:$F,2,FALSE)/VLOOKUP(EDATE(L15,-1),Índices!$B:$F,2,FALSE)</f>
        <v>1.0816484829989064</v>
      </c>
      <c r="M22" s="1496">
        <f>VLOOKUP($Q$15,Índices!$B:$F,2,FALSE)/VLOOKUP(EDATE(M15,-1),Índices!$B:$F,2,FALSE)</f>
        <v>1.0623399307225074</v>
      </c>
      <c r="N22" s="1496">
        <f>VLOOKUP($Q$15,Índices!$B:$F,2,FALSE)/VLOOKUP(EDATE(N15,-1),Índices!$B:$F,2,FALSE)</f>
        <v>1.0432185825187947</v>
      </c>
      <c r="O22" s="1496">
        <f>VLOOKUP($Q$15,Índices!$B:$F,2,FALSE)/VLOOKUP(EDATE(O15,-1),Índices!$B:$F,2,FALSE)</f>
        <v>1.0253689885984203</v>
      </c>
      <c r="P22" s="1496">
        <f>VLOOKUP($Q$15,Índices!$B:$F,2,FALSE)/VLOOKUP(EDATE(P15,-1),Índices!$B:$F,2,FALSE)</f>
        <v>1.011099422741718</v>
      </c>
      <c r="Q22" s="1496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97" t="s">
        <v>1444</v>
      </c>
      <c r="B23" s="1498"/>
      <c r="C23" s="1499">
        <f t="shared" ref="C23:Q23" si="11">SUM(C16:C21)*C22</f>
        <v>0</v>
      </c>
      <c r="D23" s="1499">
        <f t="shared" si="11"/>
        <v>0</v>
      </c>
      <c r="E23" s="1499">
        <f t="shared" si="11"/>
        <v>0</v>
      </c>
      <c r="F23" s="1500">
        <f>SUM(F16:F21)*F22</f>
        <v>271592.54501767567</v>
      </c>
      <c r="G23" s="1500">
        <f t="shared" si="11"/>
        <v>255102.2192682873</v>
      </c>
      <c r="H23" s="1500">
        <f t="shared" si="11"/>
        <v>253274.86294303468</v>
      </c>
      <c r="I23" s="1500">
        <f t="shared" si="11"/>
        <v>291333.674297338</v>
      </c>
      <c r="J23" s="1500">
        <f t="shared" si="11"/>
        <v>519124.4437970196</v>
      </c>
      <c r="K23" s="1500">
        <f t="shared" si="11"/>
        <v>728166.18839606189</v>
      </c>
      <c r="L23" s="1500">
        <f t="shared" si="11"/>
        <v>859093.5658159476</v>
      </c>
      <c r="M23" s="1500">
        <f t="shared" si="11"/>
        <v>692273.62293354049</v>
      </c>
      <c r="N23" s="1500">
        <f t="shared" si="11"/>
        <v>528711.5602052334</v>
      </c>
      <c r="O23" s="1500">
        <f t="shared" si="11"/>
        <v>370073.4207687797</v>
      </c>
      <c r="P23" s="1500">
        <f t="shared" si="11"/>
        <v>293810.26072591374</v>
      </c>
      <c r="Q23" s="1500">
        <f t="shared" si="11"/>
        <v>261973.03554517086</v>
      </c>
      <c r="R23" s="9"/>
      <c r="S23" s="9"/>
      <c r="T23" s="9"/>
      <c r="U23" s="9"/>
      <c r="V23" s="9"/>
    </row>
    <row r="24" spans="1:22">
      <c r="A24" s="9"/>
      <c r="B24" s="9"/>
      <c r="C24" s="9" t="s">
        <v>1445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1446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78" t="s">
        <v>22</v>
      </c>
      <c r="B26" s="1779" t="s">
        <v>1436</v>
      </c>
      <c r="C26" s="707" t="s">
        <v>949</v>
      </c>
      <c r="D26" s="707" t="s">
        <v>949</v>
      </c>
      <c r="E26" s="707" t="s">
        <v>949</v>
      </c>
      <c r="F26" s="707" t="s">
        <v>949</v>
      </c>
      <c r="G26" s="707" t="s">
        <v>949</v>
      </c>
      <c r="H26" s="707" t="s">
        <v>949</v>
      </c>
      <c r="I26" s="707" t="s">
        <v>949</v>
      </c>
      <c r="J26" s="707" t="s">
        <v>949</v>
      </c>
      <c r="K26" s="707" t="s">
        <v>949</v>
      </c>
      <c r="L26" s="707" t="s">
        <v>949</v>
      </c>
      <c r="M26" s="707" t="s">
        <v>949</v>
      </c>
      <c r="N26" s="707" t="s">
        <v>949</v>
      </c>
      <c r="O26" s="707" t="s">
        <v>949</v>
      </c>
      <c r="P26" s="707" t="s">
        <v>949</v>
      </c>
      <c r="Q26" s="707" t="s">
        <v>949</v>
      </c>
      <c r="R26" s="9"/>
      <c r="S26" s="9"/>
      <c r="T26" s="9"/>
      <c r="U26" s="9"/>
      <c r="V26" s="9"/>
    </row>
    <row r="27" spans="1:22">
      <c r="A27" s="1778"/>
      <c r="B27" s="1779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1437</v>
      </c>
      <c r="B28" s="711" t="s">
        <v>771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0</v>
      </c>
      <c r="G28" s="712">
        <f>VLOOKUP($B28,BD!$B$61:$C$66,2,FALSE)</f>
        <v>0</v>
      </c>
      <c r="H28" s="712">
        <f>VLOOKUP($B28,BD!$B$61:$C$66,2,FALSE)</f>
        <v>0</v>
      </c>
      <c r="I28" s="712">
        <f>VLOOKUP($B28,BD!$B$61:$C$66,2,FALSE)</f>
        <v>0</v>
      </c>
      <c r="J28" s="712">
        <f>VLOOKUP($B28,BD!$B$61:$C$66,2,FALSE)</f>
        <v>0</v>
      </c>
      <c r="K28" s="712">
        <f>VLOOKUP($B28,BD!$B$61:$C$66,2,FALSE)</f>
        <v>0</v>
      </c>
      <c r="L28" s="712">
        <f>VLOOKUP($B28,BD!$B$61:$C$66,2,FALSE)</f>
        <v>0</v>
      </c>
      <c r="M28" s="712">
        <f>VLOOKUP($B28,BD!$B$61:$C$66,2,FALSE)</f>
        <v>0</v>
      </c>
      <c r="N28" s="712">
        <f>VLOOKUP($B28,BD!$B$61:$C$66,2,FALSE)</f>
        <v>0</v>
      </c>
      <c r="O28" s="712">
        <f>VLOOKUP($B28,BD!$B$61:$C$66,2,FALSE)</f>
        <v>0</v>
      </c>
      <c r="P28" s="712">
        <f>VLOOKUP($B28,BD!$B$61:$C$66,2,FALSE)</f>
        <v>0</v>
      </c>
      <c r="Q28" s="712">
        <f>VLOOKUP($B28,BD!$B$61:$C$66,2,FALSE)</f>
        <v>0</v>
      </c>
      <c r="S28" s="9"/>
      <c r="T28" s="9"/>
      <c r="U28" s="9"/>
      <c r="V28" s="9"/>
    </row>
    <row r="29" spans="1:22">
      <c r="A29" s="710" t="s">
        <v>1438</v>
      </c>
      <c r="B29" s="711" t="s">
        <v>773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1439</v>
      </c>
      <c r="B30" s="711" t="s">
        <v>775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37">
        <f>VLOOKUP($B30,BD!$B$61:$C$66,2,FALSE)</f>
        <v>0</v>
      </c>
      <c r="G30" s="1037">
        <f>VLOOKUP($B30,BD!$B$61:$C$66,2,FALSE)</f>
        <v>0</v>
      </c>
      <c r="H30" s="1037">
        <f>VLOOKUP($B30,BD!$B$61:$C$66,2,FALSE)</f>
        <v>0</v>
      </c>
      <c r="I30" s="1037">
        <f>VLOOKUP($B30,BD!$B$61:$C$66,2,FALSE)</f>
        <v>0</v>
      </c>
      <c r="J30" s="1037">
        <f>VLOOKUP($B30,BD!$B$61:$C$66,2,FALSE)</f>
        <v>0</v>
      </c>
      <c r="K30" s="1037">
        <f>VLOOKUP($B30,BD!$B$61:$C$66,2,FALSE)</f>
        <v>0</v>
      </c>
      <c r="L30" s="1037">
        <f>VLOOKUP($B30,BD!$B$61:$C$66,2,FALSE)</f>
        <v>0</v>
      </c>
      <c r="M30" s="1037">
        <f>VLOOKUP($B30,BD!$B$61:$C$66,2,FALSE)</f>
        <v>0</v>
      </c>
      <c r="N30" s="1037">
        <f>VLOOKUP($B30,BD!$B$61:$C$66,2,FALSE)</f>
        <v>0</v>
      </c>
      <c r="O30" s="1037">
        <f>VLOOKUP($B30,BD!$B$61:$C$66,2,FALSE)</f>
        <v>0</v>
      </c>
      <c r="P30" s="1037">
        <f>VLOOKUP($B30,BD!$B$61:$C$66,2,FALSE)</f>
        <v>0</v>
      </c>
      <c r="Q30" s="1037">
        <f>VLOOKUP($B30,BD!$B$61:$C$66,2,FALSE)</f>
        <v>0</v>
      </c>
      <c r="S30" s="9"/>
      <c r="T30" s="9"/>
      <c r="U30" s="9"/>
      <c r="V30" s="9"/>
    </row>
    <row r="31" spans="1:22">
      <c r="A31" s="710" t="s">
        <v>1440</v>
      </c>
      <c r="B31" s="711" t="s">
        <v>776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2958.51</v>
      </c>
      <c r="G31" s="712">
        <f>VLOOKUP($B31,BD!$B$61:$C$66,2,FALSE)</f>
        <v>2958.51</v>
      </c>
      <c r="H31" s="712">
        <f>VLOOKUP($B31,BD!$B$61:$C$66,2,FALSE)</f>
        <v>2958.51</v>
      </c>
      <c r="I31" s="712">
        <f>VLOOKUP($B31,BD!$B$61:$C$66,2,FALSE)</f>
        <v>2958.51</v>
      </c>
      <c r="J31" s="712">
        <f>VLOOKUP($B31,BD!$B$61:$C$66,2,FALSE)</f>
        <v>2958.51</v>
      </c>
      <c r="K31" s="712">
        <f>VLOOKUP($B31,BD!$B$61:$C$66,2,FALSE)</f>
        <v>2958.51</v>
      </c>
      <c r="L31" s="712">
        <f>VLOOKUP($B31,BD!$B$61:$C$66,2,FALSE)</f>
        <v>2958.51</v>
      </c>
      <c r="M31" s="712">
        <f>VLOOKUP($B31,BD!$B$61:$C$66,2,FALSE)</f>
        <v>2958.51</v>
      </c>
      <c r="N31" s="712">
        <f>VLOOKUP($B31,BD!$B$61:$C$66,2,FALSE)</f>
        <v>2958.51</v>
      </c>
      <c r="O31" s="712">
        <f>VLOOKUP($B31,BD!$B$61:$C$66,2,FALSE)</f>
        <v>2958.51</v>
      </c>
      <c r="P31" s="712">
        <f>VLOOKUP($B31,BD!$B$61:$C$66,2,FALSE)</f>
        <v>2958.51</v>
      </c>
      <c r="Q31" s="712">
        <f>VLOOKUP($B31,BD!$B$61:$C$66,2,FALSE)</f>
        <v>2958.51</v>
      </c>
      <c r="S31" s="9"/>
      <c r="T31" s="9"/>
      <c r="U31" s="9"/>
      <c r="V31" s="9"/>
    </row>
    <row r="32" spans="1:22">
      <c r="A32" s="710" t="s">
        <v>1441</v>
      </c>
      <c r="B32" s="711" t="s">
        <v>779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314391.77</v>
      </c>
      <c r="G32" s="712">
        <f>VLOOKUP($B32,BD!$B$61:$C$66,2,FALSE)</f>
        <v>314391.77</v>
      </c>
      <c r="H32" s="712">
        <f>VLOOKUP($B32,BD!$B$61:$C$66,2,FALSE)</f>
        <v>314391.77</v>
      </c>
      <c r="I32" s="712">
        <f>VLOOKUP($B32,BD!$B$61:$C$66,2,FALSE)</f>
        <v>314391.77</v>
      </c>
      <c r="J32" s="712">
        <f>VLOOKUP($B32,BD!$B$61:$C$66,2,FALSE)</f>
        <v>314391.77</v>
      </c>
      <c r="K32" s="712">
        <f>VLOOKUP($B32,BD!$B$61:$C$66,2,FALSE)</f>
        <v>314391.77</v>
      </c>
      <c r="L32" s="712">
        <f>VLOOKUP($B32,BD!$B$61:$C$66,2,FALSE)</f>
        <v>314391.77</v>
      </c>
      <c r="M32" s="712">
        <f>VLOOKUP($B32,BD!$B$61:$C$66,2,FALSE)</f>
        <v>314391.77</v>
      </c>
      <c r="N32" s="712">
        <f>VLOOKUP($B32,BD!$B$61:$C$66,2,FALSE)</f>
        <v>314391.77</v>
      </c>
      <c r="O32" s="712">
        <f>VLOOKUP($B32,BD!$B$61:$C$66,2,FALSE)</f>
        <v>314391.77</v>
      </c>
      <c r="P32" s="712">
        <f>VLOOKUP($B32,BD!$B$61:$C$66,2,FALSE)</f>
        <v>314391.77</v>
      </c>
      <c r="Q32" s="712">
        <f>VLOOKUP($B32,BD!$B$61:$C$66,2,FALSE)</f>
        <v>314391.77</v>
      </c>
      <c r="S32" s="9"/>
      <c r="T32" s="9"/>
      <c r="U32" s="9"/>
      <c r="V32" s="9"/>
    </row>
    <row r="33" spans="1:22">
      <c r="A33" s="713" t="s">
        <v>1442</v>
      </c>
      <c r="B33" s="711" t="s">
        <v>781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63097.54</v>
      </c>
      <c r="G33" s="712">
        <f>VLOOKUP($B33,BD!$B$61:$C$66,2,FALSE)</f>
        <v>63097.54</v>
      </c>
      <c r="H33" s="712">
        <f>VLOOKUP($B33,BD!$B$61:$C$66,2,FALSE)</f>
        <v>63097.54</v>
      </c>
      <c r="I33" s="712">
        <f>VLOOKUP($B33,BD!$B$61:$C$66,2,FALSE)</f>
        <v>63097.54</v>
      </c>
      <c r="J33" s="712">
        <f>VLOOKUP($B33,BD!$B$61:$C$66,2,FALSE)</f>
        <v>63097.54</v>
      </c>
      <c r="K33" s="712">
        <f>VLOOKUP($B33,BD!$B$61:$C$66,2,FALSE)</f>
        <v>63097.54</v>
      </c>
      <c r="L33" s="712">
        <f>VLOOKUP($B33,BD!$B$61:$C$66,2,FALSE)</f>
        <v>63097.54</v>
      </c>
      <c r="M33" s="712">
        <f>VLOOKUP($B33,BD!$B$61:$C$66,2,FALSE)</f>
        <v>63097.54</v>
      </c>
      <c r="N33" s="712">
        <f>VLOOKUP($B33,BD!$B$61:$C$66,2,FALSE)</f>
        <v>63097.54</v>
      </c>
      <c r="O33" s="712">
        <f>VLOOKUP($B33,BD!$B$61:$C$66,2,FALSE)</f>
        <v>63097.54</v>
      </c>
      <c r="P33" s="712">
        <f>VLOOKUP($B33,BD!$B$61:$C$66,2,FALSE)</f>
        <v>63097.54</v>
      </c>
      <c r="Q33" s="712">
        <f>VLOOKUP($B33,BD!$B$61:$C$66,2,FALSE)</f>
        <v>63097.54</v>
      </c>
      <c r="S33" s="9"/>
      <c r="T33" s="9"/>
      <c r="U33" s="9"/>
      <c r="V33" s="9"/>
    </row>
    <row r="34" spans="1:22">
      <c r="A34" s="1494" t="s">
        <v>1443</v>
      </c>
      <c r="B34" s="1495" t="s">
        <v>1272</v>
      </c>
      <c r="C34" s="1501">
        <f t="shared" ref="C34:Q34" si="13">C22</f>
        <v>1.1768213386458592</v>
      </c>
      <c r="D34" s="1501">
        <f t="shared" si="13"/>
        <v>1.1593353264324466</v>
      </c>
      <c r="E34" s="1501">
        <f t="shared" si="13"/>
        <v>1.1137138790355088</v>
      </c>
      <c r="F34" s="1496">
        <f t="shared" si="13"/>
        <v>1.1070423608832305</v>
      </c>
      <c r="G34" s="1496">
        <f t="shared" si="13"/>
        <v>1.0985033599453922</v>
      </c>
      <c r="H34" s="1496">
        <f t="shared" si="13"/>
        <v>1.0912608014368317</v>
      </c>
      <c r="I34" s="1496">
        <f t="shared" si="13"/>
        <v>1.0982835198725092</v>
      </c>
      <c r="J34" s="1496">
        <f t="shared" si="13"/>
        <v>1.0912678012944399</v>
      </c>
      <c r="K34" s="1496">
        <f t="shared" si="13"/>
        <v>1.0910678407267911</v>
      </c>
      <c r="L34" s="1496">
        <f t="shared" si="13"/>
        <v>1.0816484829989064</v>
      </c>
      <c r="M34" s="1496">
        <f t="shared" si="13"/>
        <v>1.0623399307225074</v>
      </c>
      <c r="N34" s="1496">
        <f t="shared" si="13"/>
        <v>1.0432185825187947</v>
      </c>
      <c r="O34" s="1496">
        <f t="shared" si="13"/>
        <v>1.0253689885984203</v>
      </c>
      <c r="P34" s="1496">
        <f t="shared" si="13"/>
        <v>1.011099422741718</v>
      </c>
      <c r="Q34" s="1496">
        <f t="shared" si="13"/>
        <v>1.0058524282636221</v>
      </c>
      <c r="S34" s="9"/>
      <c r="T34" s="9"/>
      <c r="U34" s="9"/>
      <c r="V34" s="9"/>
    </row>
    <row r="35" spans="1:22">
      <c r="A35" s="1497" t="s">
        <v>1444</v>
      </c>
      <c r="B35" s="1498"/>
      <c r="C35" s="1499">
        <f>SUM(C28:C33)*C34</f>
        <v>0</v>
      </c>
      <c r="D35" s="1499">
        <f t="shared" ref="D35:Q35" si="14">SUM(D28:D33)*D34</f>
        <v>0</v>
      </c>
      <c r="E35" s="1499">
        <f t="shared" si="14"/>
        <v>0</v>
      </c>
      <c r="F35" s="1500">
        <f t="shared" si="14"/>
        <v>421171.85284567834</v>
      </c>
      <c r="G35" s="1500">
        <f t="shared" si="14"/>
        <v>417923.20855389978</v>
      </c>
      <c r="H35" s="1500">
        <f t="shared" si="14"/>
        <v>415167.7929580955</v>
      </c>
      <c r="I35" s="1500">
        <f t="shared" si="14"/>
        <v>417839.57087742281</v>
      </c>
      <c r="J35" s="1500">
        <f t="shared" si="14"/>
        <v>415170.45603866287</v>
      </c>
      <c r="K35" s="1500">
        <f t="shared" si="14"/>
        <v>415094.38147661492</v>
      </c>
      <c r="L35" s="1500">
        <f t="shared" si="14"/>
        <v>411510.80736324098</v>
      </c>
      <c r="M35" s="1500">
        <f t="shared" si="14"/>
        <v>404164.91074232897</v>
      </c>
      <c r="N35" s="1500">
        <f t="shared" si="14"/>
        <v>396890.23550276557</v>
      </c>
      <c r="O35" s="1500">
        <f t="shared" si="14"/>
        <v>390099.39640787384</v>
      </c>
      <c r="P35" s="1500">
        <f t="shared" si="14"/>
        <v>384670.57118534506</v>
      </c>
      <c r="Q35" s="1500">
        <f t="shared" si="14"/>
        <v>382674.36357460142</v>
      </c>
      <c r="R35" s="9"/>
      <c r="S35" s="9"/>
      <c r="T35" s="9"/>
      <c r="U35" s="9"/>
      <c r="V35" s="9"/>
    </row>
    <row r="36" spans="1:22">
      <c r="A36" s="1502"/>
      <c r="B36" s="1484"/>
      <c r="C36" s="1502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1447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78" t="s">
        <v>22</v>
      </c>
      <c r="B38" s="1779" t="s">
        <v>1436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78"/>
      <c r="B39" s="1780"/>
      <c r="C39" s="1503">
        <f>C27</f>
        <v>44287</v>
      </c>
      <c r="D39" s="1503">
        <f t="shared" ref="D39:E39" si="15">D27</f>
        <v>44317</v>
      </c>
      <c r="E39" s="1503">
        <f t="shared" si="15"/>
        <v>44348</v>
      </c>
      <c r="G39" s="897"/>
      <c r="H39" s="897"/>
      <c r="I39" s="897"/>
      <c r="J39" s="897"/>
      <c r="K39" s="897"/>
      <c r="L39" s="900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1437</v>
      </c>
      <c r="B40" s="714"/>
      <c r="C40" s="715"/>
      <c r="D40" s="716"/>
      <c r="E40" s="716"/>
      <c r="F40" s="65"/>
      <c r="G40" s="901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1438</v>
      </c>
      <c r="B41" s="714"/>
      <c r="C41" s="715"/>
      <c r="D41" s="716"/>
      <c r="E41" s="716"/>
      <c r="F41" s="65"/>
      <c r="G41" s="901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1439</v>
      </c>
      <c r="B42" s="714"/>
      <c r="C42" s="715"/>
      <c r="D42" s="716"/>
      <c r="E42" s="716"/>
      <c r="F42" s="65"/>
      <c r="G42" s="901"/>
      <c r="H42" s="712"/>
      <c r="I42" s="712"/>
      <c r="J42" s="712"/>
      <c r="K42" s="712"/>
      <c r="L42" s="902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1440</v>
      </c>
      <c r="B43" s="714"/>
      <c r="C43" s="715"/>
      <c r="D43" s="716"/>
      <c r="E43" s="716"/>
      <c r="F43" s="65"/>
      <c r="G43" s="901"/>
      <c r="H43" s="712"/>
      <c r="I43" s="712"/>
      <c r="J43" s="712"/>
      <c r="K43" s="712"/>
      <c r="L43" s="902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1441</v>
      </c>
      <c r="B44" s="714"/>
      <c r="C44" s="715"/>
      <c r="D44" s="716"/>
      <c r="E44" s="716"/>
      <c r="F44" s="65"/>
      <c r="G44" s="901"/>
      <c r="H44" s="712"/>
      <c r="I44" s="712"/>
      <c r="J44" s="712"/>
      <c r="K44" s="712"/>
      <c r="L44" s="902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1442</v>
      </c>
      <c r="B45" s="714"/>
      <c r="C45" s="717"/>
      <c r="D45" s="899"/>
      <c r="E45" s="899"/>
      <c r="F45" s="65"/>
      <c r="G45" s="901"/>
      <c r="H45" s="712"/>
      <c r="I45" s="712"/>
      <c r="J45" s="712"/>
      <c r="K45" s="712"/>
      <c r="L45" s="902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3"/>
      <c r="L46" s="904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04" t="s">
        <v>8</v>
      </c>
      <c r="B49" s="1505"/>
      <c r="C49" s="1504"/>
      <c r="D49" s="9" t="s">
        <v>1448</v>
      </c>
    </row>
    <row r="50" spans="1:10">
      <c r="A50" s="1505" t="s">
        <v>2</v>
      </c>
      <c r="B50" s="1505"/>
      <c r="C50" s="1479"/>
    </row>
    <row r="51" spans="1:10">
      <c r="A51" s="1505" t="s">
        <v>3</v>
      </c>
      <c r="B51" s="1505"/>
      <c r="C51" s="1479"/>
      <c r="D51" s="234"/>
    </row>
    <row r="52" spans="1:10">
      <c r="A52" s="1505" t="s">
        <v>4</v>
      </c>
      <c r="B52" s="1505"/>
      <c r="C52" s="1479"/>
      <c r="D52" s="234"/>
    </row>
    <row r="53" spans="1:10">
      <c r="A53" s="1505" t="s">
        <v>5</v>
      </c>
      <c r="B53" s="1505"/>
      <c r="C53" s="1479"/>
      <c r="D53" s="234" t="e">
        <f>VLOOKUP(idsreag,Subsidio!$A$1:$J$52,10,FALSE)</f>
        <v>#N/A</v>
      </c>
    </row>
    <row r="54" spans="1:10">
      <c r="A54" s="1505" t="s">
        <v>6</v>
      </c>
      <c r="B54" s="1505"/>
      <c r="C54" s="1479"/>
      <c r="D54" s="234"/>
      <c r="H54" s="1506"/>
      <c r="I54" s="1507"/>
      <c r="J54" s="1508"/>
    </row>
    <row r="55" spans="1:10">
      <c r="A55" s="1505" t="s">
        <v>7</v>
      </c>
      <c r="B55" s="1505"/>
      <c r="C55" s="1479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4" activePane="bottomLeft" state="frozen"/>
      <selection activeCell="D36" sqref="D36"/>
      <selection pane="bottomLeft" activeCell="H16" sqref="H1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37" style="68" bestFit="1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39" t="s">
        <v>1449</v>
      </c>
      <c r="C1" s="263"/>
      <c r="D1" s="263"/>
      <c r="E1" s="206"/>
      <c r="F1" s="1509"/>
      <c r="G1" s="1249" t="s">
        <v>948</v>
      </c>
      <c r="H1" s="1250">
        <f ca="1">LnkTXTIRTEco</f>
        <v>6.4299999999999996E-2</v>
      </c>
    </row>
    <row r="2" spans="2:26" ht="14.25">
      <c r="B2" s="138" t="str">
        <f>CAPA!C9</f>
        <v>Celetro</v>
      </c>
      <c r="C2" s="1510"/>
      <c r="D2" s="1510"/>
      <c r="E2" s="1510"/>
      <c r="F2" s="1511"/>
      <c r="G2" s="121" t="s">
        <v>952</v>
      </c>
      <c r="H2" s="122">
        <f ca="1">LnkTXTIRTTotal</f>
        <v>-0.2445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81"/>
      <c r="P4" s="1781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12" t="s">
        <v>1450</v>
      </c>
      <c r="M6" s="1513"/>
      <c r="O6" s="272"/>
      <c r="P6" s="292"/>
      <c r="Z6" s="68"/>
    </row>
    <row r="7" spans="2:26" ht="14.25">
      <c r="C7" s="71"/>
      <c r="L7" s="214" t="s">
        <v>1272</v>
      </c>
      <c r="M7" s="215">
        <v>1</v>
      </c>
      <c r="O7" s="272"/>
      <c r="P7" s="292"/>
      <c r="Z7" s="68"/>
    </row>
    <row r="8" spans="2:26" ht="14.25">
      <c r="L8" s="214" t="s">
        <v>846</v>
      </c>
      <c r="M8" s="215">
        <v>2</v>
      </c>
      <c r="O8" s="272"/>
      <c r="P8" s="292"/>
      <c r="Z8" s="68"/>
    </row>
    <row r="9" spans="2:26" ht="14.25">
      <c r="B9" s="293" t="s">
        <v>1451</v>
      </c>
      <c r="D9" s="294" t="s">
        <v>1452</v>
      </c>
      <c r="L9" s="214" t="s">
        <v>1453</v>
      </c>
      <c r="M9" s="215">
        <v>4</v>
      </c>
      <c r="O9" s="272"/>
      <c r="P9" s="292"/>
      <c r="Z9" s="68"/>
    </row>
    <row r="10" spans="2:26" ht="14.25">
      <c r="L10" s="214" t="s">
        <v>1454</v>
      </c>
      <c r="M10" s="216">
        <f>CAPA!K16</f>
        <v>0.10704236088323049</v>
      </c>
      <c r="O10" s="272"/>
      <c r="P10" s="292"/>
      <c r="Z10" s="68"/>
    </row>
    <row r="11" spans="2:26" ht="14.25">
      <c r="B11" s="1784" t="s">
        <v>1455</v>
      </c>
      <c r="C11" s="1785"/>
      <c r="D11" s="1514" t="s">
        <v>1456</v>
      </c>
      <c r="E11" s="1515" t="s">
        <v>1457</v>
      </c>
      <c r="F11" s="1516" t="s">
        <v>1458</v>
      </c>
      <c r="G11" s="1515" t="s">
        <v>2324</v>
      </c>
      <c r="H11" s="1515" t="s">
        <v>2325</v>
      </c>
      <c r="I11" s="1515"/>
      <c r="J11" s="1515"/>
      <c r="L11" s="214" t="s">
        <v>1459</v>
      </c>
      <c r="M11" s="216">
        <f>CAPA!K17</f>
        <v>0.11886869625198027</v>
      </c>
      <c r="O11" s="272"/>
      <c r="P11" s="292"/>
      <c r="Z11" s="68"/>
    </row>
    <row r="12" spans="2:26" ht="14.25">
      <c r="B12" s="1790" t="s">
        <v>1460</v>
      </c>
      <c r="C12" s="1785"/>
      <c r="D12" s="1517" t="s">
        <v>1453</v>
      </c>
      <c r="E12" s="1517" t="s">
        <v>846</v>
      </c>
      <c r="F12" s="1517" t="s">
        <v>846</v>
      </c>
      <c r="G12" s="1517" t="s">
        <v>1272</v>
      </c>
      <c r="H12" s="1517" t="s">
        <v>1272</v>
      </c>
      <c r="I12" s="1517" t="s">
        <v>846</v>
      </c>
      <c r="J12" s="1517" t="s">
        <v>846</v>
      </c>
      <c r="L12" s="1518" t="s">
        <v>1461</v>
      </c>
      <c r="M12" s="1519">
        <v>41275</v>
      </c>
      <c r="O12" s="272"/>
      <c r="P12" s="292"/>
      <c r="Z12" s="68"/>
    </row>
    <row r="13" spans="2:26" ht="14.25">
      <c r="B13" s="1791" t="s">
        <v>1462</v>
      </c>
      <c r="C13" s="1792"/>
      <c r="D13" s="1520">
        <v>43617</v>
      </c>
      <c r="E13" s="1520">
        <v>43617</v>
      </c>
      <c r="F13" s="1520">
        <v>43617</v>
      </c>
      <c r="G13" s="1520">
        <v>44713</v>
      </c>
      <c r="H13" s="1520">
        <f t="shared" ref="H13:J14" si="0">G13</f>
        <v>44713</v>
      </c>
      <c r="I13" s="1520">
        <f t="shared" si="0"/>
        <v>44713</v>
      </c>
      <c r="J13" s="1520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782" t="s">
        <v>1463</v>
      </c>
      <c r="C14" s="1783"/>
      <c r="D14" s="1520">
        <v>42887</v>
      </c>
      <c r="E14" s="1520">
        <v>43252</v>
      </c>
      <c r="F14" s="1520">
        <v>43252</v>
      </c>
      <c r="G14" s="1520">
        <v>44348</v>
      </c>
      <c r="H14" s="1520">
        <f t="shared" si="0"/>
        <v>44348</v>
      </c>
      <c r="I14" s="1520">
        <f t="shared" si="0"/>
        <v>44348</v>
      </c>
      <c r="J14" s="1520">
        <f t="shared" si="0"/>
        <v>44348</v>
      </c>
      <c r="L14" s="1521"/>
      <c r="M14" s="1522">
        <v>41334</v>
      </c>
      <c r="O14" s="272"/>
      <c r="P14" s="292"/>
      <c r="Z14" s="68"/>
    </row>
    <row r="15" spans="2:26" ht="14.25">
      <c r="B15" s="1782" t="s">
        <v>1464</v>
      </c>
      <c r="C15" s="1783"/>
      <c r="D15" s="1523">
        <f>VLOOKUP(D13,Índices!$B$6:$F$500,VLOOKUP(D12,$L$7:$M$9,2,FALSE)+1,FALSE)/VLOOKUP(D14,Índices!$B$6:$F$500,VLOOKUP(D12,$L$7:$M$9,2,FALSE)+1,FALSE)</f>
        <v>1.1414978440075982</v>
      </c>
      <c r="E15" s="1523">
        <f>VLOOKUP(E13,Índices!$B$6:$F$500,VLOOKUP(E12,$L$7:$M$9,2,FALSE)+1,FALSE)/VLOOKUP(E14,Índices!$B$6:$F$500,VLOOKUP(E12,$L$7:$M$9,2,FALSE)+1,FALSE)</f>
        <v>1.0336626715248016</v>
      </c>
      <c r="F15" s="1523">
        <f>VLOOKUP(F13,Índices!$B$6:$F$500,VLOOKUP(F12,$L$7:$M$9,2,FALSE)+1,FALSE)/VLOOKUP(F14,Índices!$B$6:$F$500,VLOOKUP(F12,$L$7:$M$9,2,FALSE)+1,FALSE)</f>
        <v>1.0336626715248016</v>
      </c>
      <c r="G15" s="1523">
        <f>VLOOKUP(G13,Índices!$B$6:$F$500,VLOOKUP(G12,$L$7:$M$9,2,FALSE)+1,FALSE)/VLOOKUP(G14,Índices!$B$6:$F$500,VLOOKUP(G12,$L$7:$M$9,2,FALSE)+1,FALSE)</f>
        <v>1.1070423608832305</v>
      </c>
      <c r="H15" s="1523">
        <f>VLOOKUP(H13,Índices!$B$6:$F$500,VLOOKUP(H12,$L$7:$M$9,2,FALSE)+1,FALSE)/VLOOKUP(H14,Índices!$B$6:$F$500,VLOOKUP(H12,$L$7:$M$9,2,FALSE)+1,FALSE)</f>
        <v>1.1070423608832305</v>
      </c>
      <c r="I15" s="1523">
        <f>VLOOKUP(I13,Índices!$B$6:$F$500,VLOOKUP(I12,$L$7:$M$9,2,FALSE)+1,FALSE)/VLOOKUP(I14,Índices!$B$6:$F$500,VLOOKUP(I12,$L$7:$M$9,2,FALSE)+1,FALSE)</f>
        <v>1.1188686962519803</v>
      </c>
      <c r="J15" s="1523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782" t="s">
        <v>1465</v>
      </c>
      <c r="C16" s="1783"/>
      <c r="D16" s="1524"/>
      <c r="E16" s="1524"/>
      <c r="F16" s="1524"/>
      <c r="G16" s="1524">
        <v>429879.64593993302</v>
      </c>
      <c r="H16" s="1524">
        <v>1006758.4040600701</v>
      </c>
      <c r="I16" s="1524"/>
      <c r="J16" s="1524"/>
      <c r="O16" s="272"/>
      <c r="P16" s="292"/>
      <c r="Z16" s="68"/>
    </row>
    <row r="17" spans="1:26" ht="14.25">
      <c r="B17" s="1788" t="s">
        <v>1466</v>
      </c>
      <c r="C17" s="1789"/>
      <c r="D17" s="1525">
        <f t="shared" ref="D17:E17" si="1">D16*D15</f>
        <v>0</v>
      </c>
      <c r="E17" s="1525">
        <f t="shared" si="1"/>
        <v>0</v>
      </c>
      <c r="F17" s="1525">
        <f>F16*F15</f>
        <v>0</v>
      </c>
      <c r="G17" s="1525">
        <f>G16*G15</f>
        <v>475894.97813699069</v>
      </c>
      <c r="H17" s="1525">
        <f>H16*H15</f>
        <v>1114524.2004696932</v>
      </c>
      <c r="I17" s="1525">
        <f>I16*I15</f>
        <v>0</v>
      </c>
      <c r="J17" s="1525">
        <f>J16*J15</f>
        <v>0</v>
      </c>
      <c r="O17" s="272"/>
      <c r="P17" s="93"/>
      <c r="Z17" s="68"/>
    </row>
    <row r="18" spans="1:26" ht="14.25">
      <c r="E18" s="295" t="s">
        <v>1467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1468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1469</v>
      </c>
      <c r="E20" s="296" t="s">
        <v>1470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26" t="s">
        <v>1455</v>
      </c>
      <c r="C22" s="1786" t="str">
        <f>Financeiros!C9</f>
        <v>Repasse de PIS COFINS</v>
      </c>
      <c r="D22" s="1787"/>
      <c r="E22" s="1799" t="s">
        <v>1471</v>
      </c>
      <c r="F22" s="1800"/>
      <c r="G22" s="1799" t="str">
        <f>Financeiros!C27</f>
        <v>Compensação DIC FIC</v>
      </c>
      <c r="H22" s="1800"/>
      <c r="I22" s="1803" t="s">
        <v>1254</v>
      </c>
      <c r="J22" s="1804"/>
      <c r="K22" s="1793" t="s">
        <v>1472</v>
      </c>
      <c r="L22" s="1794"/>
      <c r="M22" s="1795" t="s">
        <v>1473</v>
      </c>
      <c r="N22" s="1796"/>
      <c r="O22" s="1797" t="s">
        <v>1474</v>
      </c>
      <c r="P22" s="1798"/>
      <c r="Q22" s="1797" t="s">
        <v>232</v>
      </c>
      <c r="R22" s="1798"/>
      <c r="S22" s="1797" t="s">
        <v>2179</v>
      </c>
      <c r="T22" s="1798"/>
      <c r="U22" s="1797" t="s">
        <v>2180</v>
      </c>
      <c r="V22" s="1798"/>
      <c r="Z22" s="68"/>
    </row>
    <row r="23" spans="1:26" ht="14.25">
      <c r="B23" s="1527" t="s">
        <v>1000</v>
      </c>
      <c r="C23" s="1528" t="s">
        <v>1475</v>
      </c>
      <c r="D23" s="1529" t="s">
        <v>846</v>
      </c>
      <c r="E23" s="1528" t="s">
        <v>1475</v>
      </c>
      <c r="F23" s="1529" t="s">
        <v>846</v>
      </c>
      <c r="G23" s="1528" t="s">
        <v>1475</v>
      </c>
      <c r="H23" s="1529" t="s">
        <v>846</v>
      </c>
      <c r="I23" s="1528" t="s">
        <v>1475</v>
      </c>
      <c r="J23" s="1529" t="s">
        <v>846</v>
      </c>
      <c r="K23" s="1528" t="s">
        <v>1475</v>
      </c>
      <c r="L23" s="1529" t="s">
        <v>1453</v>
      </c>
      <c r="M23" s="1530" t="s">
        <v>1475</v>
      </c>
      <c r="N23" s="1531" t="s">
        <v>1453</v>
      </c>
      <c r="O23" s="1530" t="s">
        <v>1475</v>
      </c>
      <c r="P23" s="1531" t="s">
        <v>846</v>
      </c>
      <c r="Q23" s="1530" t="s">
        <v>1475</v>
      </c>
      <c r="R23" s="1531" t="s">
        <v>846</v>
      </c>
      <c r="S23" s="1530" t="s">
        <v>1475</v>
      </c>
      <c r="T23" s="1531" t="s">
        <v>846</v>
      </c>
      <c r="U23" s="1530" t="s">
        <v>1475</v>
      </c>
      <c r="V23" s="1531" t="s">
        <v>846</v>
      </c>
      <c r="Z23" s="68"/>
    </row>
    <row r="24" spans="1:26" ht="14.25">
      <c r="B24" s="1532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8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8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8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106076.78999999998</v>
      </c>
      <c r="D36" s="227">
        <f>VLOOKUP($B$48,Índices!$B$6:$F$500,VLOOKUP(D$23,$L$7:$M$9,2,FALSE)+1,FALSE)/VLOOKUP(DATE(YEAR($B36),MONTH($B36)-1,1),Índices!$B$6:$F$500,VLOOKUP(D$23,$L$7:$M$9,2,FALSE)+1,FALSE)*C36</f>
        <v>119315.04239375491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8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80" customFormat="1" ht="14.25">
      <c r="A37" s="874"/>
      <c r="B37" s="875">
        <f t="shared" si="2"/>
        <v>44378</v>
      </c>
      <c r="C37" s="876">
        <f>CAPA!C66</f>
        <v>149965.02000000002</v>
      </c>
      <c r="D37" s="877">
        <f>VLOOKUP($B$48,Índices!$B$6:$F$500,VLOOKUP(D$23,$L$7:$M$9,2,FALSE)+1,FALSE)/VLOOKUP(DATE(YEAR($B37),MONTH($B37)-1,1),Índices!$B$6:$F$500,VLOOKUP(D$23,$L$7:$M$9,2,FALSE)+1,FALSE)*C37</f>
        <v>167791.16641080217</v>
      </c>
      <c r="E37" s="878"/>
      <c r="F37" s="877">
        <f>VLOOKUP($B$48,Índices!$B$6:$F$500,VLOOKUP(F$23,$L$7:$M$9,2,FALSE)+1,FALSE)/VLOOKUP(DATE(YEAR($B37),MONTH($B37)-1,1),Índices!$B$6:$F$500,VLOOKUP(H$23,$L$7:$M$9,2,FALSE)+1,FALSE)*E37</f>
        <v>0</v>
      </c>
      <c r="G37" s="878">
        <f>CAPA!E66</f>
        <v>-22996.390000000003</v>
      </c>
      <c r="H37" s="877">
        <f>VLOOKUP($B$48,Índices!$B$6:$F$500,VLOOKUP(H$23,$L$7:$M$9,2,FALSE)+1,FALSE)/VLOOKUP(DATE(YEAR($B37),MONTH($B37)-1,1),Índices!$B$6:$F$500,VLOOKUP(H$23,$L$7:$M$9,2,FALSE)+1,FALSE)*G37</f>
        <v>-25729.94089780208</v>
      </c>
      <c r="I37" s="879">
        <f>IFERROR(HLOOKUP(B37,'Rede Básica + Ajuste'!$E$70:$P$71,2,FALSE),0)</f>
        <v>0</v>
      </c>
      <c r="J37" s="879">
        <f>VLOOKUP($B$48,Índices!$B$6:$F$500,VLOOKUP(J$23,$L$7:$M$9,2,FALSE)+1,FALSE)/VLOOKUP(DATE(YEAR($B37),MONTH($B37)-1,1),Índices!$B$6:$F$500,VLOOKUP(J$23,$L$7:$M$9,2,FALSE)+1,FALSE)*I37</f>
        <v>0</v>
      </c>
      <c r="K37" s="878">
        <f>CAPA!H66</f>
        <v>0</v>
      </c>
      <c r="L37" s="877">
        <f>VLOOKUP($B$48,Índices!$B$6:$F$500,VLOOKUP(L$23,$L$7:$M$9,2,FALSE)+1,FALSE)/VLOOKUP(DATE(YEAR($B37),MONTH($B37)-1,1),Índices!$B$6:$F$500,VLOOKUP(L$23,$L$7:$M$9,2,FALSE)+1,FALSE)*K37</f>
        <v>0</v>
      </c>
      <c r="M37" s="878"/>
      <c r="N37" s="877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0</v>
      </c>
      <c r="P37" s="877">
        <f>VLOOKUP($B$48,Índices!$B$6:$F$500,VLOOKUP(P$23,$L$7:$M$9,2,FALSE)+1,FALSE)/VLOOKUP(DATE(YEAR($B37),MONTH($B37)-1,1),Índices!$B$6:$F$500,VLOOKUP(P$23,$L$7:$M$9,2,FALSE)+1,FALSE)*O37</f>
        <v>0</v>
      </c>
      <c r="Q37" s="878">
        <f>CAPA!D66</f>
        <v>0</v>
      </c>
      <c r="R37" s="877">
        <f>VLOOKUP($B$48,Índices!$B$6:$F$500,VLOOKUP(R$23,$L$7:$M$9,2,FALSE)+1,FALSE)/VLOOKUP(DATE(YEAR($B37),MONTH($B37)-1,1),Índices!$B$6:$F$500,VLOOKUP(R$23,$L$7:$M$9,2,FALSE)+1,FALSE)*Q37</f>
        <v>0</v>
      </c>
      <c r="S37" s="878">
        <f>ICMS!$B$9/12</f>
        <v>0</v>
      </c>
      <c r="T37" s="877">
        <f>VLOOKUP($B$48,Índices!$B$6:$F$500,VLOOKUP(T$23,$L$7:$M$9,2,FALSE)+1,FALSE)/VLOOKUP(DATE(YEAR($B37),MONTH($B37)-1,1),Índices!$B$6:$F$500,VLOOKUP(T$23,$L$7:$M$9,2,FALSE)+1,FALSE)*S37</f>
        <v>0</v>
      </c>
      <c r="U37" s="878">
        <f>ICMS!$B$8/12</f>
        <v>0</v>
      </c>
      <c r="V37" s="87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165982.99</v>
      </c>
      <c r="D38" s="227">
        <f>VLOOKUP($B$48,Índices!$B$6:$F$500,VLOOKUP(D$23,$L$7:$M$9,2,FALSE)+1,FALSE)/VLOOKUP(DATE(YEAR($B38),MONTH($B38)-1,1),Índices!$B$6:$F$500,VLOOKUP(D$23,$L$7:$M$9,2,FALSE)+1,FALSE)*C38</f>
        <v>183947.33484594111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-5054.17</v>
      </c>
      <c r="H38" s="227">
        <f>VLOOKUP($B$48,Índices!$B$6:$F$500,VLOOKUP(H$23,$L$7:$M$9,2,FALSE)+1,FALSE)/VLOOKUP(DATE(YEAR($B38),MONTH($B38)-1,1),Índices!$B$6:$F$500,VLOOKUP(H$23,$L$7:$M$9,2,FALSE)+1,FALSE)*G38</f>
        <v>-5601.1829968740185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8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8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165289.4</v>
      </c>
      <c r="D39" s="227">
        <f>VLOOKUP($B$48,Índices!$B$6:$F$500,VLOOKUP(D$23,$L$7:$M$9,2,FALSE)+1,FALSE)/VLOOKUP(DATE(YEAR($B39),MONTH($B39)-1,1),Índices!$B$6:$F$500,VLOOKUP(D$23,$L$7:$M$9,2,FALSE)+1,FALSE)*C39</f>
        <v>181598.79051233394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-33283.06</v>
      </c>
      <c r="H39" s="227">
        <f>VLOOKUP($B$48,Índices!$B$6:$F$500,VLOOKUP(H$23,$L$7:$M$9,2,FALSE)+1,FALSE)/VLOOKUP(DATE(YEAR($B39),MONTH($B39)-1,1),Índices!$B$6:$F$500,VLOOKUP(H$23,$L$7:$M$9,2,FALSE)+1,FALSE)*G39</f>
        <v>-36567.157001897533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8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8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191427.09</v>
      </c>
      <c r="D40" s="227">
        <f>VLOOKUP($B$48,Índices!$B$6:$F$500,VLOOKUP(D$23,$L$7:$M$9,2,FALSE)+1,FALSE)/VLOOKUP(DATE(YEAR($B40),MONTH($B40)-1,1),Índices!$B$6:$F$500,VLOOKUP(D$23,$L$7:$M$9,2,FALSE)+1,FALSE)*C40</f>
        <v>207903.9231414267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-31501.03</v>
      </c>
      <c r="H40" s="227">
        <f>VLOOKUP($B$48,Índices!$B$6:$F$500,VLOOKUP(H$23,$L$7:$M$9,2,FALSE)+1,FALSE)/VLOOKUP(DATE(YEAR($B40),MONTH($B40)-1,1),Índices!$B$6:$F$500,VLOOKUP(H$23,$L$7:$M$9,2,FALSE)+1,FALSE)*G40</f>
        <v>-34212.439420124792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8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8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198995.82</v>
      </c>
      <c r="D41" s="227">
        <f>VLOOKUP($B$48,Índices!$B$6:$F$500,VLOOKUP(D$23,$L$7:$M$9,2,FALSE)+1,FALSE)/VLOOKUP(DATE(YEAR($B41),MONTH($B41)-1,1),Índices!$B$6:$F$500,VLOOKUP(D$23,$L$7:$M$9,2,FALSE)+1,FALSE)*C41</f>
        <v>213456.01561632365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-63112.78</v>
      </c>
      <c r="H41" s="227">
        <f>VLOOKUP($B$48,Índices!$B$6:$F$500,VLOOKUP(H$23,$L$7:$M$9,2,FALSE)+1,FALSE)/VLOOKUP(DATE(YEAR($B41),MONTH($B41)-1,1),Índices!$B$6:$F$500,VLOOKUP(H$23,$L$7:$M$9,2,FALSE)+1,FALSE)*G41</f>
        <v>-67698.92228525001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8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8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136755.35999999999</v>
      </c>
      <c r="D42" s="227">
        <f>VLOOKUP($B$48,Índices!$B$6:$F$500,VLOOKUP(D$23,$L$7:$M$9,2,FALSE)+1,FALSE)/VLOOKUP(DATE(YEAR($B42),MONTH($B42)-1,1),Índices!$B$6:$F$500,VLOOKUP(D$23,$L$7:$M$9,2,FALSE)+1,FALSE)*C42</f>
        <v>145312.23463606604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-3544.91</v>
      </c>
      <c r="H42" s="227">
        <f>VLOOKUP($B$48,Índices!$B$6:$F$500,VLOOKUP(H$23,$L$7:$M$9,2,FALSE)+1,FALSE)/VLOOKUP(DATE(YEAR($B42),MONTH($B42)-1,1),Índices!$B$6:$F$500,VLOOKUP(H$23,$L$7:$M$9,2,FALSE)+1,FALSE)*G42</f>
        <v>-3766.717397283272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8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8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28323.42</v>
      </c>
      <c r="D43" s="227">
        <f>VLOOKUP($B$48,Índices!$B$6:$F$500,VLOOKUP(D$23,$L$7:$M$9,2,FALSE)+1,FALSE)/VLOOKUP(DATE(YEAR($B43),MONTH($B43)-1,1),Índices!$B$6:$F$500,VLOOKUP(D$23,$L$7:$M$9,2,FALSE)+1,FALSE)*C43</f>
        <v>29877.541814595981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-224425.97999999998</v>
      </c>
      <c r="H43" s="227">
        <f>VLOOKUP($B$48,Índices!$B$6:$F$500,VLOOKUP(H$23,$L$7:$M$9,2,FALSE)+1,FALSE)/VLOOKUP(DATE(YEAR($B43),MONTH($B43)-1,1),Índices!$B$6:$F$500,VLOOKUP(H$23,$L$7:$M$9,2,FALSE)+1,FALSE)*G43</f>
        <v>-236740.35839357256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8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8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66341.36</v>
      </c>
      <c r="D44" s="227">
        <f>VLOOKUP($B$48,Índices!$B$6:$F$500,VLOOKUP(D$23,$L$7:$M$9,2,FALSE)+1,FALSE)/VLOOKUP(DATE(YEAR($B44),MONTH($B44)-1,1),Índices!$B$6:$F$500,VLOOKUP(D$23,$L$7:$M$9,2,FALSE)+1,FALSE)*C44</f>
        <v>69605.656500392492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-164248.04</v>
      </c>
      <c r="H44" s="227">
        <f>VLOOKUP($B$48,Índices!$B$6:$F$500,VLOOKUP(H$23,$L$7:$M$9,2,FALSE)+1,FALSE)/VLOOKUP(DATE(YEAR($B44),MONTH($B44)-1,1),Índices!$B$6:$F$500,VLOOKUP(H$23,$L$7:$M$9,2,FALSE)+1,FALSE)*G44</f>
        <v>-172329.79024100088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8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8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239055.59999999998</v>
      </c>
      <c r="D45" s="227">
        <f>VLOOKUP($B$48,Índices!$B$6:$F$500,VLOOKUP(D$23,$L$7:$M$9,2,FALSE)+1,FALSE)/VLOOKUP(DATE(YEAR($B45),MONTH($B45)-1,1),Índices!$B$6:$F$500,VLOOKUP(D$23,$L$7:$M$9,2,FALSE)+1,FALSE)*C45</f>
        <v>248310.13689897733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-75792.05</v>
      </c>
      <c r="H45" s="227">
        <f>VLOOKUP($B$48,Índices!$B$6:$F$500,VLOOKUP(H$23,$L$7:$M$9,2,FALSE)+1,FALSE)/VLOOKUP(DATE(YEAR($B45),MONTH($B45)-1,1),Índices!$B$6:$F$500,VLOOKUP(H$23,$L$7:$M$9,2,FALSE)+1,FALSE)*G45</f>
        <v>-78726.180484180819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8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8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216163.43</v>
      </c>
      <c r="D46" s="227">
        <f>VLOOKUP($B$48,Índices!$B$6:$F$500,VLOOKUP(D$23,$L$7:$M$9,2,FALSE)+1,FALSE)/VLOOKUP(DATE(YEAR($B46),MONTH($B46)-1,1),Índices!$B$6:$F$500,VLOOKUP(D$23,$L$7:$M$9,2,FALSE)+1,FALSE)*C46</f>
        <v>220952.20807790777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-77764.28</v>
      </c>
      <c r="H46" s="227">
        <f>VLOOKUP($B$48,Índices!$B$6:$F$500,VLOOKUP(H$23,$L$7:$M$9,2,FALSE)+1,FALSE)/VLOOKUP(DATE(YEAR($B46),MONTH($B46)-1,1),Índices!$B$6:$F$500,VLOOKUP(H$23,$L$7:$M$9,2,FALSE)+1,FALSE)*G46</f>
        <v>-79487.031527898507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8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8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168551.81</v>
      </c>
      <c r="D47" s="227">
        <f>VLOOKUP($B$48,Índices!$B$6:$F$500,VLOOKUP(D$23,$L$7:$M$9,2,FALSE)+1,FALSE)/VLOOKUP(DATE(YEAR($B47),MONTH($B47)-1,1),Índices!$B$6:$F$500,VLOOKUP(D$23,$L$7:$M$9,2,FALSE)+1,FALSE)*C47</f>
        <v>170478.71847637743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-12200.33</v>
      </c>
      <c r="H47" s="227">
        <f>VLOOKUP($B$48,Índices!$B$6:$F$500,VLOOKUP(H$23,$L$7:$M$9,2,FALSE)+1,FALSE)/VLOOKUP(DATE(YEAR($B47),MONTH($B47)-1,1),Índices!$B$6:$F$500,VLOOKUP(H$23,$L$7:$M$9,2,FALSE)+1,FALSE)*G47</f>
        <v>-12339.805923109943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8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8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33">
        <f>DATE(YEAR(CAPA!$C$15),MONTH(CAPA!$C$15)-1,1)</f>
        <v>44713</v>
      </c>
      <c r="C48" s="298">
        <f>CAPA!C77</f>
        <v>6347.33</v>
      </c>
      <c r="D48" s="227">
        <f>VLOOKUP($B$48,Índices!$B$6:$F$500,VLOOKUP(D$23,$L$7:$M$9,2,FALSE)+1,FALSE)/VLOOKUP(DATE(YEAR($B48),MONTH($B48)-1,1),Índices!$B$6:$F$500,VLOOKUP(D$23,$L$7:$M$9,2,FALSE)+1,FALSE)*C48</f>
        <v>6389.8607771391326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741274.69830000005</v>
      </c>
      <c r="L48" s="227">
        <f>VLOOKUP($B$48,Índices!$B$6:$F$500,VLOOKUP(L$23,$L$7:$M$9,2,FALSE)+1,FALSE)/VLOOKUP(DATE(YEAR($B48),MONTH($B48)-1,1),Índices!$B$6:$F$500,VLOOKUP(L$23,$L$7:$M$9,2,FALSE)+1,FALSE)*K48</f>
        <v>748800.9760169402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8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8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534">
        <f t="shared" ref="C49:P49" si="3">SUM(C25:C48)</f>
        <v>1839275.4199999997</v>
      </c>
      <c r="D49" s="1535">
        <f t="shared" si="3"/>
        <v>1964938.6301020386</v>
      </c>
      <c r="E49" s="1534">
        <f t="shared" si="3"/>
        <v>0</v>
      </c>
      <c r="F49" s="1535">
        <f t="shared" si="3"/>
        <v>0</v>
      </c>
      <c r="G49" s="1534">
        <f t="shared" si="3"/>
        <v>-713923.02</v>
      </c>
      <c r="H49" s="1535">
        <f t="shared" si="3"/>
        <v>-753199.52656899451</v>
      </c>
      <c r="I49" s="1536">
        <f>SUM(I24:I48)</f>
        <v>0</v>
      </c>
      <c r="J49" s="1536">
        <f>SUM(J24:J48)</f>
        <v>0</v>
      </c>
      <c r="K49" s="1537">
        <f t="shared" si="3"/>
        <v>741274.69830000005</v>
      </c>
      <c r="L49" s="1538">
        <f t="shared" si="3"/>
        <v>748800.9760169402</v>
      </c>
      <c r="M49" s="1539">
        <f t="shared" si="3"/>
        <v>0</v>
      </c>
      <c r="N49" s="1540">
        <f t="shared" si="3"/>
        <v>0</v>
      </c>
      <c r="O49" s="1539">
        <f t="shared" si="3"/>
        <v>0</v>
      </c>
      <c r="P49" s="1540">
        <f t="shared" si="3"/>
        <v>0</v>
      </c>
      <c r="Q49" s="1539">
        <f t="shared" ref="Q49:R49" si="4">SUM(Q25:Q48)</f>
        <v>0</v>
      </c>
      <c r="R49" s="1540">
        <f t="shared" si="4"/>
        <v>0</v>
      </c>
      <c r="S49" s="1539">
        <f>-S51</f>
        <v>0</v>
      </c>
      <c r="T49" s="1540">
        <f t="shared" ref="T49:V49" si="5">SUM(T25:T48)</f>
        <v>0</v>
      </c>
      <c r="U49" s="1539">
        <f>-S52</f>
        <v>0</v>
      </c>
      <c r="V49" s="1540">
        <f t="shared" si="5"/>
        <v>0</v>
      </c>
      <c r="Z49" s="68"/>
    </row>
    <row r="50" spans="2:30" ht="14.25">
      <c r="J50" s="68" t="s">
        <v>923</v>
      </c>
      <c r="M50" s="200"/>
      <c r="N50" s="108"/>
      <c r="S50" s="1439"/>
      <c r="T50" s="68" t="s">
        <v>1476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01" t="s">
        <v>2250</v>
      </c>
      <c r="D53" s="1802"/>
      <c r="E53" s="1801" t="s">
        <v>1477</v>
      </c>
      <c r="F53" s="1802"/>
      <c r="G53" s="1801" t="s">
        <v>1478</v>
      </c>
      <c r="H53" s="1802"/>
      <c r="I53" s="1801" t="s">
        <v>1479</v>
      </c>
      <c r="J53" s="1802"/>
      <c r="K53" s="1799" t="s">
        <v>1480</v>
      </c>
      <c r="L53" s="1800"/>
      <c r="M53" s="1801" t="s">
        <v>1481</v>
      </c>
      <c r="N53" s="1802"/>
      <c r="O53" s="1801" t="s">
        <v>2252</v>
      </c>
      <c r="P53" s="1802"/>
      <c r="Q53" s="1801" t="s">
        <v>2253</v>
      </c>
      <c r="R53" s="1802"/>
      <c r="S53" s="1801" t="s">
        <v>1482</v>
      </c>
      <c r="T53" s="1802"/>
      <c r="U53" s="1801" t="s">
        <v>1483</v>
      </c>
      <c r="V53" s="1802"/>
      <c r="W53" s="1801" t="s">
        <v>36</v>
      </c>
      <c r="X53" s="1802"/>
      <c r="Z53" s="68"/>
    </row>
    <row r="54" spans="2:30" ht="14.25">
      <c r="C54" s="1530" t="s">
        <v>1475</v>
      </c>
      <c r="D54" s="1531" t="s">
        <v>846</v>
      </c>
      <c r="E54" s="1530" t="s">
        <v>1475</v>
      </c>
      <c r="F54" s="1531" t="s">
        <v>846</v>
      </c>
      <c r="G54" s="1530" t="s">
        <v>1475</v>
      </c>
      <c r="H54" s="1531" t="s">
        <v>846</v>
      </c>
      <c r="I54" s="1530" t="s">
        <v>1475</v>
      </c>
      <c r="J54" s="1531" t="s">
        <v>846</v>
      </c>
      <c r="K54" s="1528" t="s">
        <v>1475</v>
      </c>
      <c r="L54" s="1529" t="s">
        <v>846</v>
      </c>
      <c r="M54" s="1530" t="s">
        <v>1475</v>
      </c>
      <c r="N54" s="1531" t="s">
        <v>846</v>
      </c>
      <c r="O54" s="1530" t="s">
        <v>1475</v>
      </c>
      <c r="P54" s="1531" t="s">
        <v>846</v>
      </c>
      <c r="Q54" s="1530" t="s">
        <v>1475</v>
      </c>
      <c r="R54" s="1531" t="s">
        <v>846</v>
      </c>
      <c r="S54" s="1530" t="s">
        <v>1475</v>
      </c>
      <c r="T54" s="1531" t="s">
        <v>846</v>
      </c>
      <c r="U54" s="1530" t="s">
        <v>1475</v>
      </c>
      <c r="V54" s="1531" t="s">
        <v>846</v>
      </c>
      <c r="W54" s="1530" t="s">
        <v>1475</v>
      </c>
      <c r="X54" s="1541" t="s">
        <v>1453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Encargos!E31</f>
        <v>4343.568638899249</v>
      </c>
      <c r="H68" s="227">
        <f ca="1">VLOOKUP($B$48,Índices!$B$6:$F$500,VLOOKUP(H$54,$L$7:$M$9,2,FALSE)+1,FALSE)/VLOOKUP(DATE(YEAR($B68),MONTH($B68)-1,1),Índices!$B$6:$F$500,VLOOKUP(H$54,$L$7:$M$9,2,FALSE)+1,FALSE)*G68</f>
        <v>4859.8829800861913</v>
      </c>
      <c r="I68" s="209">
        <f ca="1">Encargos!F31</f>
        <v>109062.16358771716</v>
      </c>
      <c r="J68" s="227">
        <f ca="1">VLOOKUP($B$48,Índices!$B$6:$F$500,VLOOKUP(J$54,$L$7:$M$9,2,FALSE)+1,FALSE)/VLOOKUP(DATE(YEAR($B68),MONTH($B68)-1,1),Índices!$B$6:$F$500,VLOOKUP(J$54,$L$7:$M$9,2,FALSE)+1,FALSE)*I68</f>
        <v>122026.24078380931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17630.816519295317</v>
      </c>
      <c r="N68" s="227">
        <f ca="1">VLOOKUP($B$48,Índices!$B$6:$F$500,VLOOKUP(N$54,$L$7:$M$9,2,FALSE)+1,FALSE)/VLOOKUP(DATE(YEAR($B68),MONTH($B68)-1,1),Índices!$B$6:$F$500,VLOOKUP(N$54,$L$7:$M$9,2,FALSE)+1,FALSE)*M68</f>
        <v>19726.568692801826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Encargos!E32</f>
        <v>3466.6661385420175</v>
      </c>
      <c r="H69" s="227">
        <f ca="1">VLOOKUP($B$48,Índices!$B$6:$F$500,VLOOKUP(H$54,$L$7:$M$9,2,FALSE)+1,FALSE)/VLOOKUP(DATE(YEAR($B69),MONTH($B69)-1,1),Índices!$B$6:$F$500,VLOOKUP(H$54,$L$7:$M$9,2,FALSE)+1,FALSE)*G69</f>
        <v>3841.8635366520043</v>
      </c>
      <c r="I69" s="209">
        <f ca="1">Encargos!F32</f>
        <v>88665.616344221693</v>
      </c>
      <c r="J69" s="227">
        <f ca="1">VLOOKUP($B$48,Índices!$B$6:$F$500,VLOOKUP(J$54,$L$7:$M$9,2,FALSE)+1,FALSE)/VLOOKUP(DATE(YEAR($B69),MONTH($B69)-1,1),Índices!$B$6:$F$500,VLOOKUP(J$54,$L$7:$M$9,2,FALSE)+1,FALSE)*I69</f>
        <v>98261.899119857393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14148.289083359967</v>
      </c>
      <c r="N69" s="227">
        <f ca="1">VLOOKUP($B$48,Índices!$B$6:$F$500,VLOOKUP(N$54,$L$7:$M$9,2,FALSE)+1,FALSE)/VLOOKUP(DATE(YEAR($B69),MONTH($B69)-1,1),Índices!$B$6:$F$500,VLOOKUP(N$54,$L$7:$M$9,2,FALSE)+1,FALSE)*M69</f>
        <v>15679.558908500137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Encargos!E33</f>
        <v>3671.914370962877</v>
      </c>
      <c r="H70" s="227">
        <f ca="1">VLOOKUP($B$48,Índices!$B$6:$F$500,VLOOKUP(H$54,$L$7:$M$9,2,FALSE)+1,FALSE)/VLOOKUP(DATE(YEAR($B70),MONTH($B70)-1,1),Índices!$B$6:$F$500,VLOOKUP(H$54,$L$7:$M$9,2,FALSE)+1,FALSE)*G70</f>
        <v>4034.2285024430848</v>
      </c>
      <c r="I70" s="209">
        <f ca="1">Encargos!F33</f>
        <v>93095.166447055701</v>
      </c>
      <c r="J70" s="227">
        <f ca="1">VLOOKUP($B$48,Índices!$B$6:$F$500,VLOOKUP(J$54,$L$7:$M$9,2,FALSE)+1,FALSE)/VLOOKUP(DATE(YEAR($B70),MONTH($B70)-1,1),Índices!$B$6:$F$500,VLOOKUP(J$54,$L$7:$M$9,2,FALSE)+1,FALSE)*I70</f>
        <v>102281.02727295113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14978.43548134133</v>
      </c>
      <c r="N70" s="227">
        <f ca="1">VLOOKUP($B$48,Índices!$B$6:$F$500,VLOOKUP(N$54,$L$7:$M$9,2,FALSE)+1,FALSE)/VLOOKUP(DATE(YEAR($B70),MONTH($B70)-1,1),Índices!$B$6:$F$500,VLOOKUP(N$54,$L$7:$M$9,2,FALSE)+1,FALSE)*M70</f>
        <v>16456.383574376905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Encargos!E34</f>
        <v>3372.0643459241237</v>
      </c>
      <c r="H71" s="227">
        <f ca="1">VLOOKUP($B$48,Índices!$B$6:$F$500,VLOOKUP(H$54,$L$7:$M$9,2,FALSE)+1,FALSE)/VLOOKUP(DATE(YEAR($B71),MONTH($B71)-1,1),Índices!$B$6:$F$500,VLOOKUP(H$54,$L$7:$M$9,2,FALSE)+1,FALSE)*G71</f>
        <v>3662.3103167004956</v>
      </c>
      <c r="I71" s="209">
        <f ca="1">Encargos!F34</f>
        <v>85772.528341428435</v>
      </c>
      <c r="J71" s="227">
        <f ca="1">VLOOKUP($B$48,Índices!$B$6:$F$500,VLOOKUP(J$54,$L$7:$M$9,2,FALSE)+1,FALSE)/VLOOKUP(DATE(YEAR($B71),MONTH($B71)-1,1),Índices!$B$6:$F$500,VLOOKUP(J$54,$L$7:$M$9,2,FALSE)+1,FALSE)*I71</f>
        <v>93155.285074553351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13770.762763052029</v>
      </c>
      <c r="N71" s="227">
        <f ca="1">VLOOKUP($B$48,Índices!$B$6:$F$500,VLOOKUP(N$54,$L$7:$M$9,2,FALSE)+1,FALSE)/VLOOKUP(DATE(YEAR($B71),MONTH($B71)-1,1),Índices!$B$6:$F$500,VLOOKUP(N$54,$L$7:$M$9,2,FALSE)+1,FALSE)*M71</f>
        <v>14956.062922381518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Encargos!E35</f>
        <v>-1995.0779246905804</v>
      </c>
      <c r="H72" s="227">
        <f ca="1">VLOOKUP($B$48,Índices!$B$6:$F$500,VLOOKUP(H$54,$L$7:$M$9,2,FALSE)+1,FALSE)/VLOOKUP(DATE(YEAR($B72),MONTH($B72)-1,1),Índices!$B$6:$F$500,VLOOKUP(H$54,$L$7:$M$9,2,FALSE)+1,FALSE)*G72</f>
        <v>-2140.0519098769769</v>
      </c>
      <c r="I72" s="209">
        <f ca="1">Encargos!F35</f>
        <v>-47875.085258218634</v>
      </c>
      <c r="J72" s="227">
        <f ca="1">VLOOKUP($B$48,Índices!$B$6:$F$500,VLOOKUP(J$54,$L$7:$M$9,2,FALSE)+1,FALSE)/VLOOKUP(DATE(YEAR($B72),MONTH($B72)-1,1),Índices!$B$6:$F$500,VLOOKUP(J$54,$L$7:$M$9,2,FALSE)+1,FALSE)*I72</f>
        <v>-51353.967869833359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-7875.9193026351131</v>
      </c>
      <c r="N72" s="227">
        <f ca="1">VLOOKUP($B$48,Índices!$B$6:$F$500,VLOOKUP(N$54,$L$7:$M$9,2,FALSE)+1,FALSE)/VLOOKUP(DATE(YEAR($B72),MONTH($B72)-1,1),Índices!$B$6:$F$500,VLOOKUP(N$54,$L$7:$M$9,2,FALSE)+1,FALSE)*M72</f>
        <v>-8448.2294836956153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Encargos!E36</f>
        <v>-5379.303904151835</v>
      </c>
      <c r="H73" s="227">
        <f ca="1">VLOOKUP($B$48,Índices!$B$6:$F$500,VLOOKUP(H$54,$L$7:$M$9,2,FALSE)+1,FALSE)/VLOOKUP(DATE(YEAR($B73),MONTH($B73)-1,1),Índices!$B$6:$F$500,VLOOKUP(H$54,$L$7:$M$9,2,FALSE)+1,FALSE)*G73</f>
        <v>-5715.8905588696307</v>
      </c>
      <c r="I73" s="209">
        <f ca="1">Encargos!F36</f>
        <v>-135593.3163892724</v>
      </c>
      <c r="J73" s="227">
        <f ca="1">VLOOKUP($B$48,Índices!$B$6:$F$500,VLOOKUP(J$54,$L$7:$M$9,2,FALSE)+1,FALSE)/VLOOKUP(DATE(YEAR($B73),MONTH($B73)-1,1),Índices!$B$6:$F$500,VLOOKUP(J$54,$L$7:$M$9,2,FALSE)+1,FALSE)*I73</f>
        <v>-144077.48117690079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-21622.545247512186</v>
      </c>
      <c r="N73" s="227">
        <f ca="1">VLOOKUP($B$48,Índices!$B$6:$F$500,VLOOKUP(N$54,$L$7:$M$9,2,FALSE)+1,FALSE)/VLOOKUP(DATE(YEAR($B73),MONTH($B73)-1,1),Índices!$B$6:$F$500,VLOOKUP(N$54,$L$7:$M$9,2,FALSE)+1,FALSE)*M73</f>
        <v>-22975.482412063742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Encargos!E37</f>
        <v>-10300.060736676609</v>
      </c>
      <c r="H74" s="227">
        <f ca="1">VLOOKUP($B$48,Índices!$B$6:$F$500,VLOOKUP(H$54,$L$7:$M$9,2,FALSE)+1,FALSE)/VLOOKUP(DATE(YEAR($B74),MONTH($B74)-1,1),Índices!$B$6:$F$500,VLOOKUP(H$54,$L$7:$M$9,2,FALSE)+1,FALSE)*G74</f>
        <v>-10865.230800268248</v>
      </c>
      <c r="I74" s="209">
        <f ca="1">Encargos!F37</f>
        <v>-263490.36222706927</v>
      </c>
      <c r="J74" s="227">
        <f ca="1">VLOOKUP($B$48,Índices!$B$6:$F$500,VLOOKUP(J$54,$L$7:$M$9,2,FALSE)+1,FALSE)/VLOOKUP(DATE(YEAR($B74),MONTH($B74)-1,1),Índices!$B$6:$F$500,VLOOKUP(J$54,$L$7:$M$9,2,FALSE)+1,FALSE)*I74</f>
        <v>-277948.2250089256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-41572.62794306477</v>
      </c>
      <c r="N74" s="227">
        <f ca="1">VLOOKUP($B$48,Índices!$B$6:$F$500,VLOOKUP(N$54,$L$7:$M$9,2,FALSE)+1,FALSE)/VLOOKUP(DATE(YEAR($B74),MONTH($B74)-1,1),Índices!$B$6:$F$500,VLOOKUP(N$54,$L$7:$M$9,2,FALSE)+1,FALSE)*M74</f>
        <v>-43853.741169377106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Encargos!E38</f>
        <v>-8164.267310907413</v>
      </c>
      <c r="H75" s="227">
        <f ca="1">VLOOKUP($B$48,Índices!$B$6:$F$500,VLOOKUP(H$54,$L$7:$M$9,2,FALSE)+1,FALSE)/VLOOKUP(DATE(YEAR($B75),MONTH($B75)-1,1),Índices!$B$6:$F$500,VLOOKUP(H$54,$L$7:$M$9,2,FALSE)+1,FALSE)*G75</f>
        <v>-8565.9863774333917</v>
      </c>
      <c r="I75" s="209">
        <f ca="1">Encargos!F38</f>
        <v>-208883.06847863173</v>
      </c>
      <c r="J75" s="227">
        <f ca="1">VLOOKUP($B$48,Índices!$B$6:$F$500,VLOOKUP(J$54,$L$7:$M$9,2,FALSE)+1,FALSE)/VLOOKUP(DATE(YEAR($B75),MONTH($B75)-1,1),Índices!$B$6:$F$500,VLOOKUP(J$54,$L$7:$M$9,2,FALSE)+1,FALSE)*I75</f>
        <v>-219161.06503200418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-32879.48062703028</v>
      </c>
      <c r="N75" s="227">
        <f ca="1">VLOOKUP($B$48,Índices!$B$6:$F$500,VLOOKUP(N$54,$L$7:$M$9,2,FALSE)+1,FALSE)/VLOOKUP(DATE(YEAR($B75),MONTH($B75)-1,1),Índices!$B$6:$F$500,VLOOKUP(N$54,$L$7:$M$9,2,FALSE)+1,FALSE)*M75</f>
        <v>-34497.300544281563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Encargos!E39</f>
        <v>-4962.8839951803166</v>
      </c>
      <c r="H76" s="227">
        <f ca="1">VLOOKUP($B$48,Índices!$B$6:$F$500,VLOOKUP(H$54,$L$7:$M$9,2,FALSE)+1,FALSE)/VLOOKUP(DATE(YEAR($B76),MONTH($B76)-1,1),Índices!$B$6:$F$500,VLOOKUP(H$54,$L$7:$M$9,2,FALSE)+1,FALSE)*G76</f>
        <v>-5155.0116552675117</v>
      </c>
      <c r="I76" s="209">
        <f ca="1">Encargos!F39</f>
        <v>-128101.69545974984</v>
      </c>
      <c r="J76" s="227">
        <f ca="1">VLOOKUP($B$48,Índices!$B$6:$F$500,VLOOKUP(J$54,$L$7:$M$9,2,FALSE)+1,FALSE)/VLOOKUP(DATE(YEAR($B76),MONTH($B76)-1,1),Índices!$B$6:$F$500,VLOOKUP(J$54,$L$7:$M$9,2,FALSE)+1,FALSE)*I76</f>
        <v>-133060.88431562192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-19941.631223805409</v>
      </c>
      <c r="N76" s="227">
        <f ca="1">VLOOKUP($B$48,Índices!$B$6:$F$500,VLOOKUP(N$54,$L$7:$M$9,2,FALSE)+1,FALSE)/VLOOKUP(DATE(YEAR($B76),MONTH($B76)-1,1),Índices!$B$6:$F$500,VLOOKUP(N$54,$L$7:$M$9,2,FALSE)+1,FALSE)*M76</f>
        <v>-20713.629712803391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Encargos!E40</f>
        <v>-789.38071115697312</v>
      </c>
      <c r="H77" s="227">
        <f ca="1">VLOOKUP($B$48,Índices!$B$6:$F$500,VLOOKUP(H$54,$L$7:$M$9,2,FALSE)+1,FALSE)/VLOOKUP(DATE(YEAR($B77),MONTH($B77)-1,1),Índices!$B$6:$F$500,VLOOKUP(H$54,$L$7:$M$9,2,FALSE)+1,FALSE)*G77</f>
        <v>-806.86826233393106</v>
      </c>
      <c r="I77" s="209">
        <f ca="1">Encargos!F40</f>
        <v>-11432.05647514289</v>
      </c>
      <c r="J77" s="227">
        <f ca="1">VLOOKUP($B$48,Índices!$B$6:$F$500,VLOOKUP(J$54,$L$7:$M$9,2,FALSE)+1,FALSE)/VLOOKUP(DATE(YEAR($B77),MONTH($B77)-1,1),Índices!$B$6:$F$500,VLOOKUP(J$54,$L$7:$M$9,2,FALSE)+1,FALSE)*I77</f>
        <v>-11685.316619255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-2382.6381118431309</v>
      </c>
      <c r="N77" s="227">
        <f ca="1">VLOOKUP($B$48,Índices!$B$6:$F$500,VLOOKUP(N$54,$L$7:$M$9,2,FALSE)+1,FALSE)/VLOOKUP(DATE(YEAR($B77),MONTH($B77)-1,1),Índices!$B$6:$F$500,VLOOKUP(N$54,$L$7:$M$9,2,FALSE)+1,FALSE)*M77</f>
        <v>-2435.4219021335698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Encargos!E41</f>
        <v>300.94954548065107</v>
      </c>
      <c r="H78" s="227">
        <f ca="1">VLOOKUP($B$48,Índices!$B$6:$F$500,VLOOKUP(H$54,$L$7:$M$9,2,FALSE)+1,FALSE)/VLOOKUP(DATE(YEAR($B78),MONTH($B78)-1,1),Índices!$B$6:$F$500,VLOOKUP(H$54,$L$7:$M$9,2,FALSE)+1,FALSE)*G78</f>
        <v>304.39004386597605</v>
      </c>
      <c r="I78" s="209">
        <f ca="1">Encargos!F41</f>
        <v>15420.592128011631</v>
      </c>
      <c r="J78" s="227">
        <f ca="1">VLOOKUP($B$48,Índices!$B$6:$F$500,VLOOKUP(J$54,$L$7:$M$9,2,FALSE)+1,FALSE)/VLOOKUP(DATE(YEAR($B78),MONTH($B78)-1,1),Índices!$B$6:$F$500,VLOOKUP(J$54,$L$7:$M$9,2,FALSE)+1,FALSE)*I78</f>
        <v>15596.882549824511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1985.7851271425534</v>
      </c>
      <c r="N78" s="227">
        <f ca="1">VLOOKUP($B$48,Índices!$B$6:$F$500,VLOOKUP(N$54,$L$7:$M$9,2,FALSE)+1,FALSE)/VLOOKUP(DATE(YEAR($B78),MONTH($B78)-1,1),Índices!$B$6:$F$500,VLOOKUP(N$54,$L$7:$M$9,2,FALSE)+1,FALSE)*M78</f>
        <v>2008.4869076440812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Encargos!E42</f>
        <v>1824.5375821830403</v>
      </c>
      <c r="H79" s="227">
        <f ca="1">VLOOKUP($B$48,Índices!$B$6:$F$500,VLOOKUP(H$54,$L$7:$M$9,2,FALSE)+1,FALSE)/VLOOKUP(DATE(YEAR($B79),MONTH($B79)-1,1),Índices!$B$6:$F$500,VLOOKUP(H$54,$L$7:$M$9,2,FALSE)+1,FALSE)*G79</f>
        <v>1836.763037813959</v>
      </c>
      <c r="I79" s="209">
        <f ca="1">Encargos!F42</f>
        <v>53286.192793837341</v>
      </c>
      <c r="J79" s="227">
        <f ca="1">VLOOKUP($B$48,Índices!$B$6:$F$500,VLOOKUP(J$54,$L$7:$M$9,2,FALSE)+1,FALSE)/VLOOKUP(DATE(YEAR($B79),MONTH($B79)-1,1),Índices!$B$6:$F$500,VLOOKUP(J$54,$L$7:$M$9,2,FALSE)+1,FALSE)*I79</f>
        <v>53643.241063000525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8150.3758161335936</v>
      </c>
      <c r="N79" s="227">
        <f ca="1">VLOOKUP($B$48,Índices!$B$6:$F$500,VLOOKUP(N$54,$L$7:$M$9,2,FALSE)+1,FALSE)/VLOOKUP(DATE(YEAR($B79),MONTH($B79)-1,1),Índices!$B$6:$F$500,VLOOKUP(N$54,$L$7:$M$9,2,FALSE)+1,FALSE)*M79</f>
        <v>8204.9880416577362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39">
        <f ca="1">SUM(C56:C79)</f>
        <v>0</v>
      </c>
      <c r="D80" s="1540">
        <f ca="1">SUM(D56:D79)</f>
        <v>0</v>
      </c>
      <c r="E80" s="1539">
        <f ca="1">SUM(E56:E79)</f>
        <v>0</v>
      </c>
      <c r="F80" s="1540">
        <f ca="1">SUM(F56:F79)</f>
        <v>0</v>
      </c>
      <c r="G80" s="1539">
        <f ca="1">SUM(G55:G79)</f>
        <v>-14611.273960771765</v>
      </c>
      <c r="H80" s="1539">
        <f t="shared" ref="H80:N80" ca="1" si="7">SUM(H55:H79)</f>
        <v>-14709.601146487978</v>
      </c>
      <c r="I80" s="1539">
        <f t="shared" ca="1" si="7"/>
        <v>-350073.3246458128</v>
      </c>
      <c r="J80" s="1539">
        <f t="shared" ca="1" si="7"/>
        <v>-352322.36415854463</v>
      </c>
      <c r="K80" s="1539">
        <f t="shared" ca="1" si="7"/>
        <v>0</v>
      </c>
      <c r="L80" s="1539">
        <f t="shared" ca="1" si="7"/>
        <v>0</v>
      </c>
      <c r="M80" s="1539">
        <f t="shared" ca="1" si="7"/>
        <v>-55610.377665566091</v>
      </c>
      <c r="N80" s="1539">
        <f t="shared" ca="1" si="7"/>
        <v>-55891.756176992785</v>
      </c>
      <c r="O80" s="1539">
        <f t="shared" ref="O80:R80" ca="1" si="8">SUM(O55:O79)</f>
        <v>0</v>
      </c>
      <c r="P80" s="1539">
        <f t="shared" ca="1" si="8"/>
        <v>0</v>
      </c>
      <c r="Q80" s="1539">
        <f t="shared" ca="1" si="8"/>
        <v>0</v>
      </c>
      <c r="R80" s="1539">
        <f t="shared" ca="1" si="8"/>
        <v>0</v>
      </c>
      <c r="S80" s="1539">
        <f t="shared" ref="S80:X80" si="9">SUM(S55:S79)</f>
        <v>0</v>
      </c>
      <c r="T80" s="1539">
        <f t="shared" si="9"/>
        <v>0</v>
      </c>
      <c r="U80" s="1539">
        <f t="shared" si="9"/>
        <v>0</v>
      </c>
      <c r="V80" s="1542">
        <f t="shared" si="9"/>
        <v>0</v>
      </c>
      <c r="W80" s="1539">
        <f t="shared" si="9"/>
        <v>0</v>
      </c>
      <c r="X80" s="1542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D11:E11 G11:J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1484</v>
      </c>
      <c r="C1" s="9" t="s">
        <v>1485</v>
      </c>
      <c r="D1" s="9" t="s">
        <v>1486</v>
      </c>
      <c r="E1" s="235" t="s">
        <v>1487</v>
      </c>
      <c r="F1" s="235" t="s">
        <v>1488</v>
      </c>
      <c r="G1" s="235" t="s">
        <v>1489</v>
      </c>
      <c r="H1" s="235" t="s">
        <v>1490</v>
      </c>
      <c r="I1" s="9" t="s">
        <v>232</v>
      </c>
      <c r="J1" s="9" t="s">
        <v>1491</v>
      </c>
      <c r="K1" s="9" t="s">
        <v>1492</v>
      </c>
      <c r="L1" s="9" t="s">
        <v>1493</v>
      </c>
      <c r="M1" s="9" t="s">
        <v>1494</v>
      </c>
      <c r="N1" s="9" t="s">
        <v>1036</v>
      </c>
      <c r="O1" s="9" t="s">
        <v>950</v>
      </c>
      <c r="P1" s="9" t="s">
        <v>1495</v>
      </c>
      <c r="Q1" s="8" t="s">
        <v>944</v>
      </c>
      <c r="R1" s="17" t="s">
        <v>1496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1485</v>
      </c>
      <c r="B1" t="s">
        <v>1035</v>
      </c>
      <c r="C1" t="s">
        <v>1497</v>
      </c>
      <c r="D1" t="s">
        <v>954</v>
      </c>
      <c r="E1" t="s">
        <v>1498</v>
      </c>
      <c r="F1" t="s">
        <v>58</v>
      </c>
      <c r="G1" t="s">
        <v>587</v>
      </c>
      <c r="H1" t="s">
        <v>1036</v>
      </c>
      <c r="I1" t="s">
        <v>120</v>
      </c>
      <c r="J1" t="s">
        <v>1489</v>
      </c>
      <c r="K1" t="s">
        <v>1499</v>
      </c>
      <c r="L1" t="s">
        <v>1500</v>
      </c>
      <c r="M1" t="s">
        <v>1501</v>
      </c>
      <c r="N1" t="s">
        <v>1046</v>
      </c>
      <c r="O1" t="s">
        <v>1502</v>
      </c>
      <c r="P1" t="s">
        <v>1503</v>
      </c>
      <c r="Q1" t="s">
        <v>1504</v>
      </c>
      <c r="R1" t="s">
        <v>1505</v>
      </c>
      <c r="S1" t="s">
        <v>232</v>
      </c>
      <c r="T1" t="s">
        <v>1506</v>
      </c>
      <c r="U1" t="s">
        <v>1507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43" t="s">
        <v>1508</v>
      </c>
      <c r="D2" s="3" t="s">
        <v>1509</v>
      </c>
    </row>
    <row r="3" spans="2:15">
      <c r="B3" s="5"/>
    </row>
    <row r="6" spans="2:15">
      <c r="B6" s="1544" t="s">
        <v>1510</v>
      </c>
      <c r="C6" s="1544" t="s">
        <v>1511</v>
      </c>
      <c r="D6" s="1544" t="s">
        <v>846</v>
      </c>
      <c r="E6" s="6" t="s">
        <v>1512</v>
      </c>
      <c r="F6" s="6" t="s">
        <v>1513</v>
      </c>
      <c r="G6" s="1545" t="s">
        <v>1514</v>
      </c>
      <c r="K6" s="1659" t="s">
        <v>2290</v>
      </c>
      <c r="L6" s="1660" t="s">
        <v>37</v>
      </c>
      <c r="M6" s="1661" t="s">
        <v>2291</v>
      </c>
      <c r="N6" s="1660" t="s">
        <v>1416</v>
      </c>
      <c r="O6" s="1662" t="s">
        <v>2292</v>
      </c>
    </row>
    <row r="7" spans="2:15">
      <c r="B7" s="1546">
        <v>32629</v>
      </c>
      <c r="C7" s="1547">
        <v>2.5789999999999999E-5</v>
      </c>
      <c r="D7" s="1547">
        <v>3.4132578959999998E-4</v>
      </c>
      <c r="E7" s="1547">
        <v>0</v>
      </c>
      <c r="F7" s="1547">
        <v>1</v>
      </c>
      <c r="K7" s="1663">
        <v>42064</v>
      </c>
      <c r="L7" s="1664"/>
      <c r="M7" s="1665">
        <v>0</v>
      </c>
      <c r="N7" s="1666">
        <v>1</v>
      </c>
      <c r="O7" s="1666">
        <v>1</v>
      </c>
    </row>
    <row r="8" spans="2:15">
      <c r="B8" s="1546">
        <v>32660</v>
      </c>
      <c r="C8" s="1547">
        <v>3.0859999999999999E-5</v>
      </c>
      <c r="D8" s="1547">
        <v>4.3911559890000003E-4</v>
      </c>
      <c r="E8" s="1547">
        <v>0</v>
      </c>
      <c r="F8" s="1547">
        <v>1</v>
      </c>
      <c r="G8" s="10"/>
      <c r="K8" s="1663">
        <v>42065</v>
      </c>
      <c r="L8" s="1664" t="s">
        <v>2293</v>
      </c>
      <c r="M8" s="1665">
        <v>4.5512999999999998E-2</v>
      </c>
      <c r="N8" s="1666">
        <v>1.00045513</v>
      </c>
      <c r="O8" s="1666">
        <v>1.00045513</v>
      </c>
    </row>
    <row r="9" spans="2:15">
      <c r="B9" s="1546">
        <v>32690</v>
      </c>
      <c r="C9" s="1547">
        <v>4.1940000000000002E-5</v>
      </c>
      <c r="D9" s="1547">
        <v>5.6092617030000002E-4</v>
      </c>
      <c r="E9" s="1547">
        <v>0</v>
      </c>
      <c r="F9" s="1547">
        <v>1</v>
      </c>
      <c r="K9" s="1663">
        <v>42066</v>
      </c>
      <c r="L9" s="1664" t="s">
        <v>2293</v>
      </c>
      <c r="M9" s="1665">
        <v>4.5512999999999998E-2</v>
      </c>
      <c r="N9" s="1666">
        <v>1.0009104671433169</v>
      </c>
      <c r="O9" s="1666">
        <v>1.0009104671433169</v>
      </c>
    </row>
    <row r="10" spans="2:15">
      <c r="B10" s="1546">
        <v>32721</v>
      </c>
      <c r="C10" s="1547">
        <v>5.7429999999999997E-5</v>
      </c>
      <c r="D10" s="1547">
        <v>7.5001448160000002E-4</v>
      </c>
      <c r="E10" s="1547">
        <v>0</v>
      </c>
      <c r="F10" s="1547">
        <v>1</v>
      </c>
      <c r="K10" s="1663">
        <v>42067</v>
      </c>
      <c r="L10" s="1664" t="s">
        <v>2293</v>
      </c>
      <c r="M10" s="1665">
        <v>4.5512999999999998E-2</v>
      </c>
      <c r="N10" s="1666">
        <v>1.0013660115242278</v>
      </c>
      <c r="O10" s="1666">
        <v>1.0013660115242278</v>
      </c>
    </row>
    <row r="11" spans="2:15">
      <c r="B11" s="1546">
        <v>32752</v>
      </c>
      <c r="C11" s="1547">
        <v>8.0350000000000001E-5</v>
      </c>
      <c r="D11" s="1547">
        <v>1.031719911E-3</v>
      </c>
      <c r="E11" s="1547">
        <v>0</v>
      </c>
      <c r="F11" s="1547">
        <v>1</v>
      </c>
      <c r="K11" s="1663">
        <v>42068</v>
      </c>
      <c r="L11" s="1664" t="s">
        <v>2293</v>
      </c>
      <c r="M11" s="1665">
        <v>4.7279000000000002E-2</v>
      </c>
      <c r="N11" s="1666">
        <v>1.0018394473608161</v>
      </c>
      <c r="O11" s="1666">
        <v>1.0018394473608161</v>
      </c>
    </row>
    <row r="12" spans="2:15">
      <c r="B12" s="1546">
        <v>32782</v>
      </c>
      <c r="C12" s="1547">
        <v>1.13E-4</v>
      </c>
      <c r="D12" s="1547">
        <v>1.4420348808E-3</v>
      </c>
      <c r="E12" s="1547">
        <v>0</v>
      </c>
      <c r="F12" s="1547">
        <v>1</v>
      </c>
      <c r="K12" s="1663">
        <v>42069</v>
      </c>
      <c r="L12" s="1664" t="s">
        <v>2293</v>
      </c>
      <c r="M12" s="1665">
        <v>4.7279000000000002E-2</v>
      </c>
      <c r="N12" s="1666">
        <v>1.0023131070331337</v>
      </c>
      <c r="O12" s="1666">
        <v>1.0023131070331337</v>
      </c>
    </row>
    <row r="13" spans="2:15">
      <c r="B13" s="1546">
        <v>32813</v>
      </c>
      <c r="C13" s="1547">
        <v>1.5873999999999999E-4</v>
      </c>
      <c r="D13" s="1547">
        <v>2.1316159802999999E-3</v>
      </c>
      <c r="E13" s="1547">
        <v>0</v>
      </c>
      <c r="F13" s="1547">
        <v>1</v>
      </c>
      <c r="K13" s="1663">
        <v>42070</v>
      </c>
      <c r="L13" s="1664"/>
      <c r="M13" s="1665">
        <v>0</v>
      </c>
      <c r="N13" s="1666">
        <v>1.0023131070331337</v>
      </c>
      <c r="O13" s="1666">
        <v>1.0023131070331337</v>
      </c>
    </row>
    <row r="14" spans="2:15">
      <c r="B14" s="1546">
        <v>32843</v>
      </c>
      <c r="C14" s="1547">
        <v>2.3356000000000001E-4</v>
      </c>
      <c r="D14" s="1547">
        <v>3.2293981927000001E-3</v>
      </c>
      <c r="E14" s="1547">
        <v>0</v>
      </c>
      <c r="F14" s="1547">
        <v>1</v>
      </c>
      <c r="K14" s="1663">
        <v>42071</v>
      </c>
      <c r="L14" s="1664"/>
      <c r="M14" s="1665">
        <v>0</v>
      </c>
      <c r="N14" s="1666">
        <v>1.0023131070331337</v>
      </c>
      <c r="O14" s="1666">
        <v>1.0023131070331337</v>
      </c>
    </row>
    <row r="15" spans="2:15">
      <c r="B15" s="1546">
        <v>32874</v>
      </c>
      <c r="C15" s="1547">
        <v>3.7711E-4</v>
      </c>
      <c r="D15" s="1547">
        <v>5.4108567453999999E-3</v>
      </c>
      <c r="E15" s="1547">
        <v>0</v>
      </c>
      <c r="F15" s="1547">
        <v>1</v>
      </c>
      <c r="K15" s="1663">
        <v>42072</v>
      </c>
      <c r="L15" s="1664" t="s">
        <v>2293</v>
      </c>
      <c r="M15" s="1665">
        <v>4.7279000000000002E-2</v>
      </c>
      <c r="N15" s="1666">
        <v>1.0027869906470077</v>
      </c>
      <c r="O15" s="1666">
        <v>1.0027869906470077</v>
      </c>
    </row>
    <row r="16" spans="2:15">
      <c r="B16" s="1546">
        <v>32905</v>
      </c>
      <c r="C16" s="1547">
        <v>6.8364999999999995E-4</v>
      </c>
      <c r="D16" s="1547">
        <v>9.5084984832999996E-3</v>
      </c>
      <c r="E16" s="1547">
        <v>0</v>
      </c>
      <c r="F16" s="1547">
        <v>1</v>
      </c>
      <c r="K16" s="1663">
        <v>42073</v>
      </c>
      <c r="L16" s="1664" t="s">
        <v>2293</v>
      </c>
      <c r="M16" s="1665">
        <v>4.7279000000000002E-2</v>
      </c>
      <c r="N16" s="1666">
        <v>1.0032610983083157</v>
      </c>
      <c r="O16" s="1666">
        <v>1.0032610983083157</v>
      </c>
    </row>
    <row r="17" spans="2:15">
      <c r="B17" s="1546">
        <v>32933</v>
      </c>
      <c r="C17" s="1547">
        <v>1.2575500000000001E-3</v>
      </c>
      <c r="D17" s="1547">
        <v>1.7342550351000002E-2</v>
      </c>
      <c r="E17" s="1547">
        <v>0</v>
      </c>
      <c r="F17" s="1547">
        <v>1</v>
      </c>
      <c r="K17" s="1663">
        <v>42074</v>
      </c>
      <c r="L17" s="1664" t="s">
        <v>2293</v>
      </c>
      <c r="M17" s="1665">
        <v>4.7279000000000002E-2</v>
      </c>
      <c r="N17" s="1666">
        <v>1.0037354301229848</v>
      </c>
      <c r="O17" s="1666">
        <v>1.0037354301229848</v>
      </c>
    </row>
    <row r="18" spans="2:15">
      <c r="B18" s="1546">
        <v>32964</v>
      </c>
      <c r="C18" s="1547">
        <v>1.61407E-3</v>
      </c>
      <c r="D18" s="1547">
        <v>2.00341140678E-2</v>
      </c>
      <c r="E18" s="1547">
        <v>0</v>
      </c>
      <c r="F18" s="1547">
        <v>1</v>
      </c>
      <c r="K18" s="1663">
        <v>42075</v>
      </c>
      <c r="L18" s="1664" t="s">
        <v>2293</v>
      </c>
      <c r="M18" s="1665">
        <v>4.7279000000000002E-2</v>
      </c>
      <c r="N18" s="1666">
        <v>1.0042099861969926</v>
      </c>
      <c r="O18" s="1666">
        <v>1.0042099861969926</v>
      </c>
    </row>
    <row r="19" spans="2:15">
      <c r="B19" s="1546">
        <v>32994</v>
      </c>
      <c r="C19" s="1547">
        <v>1.70973E-3</v>
      </c>
      <c r="D19" s="1547">
        <v>2.1554703244099999E-2</v>
      </c>
      <c r="E19" s="1547">
        <v>0</v>
      </c>
      <c r="F19" s="1547">
        <v>1</v>
      </c>
      <c r="K19" s="1663">
        <v>42076</v>
      </c>
      <c r="L19" s="1664" t="s">
        <v>2293</v>
      </c>
      <c r="M19" s="1665">
        <v>4.7279000000000002E-2</v>
      </c>
      <c r="N19" s="1666">
        <v>1.0046847666363665</v>
      </c>
      <c r="O19" s="1666">
        <v>1.0046847666363665</v>
      </c>
    </row>
    <row r="20" spans="2:15">
      <c r="B20" s="1546">
        <v>33025</v>
      </c>
      <c r="C20" s="1547">
        <v>1.87962E-3</v>
      </c>
      <c r="D20" s="1547">
        <v>2.4087380951899998E-2</v>
      </c>
      <c r="E20" s="1547">
        <v>0</v>
      </c>
      <c r="F20" s="1547">
        <v>1</v>
      </c>
      <c r="K20" s="1663">
        <v>42077</v>
      </c>
      <c r="L20" s="1664"/>
      <c r="M20" s="1665">
        <v>0</v>
      </c>
      <c r="N20" s="1666">
        <v>1.0046847666363665</v>
      </c>
      <c r="O20" s="1666">
        <v>1.0046847666363665</v>
      </c>
    </row>
    <row r="21" spans="2:15">
      <c r="B21" s="1546">
        <v>33055</v>
      </c>
      <c r="C21" s="1547">
        <v>2.10539E-3</v>
      </c>
      <c r="D21" s="1547">
        <v>2.7199470492E-2</v>
      </c>
      <c r="E21" s="1547">
        <v>0</v>
      </c>
      <c r="F21" s="1547">
        <v>1</v>
      </c>
      <c r="K21" s="1663">
        <v>42078</v>
      </c>
      <c r="L21" s="1664"/>
      <c r="M21" s="1665">
        <v>0</v>
      </c>
      <c r="N21" s="1666">
        <v>1.0046847666363665</v>
      </c>
      <c r="O21" s="1666">
        <v>1.0046847666363665</v>
      </c>
    </row>
    <row r="22" spans="2:15">
      <c r="B22" s="1546">
        <v>33086</v>
      </c>
      <c r="C22" s="1547">
        <v>2.39215E-3</v>
      </c>
      <c r="D22" s="1547">
        <v>3.0702762318699998E-2</v>
      </c>
      <c r="E22" s="1547">
        <v>0</v>
      </c>
      <c r="F22" s="1547">
        <v>1</v>
      </c>
      <c r="K22" s="1663">
        <v>42079</v>
      </c>
      <c r="L22" s="1664" t="s">
        <v>2293</v>
      </c>
      <c r="M22" s="1665">
        <v>4.7279000000000002E-2</v>
      </c>
      <c r="N22" s="1666">
        <v>1.0051597715471845</v>
      </c>
      <c r="O22" s="1666">
        <v>1.0051597715471845</v>
      </c>
    </row>
    <row r="23" spans="2:15">
      <c r="B23" s="1546">
        <v>33117</v>
      </c>
      <c r="C23" s="1547">
        <v>2.6984000000000001E-3</v>
      </c>
      <c r="D23" s="1547">
        <v>3.51270304097E-2</v>
      </c>
      <c r="E23" s="1547">
        <v>0</v>
      </c>
      <c r="F23" s="1547">
        <v>1</v>
      </c>
      <c r="K23" s="1663">
        <v>42080</v>
      </c>
      <c r="L23" s="1664" t="s">
        <v>2293</v>
      </c>
      <c r="M23" s="1665">
        <v>4.7279000000000002E-2</v>
      </c>
      <c r="N23" s="1666">
        <v>1.0056350010355741</v>
      </c>
      <c r="O23" s="1666">
        <v>1.0056350010355741</v>
      </c>
    </row>
    <row r="24" spans="2:15">
      <c r="B24" s="1546">
        <v>33147</v>
      </c>
      <c r="C24" s="1547">
        <v>3.0483699999999999E-3</v>
      </c>
      <c r="D24" s="1547">
        <v>4.0171272055300002E-2</v>
      </c>
      <c r="E24" s="1547">
        <v>0</v>
      </c>
      <c r="F24" s="1547">
        <v>1</v>
      </c>
      <c r="K24" s="1663">
        <v>42081</v>
      </c>
      <c r="L24" s="1664" t="s">
        <v>2293</v>
      </c>
      <c r="M24" s="1665">
        <v>4.7279000000000002E-2</v>
      </c>
      <c r="N24" s="1666">
        <v>1.0061104552077136</v>
      </c>
      <c r="O24" s="1666">
        <v>1.0061104552077136</v>
      </c>
    </row>
    <row r="25" spans="2:15">
      <c r="B25" s="1546">
        <v>33178</v>
      </c>
      <c r="C25" s="1547">
        <v>3.5622900000000001E-3</v>
      </c>
      <c r="D25" s="1547">
        <v>4.6924062784199999E-2</v>
      </c>
      <c r="E25" s="1547">
        <v>0</v>
      </c>
      <c r="F25" s="1547">
        <v>1</v>
      </c>
      <c r="K25" s="1663">
        <v>42082</v>
      </c>
      <c r="L25" s="1664" t="s">
        <v>2293</v>
      </c>
      <c r="M25" s="1665">
        <v>4.7279000000000002E-2</v>
      </c>
      <c r="N25" s="1666">
        <v>1.0065861341698312</v>
      </c>
      <c r="O25" s="1666">
        <v>1.0065861341698312</v>
      </c>
    </row>
    <row r="26" spans="2:15">
      <c r="B26" s="1546">
        <v>33208</v>
      </c>
      <c r="C26" s="1547">
        <v>4.2034799999999999E-3</v>
      </c>
      <c r="D26" s="1547">
        <v>5.5576860018600002E-2</v>
      </c>
      <c r="E26" s="1547">
        <v>0</v>
      </c>
      <c r="F26" s="1547">
        <v>1</v>
      </c>
      <c r="K26" s="1663">
        <v>42083</v>
      </c>
      <c r="L26" s="1664" t="s">
        <v>2293</v>
      </c>
      <c r="M26" s="1665">
        <v>4.7279000000000002E-2</v>
      </c>
      <c r="N26" s="1666">
        <v>1.0070620380282054</v>
      </c>
      <c r="O26" s="1666">
        <v>1.0070620380282054</v>
      </c>
    </row>
    <row r="27" spans="2:15">
      <c r="B27" s="1546">
        <v>33239</v>
      </c>
      <c r="C27" s="1547">
        <v>4.9475200000000004E-3</v>
      </c>
      <c r="D27" s="1547">
        <v>6.7109058472399993E-2</v>
      </c>
      <c r="E27" s="1547">
        <v>0</v>
      </c>
      <c r="F27" s="1547">
        <v>1</v>
      </c>
      <c r="K27" s="1663">
        <v>42084</v>
      </c>
      <c r="L27" s="1664"/>
      <c r="M27" s="1665">
        <v>0</v>
      </c>
      <c r="N27" s="1666">
        <v>1.0070620380282054</v>
      </c>
      <c r="O27" s="1666">
        <v>1.0070620380282054</v>
      </c>
    </row>
    <row r="28" spans="2:15">
      <c r="B28" s="1546">
        <v>33270</v>
      </c>
      <c r="C28" s="1547">
        <v>5.9873900000000004E-3</v>
      </c>
      <c r="D28" s="1547">
        <v>8.1014388849100005E-2</v>
      </c>
      <c r="E28" s="1547">
        <v>0</v>
      </c>
      <c r="F28" s="1547">
        <v>1</v>
      </c>
      <c r="K28" s="1663">
        <v>42085</v>
      </c>
      <c r="L28" s="1664"/>
      <c r="M28" s="1665">
        <v>0</v>
      </c>
      <c r="N28" s="1666">
        <v>1.0070620380282054</v>
      </c>
      <c r="O28" s="1666">
        <v>1.0070620380282054</v>
      </c>
    </row>
    <row r="29" spans="2:15">
      <c r="B29" s="1546">
        <v>33298</v>
      </c>
      <c r="C29" s="1547">
        <v>6.5374099999999996E-3</v>
      </c>
      <c r="D29" s="1547">
        <v>9.0673647120300002E-2</v>
      </c>
      <c r="E29" s="1547">
        <v>0</v>
      </c>
      <c r="F29" s="1547">
        <v>1</v>
      </c>
      <c r="K29" s="1663">
        <v>42086</v>
      </c>
      <c r="L29" s="1664" t="s">
        <v>2293</v>
      </c>
      <c r="M29" s="1665">
        <v>4.7279000000000002E-2</v>
      </c>
      <c r="N29" s="1666">
        <v>1.0075381668891645</v>
      </c>
      <c r="O29" s="1666">
        <v>1.0075381668891645</v>
      </c>
    </row>
    <row r="30" spans="2:15">
      <c r="B30" s="1546">
        <v>33329</v>
      </c>
      <c r="C30" s="1547">
        <v>7.0477600000000001E-3</v>
      </c>
      <c r="D30" s="1547">
        <v>9.5197603525800006E-2</v>
      </c>
      <c r="E30" s="1547">
        <v>0</v>
      </c>
      <c r="F30" s="1547">
        <v>1</v>
      </c>
      <c r="K30" s="1663">
        <v>42087</v>
      </c>
      <c r="L30" s="1664" t="s">
        <v>2293</v>
      </c>
      <c r="M30" s="1665">
        <v>4.7279000000000002E-2</v>
      </c>
      <c r="N30" s="1666">
        <v>1.008014520859088</v>
      </c>
      <c r="O30" s="1666">
        <v>1.008014520859088</v>
      </c>
    </row>
    <row r="31" spans="2:15">
      <c r="B31" s="1546">
        <v>33359</v>
      </c>
      <c r="C31" s="1547">
        <v>7.57502E-3</v>
      </c>
      <c r="D31" s="1547">
        <v>0.10227253780620001</v>
      </c>
      <c r="E31" s="1547">
        <v>0</v>
      </c>
      <c r="F31" s="1547">
        <v>1</v>
      </c>
      <c r="K31" s="1663">
        <v>42088</v>
      </c>
      <c r="L31" s="1664" t="s">
        <v>2293</v>
      </c>
      <c r="M31" s="1665">
        <v>4.7279000000000002E-2</v>
      </c>
      <c r="N31" s="1666">
        <v>1.008491100044405</v>
      </c>
      <c r="O31" s="1666">
        <v>1.008491100044405</v>
      </c>
    </row>
    <row r="32" spans="2:15">
      <c r="B32" s="1546">
        <v>33390</v>
      </c>
      <c r="C32" s="1547">
        <v>8.2174099999999996E-3</v>
      </c>
      <c r="D32" s="1547">
        <v>0.113715813284</v>
      </c>
      <c r="E32" s="1547">
        <v>0</v>
      </c>
      <c r="F32" s="1547">
        <v>1</v>
      </c>
      <c r="K32" s="1663">
        <v>42089</v>
      </c>
      <c r="L32" s="1664" t="s">
        <v>2293</v>
      </c>
      <c r="M32" s="1665">
        <v>4.7279000000000002E-2</v>
      </c>
      <c r="N32" s="1666">
        <v>1.0089679045515949</v>
      </c>
      <c r="O32" s="1666">
        <v>1.0089679045515949</v>
      </c>
    </row>
    <row r="33" spans="2:15">
      <c r="B33" s="1546">
        <v>33420</v>
      </c>
      <c r="C33" s="1547">
        <v>9.3037399999999996E-3</v>
      </c>
      <c r="D33" s="1547">
        <v>0.12782677804270001</v>
      </c>
      <c r="E33" s="1547">
        <v>0</v>
      </c>
      <c r="F33" s="1547">
        <v>1</v>
      </c>
      <c r="K33" s="1663">
        <v>42090</v>
      </c>
      <c r="L33" s="1664" t="s">
        <v>2293</v>
      </c>
      <c r="M33" s="1665">
        <v>4.7279000000000002E-2</v>
      </c>
      <c r="N33" s="1666">
        <v>1.0094449344871876</v>
      </c>
      <c r="O33" s="1666">
        <v>1.0094449344871876</v>
      </c>
    </row>
    <row r="34" spans="2:15">
      <c r="B34" s="1546">
        <v>33451</v>
      </c>
      <c r="C34" s="1547">
        <v>1.072268E-2</v>
      </c>
      <c r="D34" s="1547">
        <v>0.14780665921940001</v>
      </c>
      <c r="E34" s="1548">
        <v>0</v>
      </c>
      <c r="F34" s="1548">
        <v>1</v>
      </c>
      <c r="K34" s="1663">
        <v>42091</v>
      </c>
      <c r="L34" s="1664"/>
      <c r="M34" s="1665">
        <v>0</v>
      </c>
      <c r="N34" s="1666">
        <v>1.0094449344871876</v>
      </c>
      <c r="O34" s="1666">
        <v>1.0094449344871876</v>
      </c>
    </row>
    <row r="35" spans="2:15">
      <c r="B35" s="1546">
        <v>33482</v>
      </c>
      <c r="C35" s="1547">
        <v>1.232337E-2</v>
      </c>
      <c r="D35" s="1547">
        <v>0.17090995992909999</v>
      </c>
      <c r="E35" s="1548">
        <v>0</v>
      </c>
      <c r="F35" s="1548">
        <v>1</v>
      </c>
      <c r="K35" s="1663">
        <v>42092</v>
      </c>
      <c r="L35" s="1664"/>
      <c r="M35" s="1665">
        <v>0</v>
      </c>
      <c r="N35" s="1666">
        <v>1.0094449344871876</v>
      </c>
      <c r="O35" s="1666">
        <v>1.0094449344871876</v>
      </c>
    </row>
    <row r="36" spans="2:15">
      <c r="B36" s="1546">
        <v>33512</v>
      </c>
      <c r="C36" s="1547">
        <v>1.5112230000000001E-2</v>
      </c>
      <c r="D36" s="1547">
        <v>0.20548432454660001</v>
      </c>
      <c r="E36" s="1548">
        <v>0</v>
      </c>
      <c r="F36" s="1548">
        <v>1</v>
      </c>
      <c r="K36" s="1663">
        <v>42093</v>
      </c>
      <c r="L36" s="1664" t="s">
        <v>2293</v>
      </c>
      <c r="M36" s="1665">
        <v>4.7279000000000002E-2</v>
      </c>
      <c r="N36" s="1666">
        <v>1.0099221899577637</v>
      </c>
      <c r="O36" s="1666">
        <v>1.0099221899577637</v>
      </c>
    </row>
    <row r="37" spans="2:15">
      <c r="B37" s="1546">
        <v>33543</v>
      </c>
      <c r="C37" s="1547">
        <v>1.8984250000000001E-2</v>
      </c>
      <c r="D37" s="1547">
        <v>0.2572875157699</v>
      </c>
      <c r="E37" s="1548">
        <v>0</v>
      </c>
      <c r="F37" s="1548">
        <v>1</v>
      </c>
      <c r="K37" s="1663">
        <v>42094</v>
      </c>
      <c r="L37" s="1664" t="s">
        <v>2293</v>
      </c>
      <c r="M37" s="1665">
        <v>4.7279000000000002E-2</v>
      </c>
      <c r="N37" s="1666">
        <v>1.0103996710699537</v>
      </c>
      <c r="O37" s="1666">
        <v>1.0103996710699537</v>
      </c>
    </row>
    <row r="38" spans="2:15">
      <c r="B38" s="1546">
        <v>33573</v>
      </c>
      <c r="C38" s="1547">
        <v>2.347107E-2</v>
      </c>
      <c r="D38" s="1547">
        <v>0.31828867732630001</v>
      </c>
      <c r="E38" s="1548">
        <v>0</v>
      </c>
      <c r="F38" s="1548">
        <v>1</v>
      </c>
      <c r="K38" s="1663">
        <v>42095</v>
      </c>
      <c r="L38" s="1664" t="s">
        <v>2293</v>
      </c>
      <c r="M38" s="1665">
        <v>4.7279000000000002E-2</v>
      </c>
      <c r="N38" s="1666">
        <v>1.0108773779304387</v>
      </c>
      <c r="O38" s="1666">
        <v>1.0108773779304387</v>
      </c>
    </row>
    <row r="39" spans="2:15">
      <c r="B39" s="1546">
        <v>33604</v>
      </c>
      <c r="C39" s="1547">
        <v>2.9000140000000001E-2</v>
      </c>
      <c r="D39" s="1547">
        <v>0.40085366056990002</v>
      </c>
      <c r="E39" s="1548">
        <v>0</v>
      </c>
      <c r="F39" s="1548">
        <v>1</v>
      </c>
      <c r="K39" s="1663">
        <v>42096</v>
      </c>
      <c r="L39" s="1664" t="s">
        <v>2293</v>
      </c>
      <c r="M39" s="1665">
        <v>4.7279000000000002E-2</v>
      </c>
      <c r="N39" s="1666">
        <v>1.0113553106459503</v>
      </c>
      <c r="O39" s="1666">
        <v>1.0113553106459503</v>
      </c>
    </row>
    <row r="40" spans="2:15">
      <c r="B40" s="1546">
        <v>33635</v>
      </c>
      <c r="C40" s="1547">
        <v>3.7078809999999997E-2</v>
      </c>
      <c r="D40" s="1547">
        <v>0.49834103072840003</v>
      </c>
      <c r="E40" s="1548">
        <v>0</v>
      </c>
      <c r="F40" s="1548">
        <v>1</v>
      </c>
      <c r="K40" s="1663">
        <v>42097</v>
      </c>
      <c r="L40" s="1664"/>
      <c r="M40" s="1665">
        <v>0</v>
      </c>
      <c r="N40" s="1666">
        <v>1.0113553106459503</v>
      </c>
      <c r="O40" s="1666">
        <v>1.0113553106459503</v>
      </c>
    </row>
    <row r="41" spans="2:15">
      <c r="B41" s="1546">
        <v>33664</v>
      </c>
      <c r="C41" s="1547">
        <v>4.501144E-2</v>
      </c>
      <c r="D41" s="1547">
        <v>0.60498746741809994</v>
      </c>
      <c r="E41" s="1548">
        <v>0</v>
      </c>
      <c r="F41" s="1548">
        <v>1</v>
      </c>
      <c r="K41" s="1663">
        <v>42098</v>
      </c>
      <c r="L41" s="1664"/>
      <c r="M41" s="1665">
        <v>0</v>
      </c>
      <c r="N41" s="1666">
        <v>1.0113553106459503</v>
      </c>
      <c r="O41" s="1666">
        <v>1.0113553106459503</v>
      </c>
    </row>
    <row r="42" spans="2:15">
      <c r="B42" s="1546">
        <v>33695</v>
      </c>
      <c r="C42" s="1547">
        <v>5.3986060000000002E-2</v>
      </c>
      <c r="D42" s="1547">
        <v>0.72556146522830001</v>
      </c>
      <c r="E42" s="1548">
        <v>0</v>
      </c>
      <c r="F42" s="1548">
        <v>1</v>
      </c>
      <c r="K42" s="1663">
        <v>42099</v>
      </c>
      <c r="L42" s="1664"/>
      <c r="M42" s="1665">
        <v>0</v>
      </c>
      <c r="N42" s="1666">
        <v>1.0113553106459503</v>
      </c>
      <c r="O42" s="1666">
        <v>1.0113553106459503</v>
      </c>
    </row>
    <row r="43" spans="2:15">
      <c r="B43" s="1546">
        <v>33725</v>
      </c>
      <c r="C43" s="1547">
        <v>6.5012799999999996E-2</v>
      </c>
      <c r="D43" s="1547">
        <v>0.90593616441860003</v>
      </c>
      <c r="E43" s="1548">
        <v>0</v>
      </c>
      <c r="F43" s="1548">
        <v>1</v>
      </c>
      <c r="K43" s="1663">
        <v>42100</v>
      </c>
      <c r="L43" s="1664" t="s">
        <v>2293</v>
      </c>
      <c r="M43" s="1665">
        <v>4.7279000000000002E-2</v>
      </c>
      <c r="N43" s="1666">
        <v>1.0118334693232705</v>
      </c>
      <c r="O43" s="1666">
        <v>1.0118334693232705</v>
      </c>
    </row>
    <row r="44" spans="2:15">
      <c r="B44" s="1546">
        <v>33756</v>
      </c>
      <c r="C44" s="1547">
        <v>8.0361459999999996E-2</v>
      </c>
      <c r="D44" s="1547">
        <v>1.0890285720637001</v>
      </c>
      <c r="E44" s="1548">
        <v>0</v>
      </c>
      <c r="F44" s="1548">
        <v>1</v>
      </c>
      <c r="K44" s="1663">
        <v>42101</v>
      </c>
      <c r="L44" s="1664" t="s">
        <v>2293</v>
      </c>
      <c r="M44" s="1665">
        <v>4.7279000000000002E-2</v>
      </c>
      <c r="N44" s="1666">
        <v>1.0123118540692317</v>
      </c>
      <c r="O44" s="1666">
        <v>1.0123118540692317</v>
      </c>
    </row>
    <row r="45" spans="2:15">
      <c r="B45" s="1546">
        <v>33786</v>
      </c>
      <c r="C45" s="1547">
        <v>9.7908469999999997E-2</v>
      </c>
      <c r="D45" s="1547">
        <v>1.3267641484791</v>
      </c>
      <c r="E45" s="1548">
        <v>0</v>
      </c>
      <c r="F45" s="1548">
        <v>1</v>
      </c>
      <c r="K45" s="1663">
        <v>42102</v>
      </c>
      <c r="L45" s="1664" t="s">
        <v>2293</v>
      </c>
      <c r="M45" s="1665">
        <v>4.7279000000000002E-2</v>
      </c>
      <c r="N45" s="1666">
        <v>1.0127904649907171</v>
      </c>
      <c r="O45" s="1666">
        <v>1.0127904649907171</v>
      </c>
    </row>
    <row r="46" spans="2:15">
      <c r="B46" s="1546">
        <v>33817</v>
      </c>
      <c r="C46" s="1547">
        <v>0.12202180999999999</v>
      </c>
      <c r="D46" s="1547">
        <v>1.6205100844213001</v>
      </c>
      <c r="E46" s="1548">
        <v>0</v>
      </c>
      <c r="F46" s="1548">
        <v>1</v>
      </c>
      <c r="K46" s="1663">
        <v>42103</v>
      </c>
      <c r="L46" s="1664" t="s">
        <v>2293</v>
      </c>
      <c r="M46" s="1665">
        <v>4.7279000000000002E-2</v>
      </c>
      <c r="N46" s="1666">
        <v>1.0132693021946599</v>
      </c>
      <c r="O46" s="1666">
        <v>1.0132693021946599</v>
      </c>
    </row>
    <row r="47" spans="2:15">
      <c r="B47" s="1546">
        <v>33848</v>
      </c>
      <c r="C47" s="1547">
        <v>0.15285811999999999</v>
      </c>
      <c r="D47" s="1547">
        <v>2.0196408623306001</v>
      </c>
      <c r="E47" s="1548">
        <v>0</v>
      </c>
      <c r="F47" s="1548">
        <v>1</v>
      </c>
      <c r="K47" s="1663">
        <v>42104</v>
      </c>
      <c r="L47" s="1664" t="s">
        <v>2293</v>
      </c>
      <c r="M47" s="1665">
        <v>4.7279000000000002E-2</v>
      </c>
      <c r="N47" s="1666">
        <v>1.0137483657880444</v>
      </c>
      <c r="O47" s="1666">
        <v>1.0137483657880444</v>
      </c>
    </row>
    <row r="48" spans="2:15">
      <c r="B48" s="1546">
        <v>33878</v>
      </c>
      <c r="C48" s="1547">
        <v>0.19376498</v>
      </c>
      <c r="D48" s="1547">
        <v>2.5293973801068002</v>
      </c>
      <c r="E48" s="1548">
        <v>0</v>
      </c>
      <c r="F48" s="1548">
        <v>1</v>
      </c>
      <c r="K48" s="1663">
        <v>42105</v>
      </c>
      <c r="L48" s="1664"/>
      <c r="M48" s="1665">
        <v>0</v>
      </c>
      <c r="N48" s="1666">
        <v>1.0137483657880444</v>
      </c>
      <c r="O48" s="1666">
        <v>1.0137483657880444</v>
      </c>
    </row>
    <row r="49" spans="2:15">
      <c r="B49" s="1546">
        <v>33909</v>
      </c>
      <c r="C49" s="1547">
        <v>0.23916162999999999</v>
      </c>
      <c r="D49" s="1547">
        <v>3.0982598885127999</v>
      </c>
      <c r="E49" s="1548">
        <v>0</v>
      </c>
      <c r="F49" s="1548">
        <v>1</v>
      </c>
      <c r="K49" s="1663">
        <v>42106</v>
      </c>
      <c r="L49" s="1664"/>
      <c r="M49" s="1665">
        <v>0</v>
      </c>
      <c r="N49" s="1666">
        <v>1.0137483657880444</v>
      </c>
      <c r="O49" s="1666">
        <v>1.0137483657880444</v>
      </c>
    </row>
    <row r="50" spans="2:15">
      <c r="B50" s="1546">
        <v>33939</v>
      </c>
      <c r="C50" s="1547">
        <v>0.29913278999999998</v>
      </c>
      <c r="D50" s="1547">
        <v>3.8802596550900001</v>
      </c>
      <c r="E50" s="1548">
        <v>0</v>
      </c>
      <c r="F50" s="1548">
        <v>1</v>
      </c>
      <c r="K50" s="1663">
        <v>42107</v>
      </c>
      <c r="L50" s="1664" t="s">
        <v>2293</v>
      </c>
      <c r="M50" s="1665">
        <v>4.7279000000000002E-2</v>
      </c>
      <c r="N50" s="1666">
        <v>1.0142276558779053</v>
      </c>
      <c r="O50" s="1666">
        <v>1.0142276558779053</v>
      </c>
    </row>
    <row r="51" spans="2:15">
      <c r="B51" s="1546">
        <v>33970</v>
      </c>
      <c r="C51" s="1547">
        <v>0.37638683000000001</v>
      </c>
      <c r="D51" s="1547">
        <v>5.0579166458253004</v>
      </c>
      <c r="E51" s="1548">
        <v>0</v>
      </c>
      <c r="F51" s="1548">
        <v>1</v>
      </c>
      <c r="K51" s="1663">
        <v>42108</v>
      </c>
      <c r="L51" s="1664" t="s">
        <v>2293</v>
      </c>
      <c r="M51" s="1665">
        <v>4.7279000000000002E-2</v>
      </c>
      <c r="N51" s="1666">
        <v>1.0147071725713277</v>
      </c>
      <c r="O51" s="1666">
        <v>1.0147071725713277</v>
      </c>
    </row>
    <row r="52" spans="2:15">
      <c r="B52" s="1546">
        <v>34001</v>
      </c>
      <c r="C52" s="1547">
        <v>0.48335073000000001</v>
      </c>
      <c r="D52" s="1547">
        <v>6.3213843084293</v>
      </c>
      <c r="E52" s="1548">
        <v>0</v>
      </c>
      <c r="F52" s="1548">
        <v>1</v>
      </c>
      <c r="K52" s="1663">
        <v>42109</v>
      </c>
      <c r="L52" s="1664" t="s">
        <v>2293</v>
      </c>
      <c r="M52" s="1665">
        <v>4.7279000000000002E-2</v>
      </c>
      <c r="N52" s="1666">
        <v>1.0151869159754476</v>
      </c>
      <c r="O52" s="1666">
        <v>1.0151869159754476</v>
      </c>
    </row>
    <row r="53" spans="2:15">
      <c r="B53" s="1546">
        <v>34029</v>
      </c>
      <c r="C53" s="1547">
        <v>0.61023090000000002</v>
      </c>
      <c r="D53" s="1547">
        <v>8.0445948724788998</v>
      </c>
      <c r="E53" s="1548">
        <v>0</v>
      </c>
      <c r="F53" s="1548">
        <v>1</v>
      </c>
      <c r="K53" s="1663">
        <v>42110</v>
      </c>
      <c r="L53" s="1664" t="s">
        <v>2293</v>
      </c>
      <c r="M53" s="1665">
        <v>4.7279000000000002E-2</v>
      </c>
      <c r="N53" s="1666">
        <v>1.0156668861974516</v>
      </c>
      <c r="O53" s="1666">
        <v>1.0156668861974516</v>
      </c>
    </row>
    <row r="54" spans="2:15">
      <c r="B54" s="1546">
        <v>34060</v>
      </c>
      <c r="C54" s="1547">
        <v>0.78617482000000005</v>
      </c>
      <c r="D54" s="1547">
        <v>10.2769672819025</v>
      </c>
      <c r="E54" s="1548">
        <v>0</v>
      </c>
      <c r="F54" s="1548">
        <v>1</v>
      </c>
      <c r="K54" s="1663">
        <v>42111</v>
      </c>
      <c r="L54" s="1664" t="s">
        <v>2293</v>
      </c>
      <c r="M54" s="1665">
        <v>4.7279000000000002E-2</v>
      </c>
      <c r="N54" s="1666">
        <v>1.0161470833445767</v>
      </c>
      <c r="O54" s="1666">
        <v>1.0161470833445767</v>
      </c>
    </row>
    <row r="55" spans="2:15">
      <c r="B55" s="1546">
        <v>34090</v>
      </c>
      <c r="C55" s="1547">
        <v>1.01968087</v>
      </c>
      <c r="D55" s="1547">
        <v>13.1226581300609</v>
      </c>
      <c r="E55" s="1548">
        <v>0</v>
      </c>
      <c r="F55" s="1548">
        <v>1</v>
      </c>
      <c r="K55" s="1663">
        <v>42112</v>
      </c>
      <c r="L55" s="1664"/>
      <c r="M55" s="1665">
        <v>0</v>
      </c>
      <c r="N55" s="1666">
        <v>1.0161470833445767</v>
      </c>
      <c r="O55" s="1666">
        <v>1.0161470833445767</v>
      </c>
    </row>
    <row r="56" spans="2:15">
      <c r="B56" s="1546">
        <v>34121</v>
      </c>
      <c r="C56" s="1547">
        <v>1.3408208699999999</v>
      </c>
      <c r="D56" s="1547">
        <v>17.068642979808899</v>
      </c>
      <c r="E56" s="1548">
        <v>0</v>
      </c>
      <c r="F56" s="1548">
        <v>1</v>
      </c>
      <c r="K56" s="1663">
        <v>42113</v>
      </c>
      <c r="L56" s="1664"/>
      <c r="M56" s="1665">
        <v>0</v>
      </c>
      <c r="N56" s="1666">
        <v>1.0161470833445767</v>
      </c>
      <c r="O56" s="1666">
        <v>1.0161470833445767</v>
      </c>
    </row>
    <row r="57" spans="2:15">
      <c r="B57" s="1546">
        <v>34151</v>
      </c>
      <c r="C57" s="1547">
        <v>1.75984608</v>
      </c>
      <c r="D57" s="1547">
        <v>22.312130761236201</v>
      </c>
      <c r="E57" s="1548">
        <v>0</v>
      </c>
      <c r="F57" s="1548">
        <v>1</v>
      </c>
      <c r="K57" s="1663">
        <v>42114</v>
      </c>
      <c r="L57" s="1664" t="s">
        <v>2293</v>
      </c>
      <c r="M57" s="1665">
        <v>4.7279000000000002E-2</v>
      </c>
      <c r="N57" s="1666">
        <v>1.0166275075241111</v>
      </c>
      <c r="O57" s="1666">
        <v>1.0166275075241111</v>
      </c>
    </row>
    <row r="58" spans="2:15">
      <c r="B58" s="1546">
        <v>34182</v>
      </c>
      <c r="C58" s="1547">
        <v>2.31923637</v>
      </c>
      <c r="D58" s="1547">
        <v>29.666210936414501</v>
      </c>
      <c r="E58" s="1548">
        <v>0</v>
      </c>
      <c r="F58" s="1548">
        <v>1</v>
      </c>
      <c r="K58" s="1663">
        <v>42115</v>
      </c>
      <c r="L58" s="1664"/>
      <c r="M58" s="1665">
        <v>0</v>
      </c>
      <c r="N58" s="1666">
        <v>1.0166275075241111</v>
      </c>
      <c r="O58" s="1666">
        <v>1.0166275075241111</v>
      </c>
    </row>
    <row r="59" spans="2:15">
      <c r="B59" s="1546">
        <v>34213</v>
      </c>
      <c r="C59" s="1547">
        <v>3.1375231000000001</v>
      </c>
      <c r="D59" s="1547">
        <v>40.254080730946797</v>
      </c>
      <c r="E59" s="1548">
        <v>0</v>
      </c>
      <c r="F59" s="1548">
        <v>1</v>
      </c>
      <c r="K59" s="1663">
        <v>42116</v>
      </c>
      <c r="L59" s="1664" t="s">
        <v>2293</v>
      </c>
      <c r="M59" s="1665">
        <v>4.7279000000000002E-2</v>
      </c>
      <c r="N59" s="1666">
        <v>1.0171081588433935</v>
      </c>
      <c r="O59" s="1666">
        <v>1.0171081588433935</v>
      </c>
    </row>
    <row r="60" spans="2:15">
      <c r="B60" s="1546">
        <v>34243</v>
      </c>
      <c r="C60" s="1547">
        <v>4.2367972299999996</v>
      </c>
      <c r="D60" s="1547">
        <v>53.908264834853298</v>
      </c>
      <c r="E60" s="1548">
        <v>0</v>
      </c>
      <c r="F60" s="1548">
        <v>1</v>
      </c>
      <c r="K60" s="1663">
        <v>42117</v>
      </c>
      <c r="L60" s="1664" t="s">
        <v>2293</v>
      </c>
      <c r="M60" s="1665">
        <v>4.7279000000000002E-2</v>
      </c>
      <c r="N60" s="1666">
        <v>1.0175890374098129</v>
      </c>
      <c r="O60" s="1666">
        <v>1.0175890374098129</v>
      </c>
    </row>
    <row r="61" spans="2:15">
      <c r="B61" s="1546">
        <v>34274</v>
      </c>
      <c r="C61" s="1547">
        <v>5.7685216500000003</v>
      </c>
      <c r="D61" s="1547">
        <v>73.078046584524003</v>
      </c>
      <c r="E61" s="1548">
        <v>0</v>
      </c>
      <c r="F61" s="1548">
        <v>1</v>
      </c>
      <c r="K61" s="1663">
        <v>42118</v>
      </c>
      <c r="L61" s="1664" t="s">
        <v>2293</v>
      </c>
      <c r="M61" s="1665">
        <v>4.7279000000000002E-2</v>
      </c>
      <c r="N61" s="1666">
        <v>1.0180701433308097</v>
      </c>
      <c r="O61" s="1666">
        <v>1.0180701433308097</v>
      </c>
    </row>
    <row r="62" spans="2:15">
      <c r="B62" s="1546">
        <v>34304</v>
      </c>
      <c r="C62" s="1547">
        <v>7.9792505900000004</v>
      </c>
      <c r="D62" s="1547">
        <v>100</v>
      </c>
      <c r="E62" s="1548">
        <v>0</v>
      </c>
      <c r="F62" s="1548">
        <v>1</v>
      </c>
      <c r="K62" s="1663">
        <v>42119</v>
      </c>
      <c r="L62" s="1664"/>
      <c r="M62" s="1665">
        <v>0</v>
      </c>
      <c r="N62" s="1666">
        <v>1.0180701433308097</v>
      </c>
      <c r="O62" s="1666">
        <v>1.0180701433308097</v>
      </c>
    </row>
    <row r="63" spans="2:15">
      <c r="B63" s="1546">
        <v>34335</v>
      </c>
      <c r="C63" s="1547">
        <v>11.0967647</v>
      </c>
      <c r="D63" s="1547">
        <v>141.31</v>
      </c>
      <c r="E63" s="1548">
        <v>0</v>
      </c>
      <c r="F63" s="1548">
        <v>1</v>
      </c>
      <c r="K63" s="1663">
        <v>42120</v>
      </c>
      <c r="L63" s="1664"/>
      <c r="M63" s="1665">
        <v>0</v>
      </c>
      <c r="N63" s="1666">
        <v>1.0180701433308097</v>
      </c>
      <c r="O63" s="1666">
        <v>1.0180701433308097</v>
      </c>
    </row>
    <row r="64" spans="2:15">
      <c r="B64" s="1546">
        <v>34366</v>
      </c>
      <c r="C64" s="1547">
        <v>15.62186911</v>
      </c>
      <c r="D64" s="1547">
        <v>198.22</v>
      </c>
      <c r="E64" s="1548">
        <v>0</v>
      </c>
      <c r="F64" s="1548">
        <v>1</v>
      </c>
      <c r="K64" s="1663">
        <v>42121</v>
      </c>
      <c r="L64" s="1664" t="s">
        <v>2293</v>
      </c>
      <c r="M64" s="1665">
        <v>4.7314000000000002E-2</v>
      </c>
      <c r="N64" s="1666">
        <v>1.0185518330384251</v>
      </c>
      <c r="O64" s="1666">
        <v>1.0185518330384251</v>
      </c>
    </row>
    <row r="65" spans="2:15">
      <c r="B65" s="1546">
        <v>34394</v>
      </c>
      <c r="C65" s="1547">
        <v>22.762782099999999</v>
      </c>
      <c r="D65" s="1547">
        <v>282.95999999999998</v>
      </c>
      <c r="E65" s="1548">
        <v>0</v>
      </c>
      <c r="F65" s="1548">
        <v>1</v>
      </c>
      <c r="K65" s="1663">
        <v>42122</v>
      </c>
      <c r="L65" s="1664" t="s">
        <v>2293</v>
      </c>
      <c r="M65" s="1665">
        <v>4.7350000000000003E-2</v>
      </c>
      <c r="N65" s="1666">
        <v>1.0190341173313688</v>
      </c>
      <c r="O65" s="1666">
        <v>1.0190341173313688</v>
      </c>
    </row>
    <row r="66" spans="2:15">
      <c r="B66" s="1546">
        <v>34425</v>
      </c>
      <c r="C66" s="1547">
        <v>32.074938510000003</v>
      </c>
      <c r="D66" s="1547">
        <v>403.73</v>
      </c>
      <c r="E66" s="1548">
        <v>0</v>
      </c>
      <c r="F66" s="1548">
        <v>1</v>
      </c>
      <c r="K66" s="1663">
        <v>42123</v>
      </c>
      <c r="L66" s="1664" t="s">
        <v>2293</v>
      </c>
      <c r="M66" s="1665">
        <v>4.7350000000000003E-2</v>
      </c>
      <c r="N66" s="1666">
        <v>1.0195166299859253</v>
      </c>
      <c r="O66" s="1666">
        <v>1.0195166299859253</v>
      </c>
    </row>
    <row r="67" spans="2:15">
      <c r="B67" s="1546">
        <v>34455</v>
      </c>
      <c r="C67" s="1547">
        <v>45.731576959999998</v>
      </c>
      <c r="D67" s="1547">
        <v>581.49</v>
      </c>
      <c r="E67" s="1548">
        <v>0</v>
      </c>
      <c r="F67" s="1548">
        <v>1</v>
      </c>
      <c r="K67" s="1663">
        <v>42124</v>
      </c>
      <c r="L67" s="1664" t="s">
        <v>2293</v>
      </c>
      <c r="M67" s="1665">
        <v>4.9036999999999997E-2</v>
      </c>
      <c r="N67" s="1666">
        <v>1.0200165703557715</v>
      </c>
      <c r="O67" s="1666">
        <v>1.0200165703557715</v>
      </c>
    </row>
    <row r="68" spans="2:15">
      <c r="B68" s="1546">
        <v>34486</v>
      </c>
      <c r="C68" s="1547">
        <v>66.408212939999999</v>
      </c>
      <c r="D68" s="1547">
        <v>857.29</v>
      </c>
      <c r="E68" s="1548">
        <v>0</v>
      </c>
      <c r="F68" s="1548">
        <v>1</v>
      </c>
      <c r="K68" s="1663">
        <v>42125</v>
      </c>
      <c r="L68" s="1664"/>
      <c r="M68" s="1665">
        <v>0</v>
      </c>
      <c r="N68" s="1666">
        <v>1.0200165703557715</v>
      </c>
      <c r="O68" s="1666">
        <v>1.0200165703557715</v>
      </c>
    </row>
    <row r="69" spans="2:15">
      <c r="B69" s="1546">
        <v>34516</v>
      </c>
      <c r="C69" s="1547">
        <v>92.968426030000003</v>
      </c>
      <c r="D69" s="1547">
        <v>915.93</v>
      </c>
      <c r="E69" s="1548">
        <v>0</v>
      </c>
      <c r="F69" s="1548">
        <v>1</v>
      </c>
      <c r="K69" s="1663">
        <v>42126</v>
      </c>
      <c r="L69" s="1664"/>
      <c r="M69" s="1665">
        <v>0</v>
      </c>
      <c r="N69" s="1666">
        <v>1.0200165703557715</v>
      </c>
      <c r="O69" s="1666">
        <v>1.0200165703557715</v>
      </c>
    </row>
    <row r="70" spans="2:15">
      <c r="B70" s="1546">
        <v>34547</v>
      </c>
      <c r="C70" s="1547">
        <v>100</v>
      </c>
      <c r="D70" s="1547">
        <v>932.97</v>
      </c>
      <c r="E70" s="1548">
        <v>1.0417031360600404</v>
      </c>
      <c r="F70" s="1548">
        <v>1.0417031360600404</v>
      </c>
      <c r="K70" s="1663">
        <v>42127</v>
      </c>
      <c r="L70" s="1664"/>
      <c r="M70" s="1665">
        <v>0</v>
      </c>
      <c r="N70" s="1666">
        <v>1.0200165703557715</v>
      </c>
      <c r="O70" s="1666">
        <v>1.0200165703557715</v>
      </c>
    </row>
    <row r="71" spans="2:15">
      <c r="B71" s="1546">
        <v>34578</v>
      </c>
      <c r="C71" s="1547">
        <v>101.751</v>
      </c>
      <c r="D71" s="1547">
        <v>947.24</v>
      </c>
      <c r="E71" s="1548">
        <v>1.040191380612066</v>
      </c>
      <c r="F71" s="1548">
        <v>1.0835706232862121</v>
      </c>
      <c r="K71" s="1663">
        <v>42128</v>
      </c>
      <c r="L71" s="1664" t="s">
        <v>2293</v>
      </c>
      <c r="M71" s="1665">
        <v>4.9036999999999997E-2</v>
      </c>
      <c r="N71" s="1666">
        <v>1.020516755881377</v>
      </c>
      <c r="O71" s="1666">
        <v>1.020516755881377</v>
      </c>
    </row>
    <row r="72" spans="2:15">
      <c r="B72" s="1546">
        <v>34608</v>
      </c>
      <c r="C72" s="1547">
        <v>103.602</v>
      </c>
      <c r="D72" s="1547">
        <v>972.06</v>
      </c>
      <c r="E72" s="1548">
        <v>1.0400235119965635</v>
      </c>
      <c r="F72" s="1548">
        <v>1.1269389251264317</v>
      </c>
      <c r="K72" s="1663">
        <v>42129</v>
      </c>
      <c r="L72" s="1664" t="s">
        <v>2293</v>
      </c>
      <c r="M72" s="1665">
        <v>4.9036999999999997E-2</v>
      </c>
      <c r="N72" s="1666">
        <v>1.0210171866829587</v>
      </c>
      <c r="O72" s="1666">
        <v>1.0210171866829587</v>
      </c>
    </row>
    <row r="73" spans="2:15">
      <c r="B73" s="1546">
        <v>34639</v>
      </c>
      <c r="C73" s="1547">
        <v>106.553</v>
      </c>
      <c r="D73" s="1547">
        <v>999.37</v>
      </c>
      <c r="E73" s="1548">
        <v>1.0448704061969656</v>
      </c>
      <c r="F73" s="1548">
        <v>1.1775051324560264</v>
      </c>
      <c r="K73" s="1663">
        <v>42130</v>
      </c>
      <c r="L73" s="1664" t="s">
        <v>2293</v>
      </c>
      <c r="M73" s="1665">
        <v>4.9036999999999997E-2</v>
      </c>
      <c r="N73" s="1666">
        <v>1.0215178628807926</v>
      </c>
      <c r="O73" s="1666">
        <v>1.0215178628807926</v>
      </c>
    </row>
    <row r="74" spans="2:15">
      <c r="B74" s="1546">
        <v>34669</v>
      </c>
      <c r="C74" s="1547">
        <v>107.45</v>
      </c>
      <c r="D74" s="1547">
        <v>1016.46</v>
      </c>
      <c r="E74" s="1548">
        <v>1.0379749903132509</v>
      </c>
      <c r="F74" s="1548">
        <v>1.2222208784548472</v>
      </c>
      <c r="K74" s="1663">
        <v>42131</v>
      </c>
      <c r="L74" s="1664" t="s">
        <v>2293</v>
      </c>
      <c r="M74" s="1665">
        <v>4.9036999999999997E-2</v>
      </c>
      <c r="N74" s="1666">
        <v>1.0220187845952136</v>
      </c>
      <c r="O74" s="1666">
        <v>1.0220187845952136</v>
      </c>
    </row>
    <row r="75" spans="2:15">
      <c r="B75" s="1546">
        <v>34700</v>
      </c>
      <c r="C75" s="1547">
        <v>108.44199999999999</v>
      </c>
      <c r="D75" s="1547">
        <v>1033.74</v>
      </c>
      <c r="E75" s="1548">
        <v>1.033745155557255</v>
      </c>
      <c r="F75" s="1548">
        <v>1.2634649121236308</v>
      </c>
      <c r="K75" s="1663">
        <v>42132</v>
      </c>
      <c r="L75" s="1664" t="s">
        <v>2293</v>
      </c>
      <c r="M75" s="1665">
        <v>4.9036999999999997E-2</v>
      </c>
      <c r="N75" s="1666">
        <v>1.0225199519466155</v>
      </c>
      <c r="O75" s="1666">
        <v>1.0225199519466155</v>
      </c>
    </row>
    <row r="76" spans="2:15">
      <c r="B76" s="1546">
        <v>34731</v>
      </c>
      <c r="C76" s="1547">
        <v>109.9455</v>
      </c>
      <c r="D76" s="1547">
        <v>1044.28</v>
      </c>
      <c r="E76" s="1548">
        <v>1.0361946548110796</v>
      </c>
      <c r="F76" s="1548">
        <v>1.3091955884838566</v>
      </c>
      <c r="K76" s="1663">
        <v>42133</v>
      </c>
      <c r="L76" s="1664"/>
      <c r="M76" s="1665">
        <v>0</v>
      </c>
      <c r="N76" s="1666">
        <v>1.0225199519466155</v>
      </c>
      <c r="O76" s="1666">
        <v>1.0225199519466155</v>
      </c>
    </row>
    <row r="77" spans="2:15">
      <c r="B77" s="1546">
        <v>34759</v>
      </c>
      <c r="C77" s="1547">
        <v>111.178</v>
      </c>
      <c r="D77" s="1547">
        <v>1060.47</v>
      </c>
      <c r="E77" s="1548">
        <v>1.0426211014987152</v>
      </c>
      <c r="F77" s="1548">
        <v>1.3649949465422972</v>
      </c>
      <c r="K77" s="1663">
        <v>42134</v>
      </c>
      <c r="L77" s="1664"/>
      <c r="M77" s="1665">
        <v>0</v>
      </c>
      <c r="N77" s="1666">
        <v>1.0225199519466155</v>
      </c>
      <c r="O77" s="1666">
        <v>1.0225199519466155</v>
      </c>
    </row>
    <row r="78" spans="2:15">
      <c r="B78" s="1546">
        <v>34790</v>
      </c>
      <c r="C78" s="1547">
        <v>113.518</v>
      </c>
      <c r="D78" s="1547">
        <v>1086.24</v>
      </c>
      <c r="E78" s="1548">
        <v>1.0502446731743562</v>
      </c>
      <c r="F78" s="1548">
        <v>1.4335786715159629</v>
      </c>
      <c r="K78" s="1663">
        <v>42135</v>
      </c>
      <c r="L78" s="1664" t="s">
        <v>2293</v>
      </c>
      <c r="M78" s="1665">
        <v>4.9036999999999997E-2</v>
      </c>
      <c r="N78" s="1666">
        <v>1.0230213650554516</v>
      </c>
      <c r="O78" s="1666">
        <v>1.0230213650554516</v>
      </c>
    </row>
    <row r="79" spans="2:15">
      <c r="B79" s="1546">
        <v>34820</v>
      </c>
      <c r="C79" s="1547">
        <v>114.17100000000001</v>
      </c>
      <c r="D79" s="1547">
        <v>1115.24</v>
      </c>
      <c r="E79" s="1548">
        <v>1.0450356278102417</v>
      </c>
      <c r="F79" s="1548">
        <v>1.4981407870030565</v>
      </c>
      <c r="K79" s="1663">
        <v>42136</v>
      </c>
      <c r="L79" s="1664" t="s">
        <v>2293</v>
      </c>
      <c r="M79" s="1665">
        <v>4.9036999999999997E-2</v>
      </c>
      <c r="N79" s="1666">
        <v>1.0235230240422339</v>
      </c>
      <c r="O79" s="1666">
        <v>1.0235230240422339</v>
      </c>
    </row>
    <row r="80" spans="2:15">
      <c r="B80" s="1546">
        <v>34851</v>
      </c>
      <c r="C80" s="1547">
        <v>116.98399999999999</v>
      </c>
      <c r="D80" s="1547">
        <v>1140.44</v>
      </c>
      <c r="E80" s="1548">
        <v>1.0423602226147934</v>
      </c>
      <c r="F80" s="1548">
        <v>1.5616023642488079</v>
      </c>
      <c r="K80" s="1663">
        <v>42137</v>
      </c>
      <c r="L80" s="1664" t="s">
        <v>2293</v>
      </c>
      <c r="M80" s="1665">
        <v>4.9036999999999997E-2</v>
      </c>
      <c r="N80" s="1666">
        <v>1.0240249290275336</v>
      </c>
      <c r="O80" s="1666">
        <v>1.0240249290275336</v>
      </c>
    </row>
    <row r="81" spans="2:15">
      <c r="B81" s="1546">
        <v>34881</v>
      </c>
      <c r="C81" s="1547">
        <v>119.114</v>
      </c>
      <c r="D81" s="1547">
        <v>1167.3499999999999</v>
      </c>
      <c r="E81" s="1548">
        <v>1.0402311780170954</v>
      </c>
      <c r="F81" s="1548">
        <v>1.6244274669568188</v>
      </c>
      <c r="K81" s="1663">
        <v>42138</v>
      </c>
      <c r="L81" s="1664" t="s">
        <v>2293</v>
      </c>
      <c r="M81" s="1665">
        <v>4.9036999999999997E-2</v>
      </c>
      <c r="N81" s="1666">
        <v>1.024527080131981</v>
      </c>
      <c r="O81" s="1666">
        <v>1.024527080131981</v>
      </c>
    </row>
    <row r="82" spans="2:15">
      <c r="B82" s="1546">
        <v>34912</v>
      </c>
      <c r="C82" s="1547">
        <v>121.729</v>
      </c>
      <c r="D82" s="1547">
        <v>1178.9100000000001</v>
      </c>
      <c r="E82" s="1547">
        <v>1.0383979241220025</v>
      </c>
      <c r="F82" s="1547">
        <v>1.6868021095747234</v>
      </c>
      <c r="G82" s="7">
        <v>41036.512291666666</v>
      </c>
      <c r="K82" s="1663">
        <v>42139</v>
      </c>
      <c r="L82" s="1664" t="s">
        <v>2293</v>
      </c>
      <c r="M82" s="1665">
        <v>4.9036999999999997E-2</v>
      </c>
      <c r="N82" s="1666">
        <v>1.0250294774762654</v>
      </c>
      <c r="O82" s="1666">
        <v>1.0250294774762654</v>
      </c>
    </row>
    <row r="83" spans="2:15">
      <c r="B83" s="1546">
        <v>34943</v>
      </c>
      <c r="C83" s="1547">
        <v>120.869</v>
      </c>
      <c r="D83" s="1547">
        <v>1190.58</v>
      </c>
      <c r="E83" s="1547">
        <v>1.0349384575781275</v>
      </c>
      <c r="F83" s="1547">
        <v>1.745736373522796</v>
      </c>
      <c r="K83" s="1663">
        <v>42140</v>
      </c>
      <c r="L83" s="1664"/>
      <c r="M83" s="1665">
        <v>0</v>
      </c>
      <c r="N83" s="1666">
        <v>1.0250294774762654</v>
      </c>
      <c r="O83" s="1666">
        <v>1.0250294774762654</v>
      </c>
    </row>
    <row r="84" spans="2:15">
      <c r="B84" s="1546">
        <v>34973</v>
      </c>
      <c r="C84" s="1547">
        <v>121.503</v>
      </c>
      <c r="D84" s="1547">
        <v>1207.3699999999999</v>
      </c>
      <c r="E84" s="1547">
        <v>1.0324041438440343</v>
      </c>
      <c r="F84" s="1547">
        <v>1.8023054660841915</v>
      </c>
      <c r="K84" s="1663">
        <v>42141</v>
      </c>
      <c r="L84" s="1664"/>
      <c r="M84" s="1665">
        <v>0</v>
      </c>
      <c r="N84" s="1666">
        <v>1.0250294774762654</v>
      </c>
      <c r="O84" s="1666">
        <v>1.0250294774762654</v>
      </c>
    </row>
    <row r="85" spans="2:15">
      <c r="B85" s="1546">
        <v>35004</v>
      </c>
      <c r="C85" s="1547">
        <v>122.955</v>
      </c>
      <c r="D85" s="1547">
        <v>1225.1199999999999</v>
      </c>
      <c r="E85" s="1547">
        <v>1.0316999077357936</v>
      </c>
      <c r="F85" s="1547">
        <v>1.8594383830707768</v>
      </c>
      <c r="K85" s="1663">
        <v>42142</v>
      </c>
      <c r="L85" s="1664" t="s">
        <v>2293</v>
      </c>
      <c r="M85" s="1665">
        <v>4.9036999999999997E-2</v>
      </c>
      <c r="N85" s="1666">
        <v>1.0255321211811355</v>
      </c>
      <c r="O85" s="1666">
        <v>1.0255321211811355</v>
      </c>
    </row>
    <row r="86" spans="2:15">
      <c r="B86" s="1546">
        <v>35034</v>
      </c>
      <c r="C86" s="1547">
        <v>123.833</v>
      </c>
      <c r="D86" s="1547">
        <v>1244.23</v>
      </c>
      <c r="E86" s="1547">
        <v>1.0292086837764389</v>
      </c>
      <c r="F86" s="1547">
        <v>1.913750130803664</v>
      </c>
      <c r="K86" s="1663">
        <v>42143</v>
      </c>
      <c r="L86" s="1664" t="s">
        <v>2293</v>
      </c>
      <c r="M86" s="1665">
        <v>4.9036999999999997E-2</v>
      </c>
      <c r="N86" s="1666">
        <v>1.0260350113673991</v>
      </c>
      <c r="O86" s="1666">
        <v>1.0260350113673991</v>
      </c>
    </row>
    <row r="87" spans="2:15">
      <c r="B87" s="1546">
        <v>35065</v>
      </c>
      <c r="C87" s="1547">
        <v>125.977</v>
      </c>
      <c r="D87" s="1547">
        <v>1260.9000000000001</v>
      </c>
      <c r="E87" s="1547">
        <v>1.0271429062533448</v>
      </c>
      <c r="F87" s="1547">
        <v>1.9656948711963942</v>
      </c>
      <c r="K87" s="1663">
        <v>42144</v>
      </c>
      <c r="L87" s="1664" t="s">
        <v>2293</v>
      </c>
      <c r="M87" s="1665">
        <v>4.9036999999999997E-2</v>
      </c>
      <c r="N87" s="1666">
        <v>1.0265381481559233</v>
      </c>
      <c r="O87" s="1666">
        <v>1.0265381481559233</v>
      </c>
    </row>
    <row r="88" spans="2:15">
      <c r="B88" s="1546">
        <v>35096</v>
      </c>
      <c r="C88" s="1547">
        <v>127.202</v>
      </c>
      <c r="D88" s="1547">
        <v>1273.8900000000001</v>
      </c>
      <c r="E88" s="1547">
        <v>1.026088709032714</v>
      </c>
      <c r="F88" s="1547">
        <v>2.0169773127381352</v>
      </c>
      <c r="K88" s="1663">
        <v>42145</v>
      </c>
      <c r="L88" s="1664" t="s">
        <v>2293</v>
      </c>
      <c r="M88" s="1665">
        <v>4.9036999999999997E-2</v>
      </c>
      <c r="N88" s="1666">
        <v>1.0270415316676345</v>
      </c>
      <c r="O88" s="1666">
        <v>1.0270415316676345</v>
      </c>
    </row>
    <row r="89" spans="2:15">
      <c r="B89" s="1546">
        <v>35125</v>
      </c>
      <c r="C89" s="1547">
        <v>127.715</v>
      </c>
      <c r="D89" s="1547">
        <v>1278.3499999999999</v>
      </c>
      <c r="E89" s="1547">
        <v>1.0222082178682002</v>
      </c>
      <c r="F89" s="1547">
        <v>2.0617707843346404</v>
      </c>
      <c r="K89" s="1663">
        <v>42146</v>
      </c>
      <c r="L89" s="1664" t="s">
        <v>2293</v>
      </c>
      <c r="M89" s="1665">
        <v>4.9036999999999997E-2</v>
      </c>
      <c r="N89" s="1666">
        <v>1.0275451620235183</v>
      </c>
      <c r="O89" s="1666">
        <v>1.0275451620235183</v>
      </c>
    </row>
    <row r="90" spans="2:15">
      <c r="B90" s="1546">
        <v>35156</v>
      </c>
      <c r="C90" s="1547">
        <v>128.13</v>
      </c>
      <c r="D90" s="1547">
        <v>1294.46</v>
      </c>
      <c r="E90" s="1547">
        <v>1.0227569082086725</v>
      </c>
      <c r="F90" s="1547">
        <v>2.1086903128210666</v>
      </c>
      <c r="K90" s="1663">
        <v>42147</v>
      </c>
      <c r="L90" s="1664"/>
      <c r="M90" s="1665">
        <v>0</v>
      </c>
      <c r="N90" s="1666">
        <v>1.0275451620235183</v>
      </c>
      <c r="O90" s="1666">
        <v>1.0275451620235183</v>
      </c>
    </row>
    <row r="91" spans="2:15">
      <c r="B91" s="1546">
        <v>35186</v>
      </c>
      <c r="C91" s="1547">
        <v>130.12100000000001</v>
      </c>
      <c r="D91" s="1547">
        <v>1310.25</v>
      </c>
      <c r="E91" s="1547">
        <v>1.0210626514511167</v>
      </c>
      <c r="F91" s="1547">
        <v>2.1531049218983629</v>
      </c>
      <c r="K91" s="1663">
        <v>42148</v>
      </c>
      <c r="L91" s="1664"/>
      <c r="M91" s="1665">
        <v>0</v>
      </c>
      <c r="N91" s="1666">
        <v>1.0275451620235183</v>
      </c>
      <c r="O91" s="1666">
        <v>1.0275451620235183</v>
      </c>
    </row>
    <row r="92" spans="2:15">
      <c r="B92" s="1546">
        <v>35217</v>
      </c>
      <c r="C92" s="1547">
        <v>131.44499999999999</v>
      </c>
      <c r="D92" s="1547">
        <v>1325.84</v>
      </c>
      <c r="E92" s="1547">
        <v>1.020826552130859</v>
      </c>
      <c r="F92" s="1547">
        <v>2.1979466737974884</v>
      </c>
      <c r="K92" s="1663">
        <v>42149</v>
      </c>
      <c r="L92" s="1664" t="s">
        <v>2293</v>
      </c>
      <c r="M92" s="1665">
        <v>4.9036999999999997E-2</v>
      </c>
      <c r="N92" s="1666">
        <v>1.0280490393446198</v>
      </c>
      <c r="O92" s="1666">
        <v>1.0280490393446198</v>
      </c>
    </row>
    <row r="93" spans="2:15">
      <c r="B93" s="1546">
        <v>35247</v>
      </c>
      <c r="C93" s="1547">
        <v>133.21299999999999</v>
      </c>
      <c r="D93" s="1547">
        <v>1340.56</v>
      </c>
      <c r="E93" s="1547">
        <v>1.0192856968560815</v>
      </c>
      <c r="F93" s="1547">
        <v>2.2403356070541793</v>
      </c>
      <c r="K93" s="1663">
        <v>42150</v>
      </c>
      <c r="L93" s="1664" t="s">
        <v>2293</v>
      </c>
      <c r="M93" s="1665">
        <v>4.9036999999999997E-2</v>
      </c>
      <c r="N93" s="1666">
        <v>1.0285531637520433</v>
      </c>
      <c r="O93" s="1666">
        <v>1.0285531637520433</v>
      </c>
    </row>
    <row r="94" spans="2:15">
      <c r="B94" s="1546">
        <v>35278</v>
      </c>
      <c r="C94" s="1547">
        <v>133.58699999999999</v>
      </c>
      <c r="D94" s="1547">
        <v>1346.46</v>
      </c>
      <c r="E94" s="1547">
        <v>1.0196791435025818</v>
      </c>
      <c r="F94" s="1547">
        <v>2.2844234929593421</v>
      </c>
      <c r="K94" s="1663">
        <v>42151</v>
      </c>
      <c r="L94" s="1664" t="s">
        <v>2293</v>
      </c>
      <c r="M94" s="1665">
        <v>4.9036999999999997E-2</v>
      </c>
      <c r="N94" s="1666">
        <v>1.0290575353669524</v>
      </c>
      <c r="O94" s="1666">
        <v>1.0290575353669524</v>
      </c>
    </row>
    <row r="95" spans="2:15">
      <c r="B95" s="1546">
        <v>35309</v>
      </c>
      <c r="C95" s="1547">
        <v>133.72200000000001</v>
      </c>
      <c r="D95" s="1547">
        <v>1348.48</v>
      </c>
      <c r="E95" s="1547">
        <v>1.0190405257020327</v>
      </c>
      <c r="F95" s="1547">
        <v>2.3279201171913617</v>
      </c>
      <c r="K95" s="1663">
        <v>42152</v>
      </c>
      <c r="L95" s="1664" t="s">
        <v>2293</v>
      </c>
      <c r="M95" s="1665">
        <v>4.9036999999999997E-2</v>
      </c>
      <c r="N95" s="1666">
        <v>1.0295621543105704</v>
      </c>
      <c r="O95" s="1666">
        <v>1.0295621543105704</v>
      </c>
    </row>
    <row r="96" spans="2:15">
      <c r="B96" s="1546">
        <v>35339</v>
      </c>
      <c r="C96" s="1547">
        <v>133.97800000000001</v>
      </c>
      <c r="D96" s="1547">
        <v>1352.53</v>
      </c>
      <c r="E96" s="1547">
        <v>1.0194350405573067</v>
      </c>
      <c r="F96" s="1547">
        <v>2.3731633390831459</v>
      </c>
      <c r="K96" s="1663">
        <v>42153</v>
      </c>
      <c r="L96" s="1664" t="s">
        <v>2293</v>
      </c>
      <c r="M96" s="1665">
        <v>4.9036999999999997E-2</v>
      </c>
      <c r="N96" s="1666">
        <v>1.0300670207041798</v>
      </c>
      <c r="O96" s="1666">
        <v>1.0300670207041798</v>
      </c>
    </row>
    <row r="97" spans="2:15">
      <c r="B97" s="1546">
        <v>35370</v>
      </c>
      <c r="C97" s="1547">
        <v>134.24199999999999</v>
      </c>
      <c r="D97" s="1547">
        <v>1356.86</v>
      </c>
      <c r="E97" s="1547">
        <v>1.018952291397875</v>
      </c>
      <c r="F97" s="1547">
        <v>2.4181402222202037</v>
      </c>
      <c r="K97" s="1663">
        <v>42154</v>
      </c>
      <c r="L97" s="1664"/>
      <c r="M97" s="1665">
        <v>0</v>
      </c>
      <c r="N97" s="1666">
        <v>1.0300670207041798</v>
      </c>
      <c r="O97" s="1666">
        <v>1.0300670207041798</v>
      </c>
    </row>
    <row r="98" spans="2:15">
      <c r="B98" s="1546">
        <v>35400</v>
      </c>
      <c r="C98" s="1547">
        <v>135.22499999999999</v>
      </c>
      <c r="D98" s="1547">
        <v>1363.24</v>
      </c>
      <c r="E98" s="1547">
        <v>1.0189221360623306</v>
      </c>
      <c r="F98" s="1547">
        <v>2.4638966005228489</v>
      </c>
      <c r="K98" s="1663">
        <v>42155</v>
      </c>
      <c r="L98" s="1664"/>
      <c r="M98" s="1665">
        <v>0</v>
      </c>
      <c r="N98" s="1666">
        <v>1.0300670207041798</v>
      </c>
      <c r="O98" s="1666">
        <v>1.0300670207041798</v>
      </c>
    </row>
    <row r="99" spans="2:15">
      <c r="B99" s="1546">
        <v>35431</v>
      </c>
      <c r="C99" s="1547">
        <v>137.613</v>
      </c>
      <c r="D99" s="1547">
        <v>1379.33</v>
      </c>
      <c r="E99" s="1547">
        <v>1.0182168360386268</v>
      </c>
      <c r="F99" s="1547">
        <v>2.5087810009107034</v>
      </c>
      <c r="K99" s="1663">
        <v>42156</v>
      </c>
      <c r="L99" s="1664" t="s">
        <v>2293</v>
      </c>
      <c r="M99" s="1665">
        <v>4.9036999999999997E-2</v>
      </c>
      <c r="N99" s="1666">
        <v>1.0305721346691226</v>
      </c>
      <c r="O99" s="1666">
        <v>1.0305721346691226</v>
      </c>
    </row>
    <row r="100" spans="2:15">
      <c r="B100" s="1546">
        <v>35462</v>
      </c>
      <c r="C100" s="1547">
        <v>138.20400000000001</v>
      </c>
      <c r="D100" s="1547">
        <v>1386.23</v>
      </c>
      <c r="E100" s="1547">
        <v>1.018615977536991</v>
      </c>
      <c r="F100" s="1547">
        <v>2.5554844116688868</v>
      </c>
      <c r="K100" s="1663">
        <v>42157</v>
      </c>
      <c r="L100" s="1664" t="s">
        <v>2293</v>
      </c>
      <c r="M100" s="1665">
        <v>4.9036999999999997E-2</v>
      </c>
      <c r="N100" s="1666">
        <v>1.0310774963268003</v>
      </c>
      <c r="O100" s="1666">
        <v>1.0310774963268003</v>
      </c>
    </row>
    <row r="101" spans="2:15">
      <c r="B101" s="1546">
        <v>35490</v>
      </c>
      <c r="C101" s="1547">
        <v>139.79499999999999</v>
      </c>
      <c r="D101" s="1547">
        <v>1393.3</v>
      </c>
      <c r="E101" s="1547">
        <v>1.0181653196053577</v>
      </c>
      <c r="F101" s="1547">
        <v>2.6019056027533618</v>
      </c>
      <c r="K101" s="1663">
        <v>42158</v>
      </c>
      <c r="L101" s="1664" t="s">
        <v>2293</v>
      </c>
      <c r="M101" s="1665">
        <v>4.9036999999999997E-2</v>
      </c>
      <c r="N101" s="1666">
        <v>1.0315831057986742</v>
      </c>
      <c r="O101" s="1666">
        <v>1.0315831057986742</v>
      </c>
    </row>
    <row r="102" spans="2:15">
      <c r="B102" s="1546">
        <v>35521</v>
      </c>
      <c r="C102" s="1547">
        <v>140.74199999999999</v>
      </c>
      <c r="D102" s="1547">
        <v>1405.56</v>
      </c>
      <c r="E102" s="1547">
        <v>1.0174130782041242</v>
      </c>
      <c r="F102" s="1547">
        <v>2.6472127884938548</v>
      </c>
      <c r="K102" s="1663">
        <v>42159</v>
      </c>
      <c r="L102" s="1664"/>
      <c r="M102" s="1665">
        <v>0</v>
      </c>
      <c r="N102" s="1666">
        <v>1.0315831057986742</v>
      </c>
      <c r="O102" s="1666">
        <v>1.0315831057986742</v>
      </c>
    </row>
    <row r="103" spans="2:15">
      <c r="B103" s="1546">
        <v>35551</v>
      </c>
      <c r="C103" s="1547">
        <v>141.04</v>
      </c>
      <c r="D103" s="1547">
        <v>1411.32</v>
      </c>
      <c r="E103" s="1547">
        <v>1.0173859708262292</v>
      </c>
      <c r="F103" s="1547">
        <v>2.6932371528054295</v>
      </c>
      <c r="K103" s="1663">
        <v>42160</v>
      </c>
      <c r="L103" s="1664" t="s">
        <v>2293</v>
      </c>
      <c r="M103" s="1665">
        <v>5.0788E-2</v>
      </c>
      <c r="N103" s="1666">
        <v>1.0321070262264471</v>
      </c>
      <c r="O103" s="1666">
        <v>1.0321070262264471</v>
      </c>
    </row>
    <row r="104" spans="2:15">
      <c r="B104" s="1546">
        <v>35582</v>
      </c>
      <c r="C104" s="1547">
        <v>142.09</v>
      </c>
      <c r="D104" s="1547">
        <v>1418.94</v>
      </c>
      <c r="E104" s="1547">
        <v>1.0160683269749473</v>
      </c>
      <c r="F104" s="1547">
        <v>2.7365129679977831</v>
      </c>
      <c r="K104" s="1663">
        <v>42161</v>
      </c>
      <c r="L104" s="1664"/>
      <c r="M104" s="1665">
        <v>0</v>
      </c>
      <c r="N104" s="1666">
        <v>1.0321070262264471</v>
      </c>
      <c r="O104" s="1666">
        <v>1.0321070262264471</v>
      </c>
    </row>
    <row r="105" spans="2:15">
      <c r="B105" s="1546">
        <v>35612</v>
      </c>
      <c r="C105" s="1547">
        <v>142.221</v>
      </c>
      <c r="D105" s="1547">
        <v>1422.06</v>
      </c>
      <c r="E105" s="1547">
        <v>1.0160384417373229</v>
      </c>
      <c r="F105" s="1547">
        <v>2.7804023717984441</v>
      </c>
      <c r="K105" s="1663">
        <v>42162</v>
      </c>
      <c r="L105" s="1664"/>
      <c r="M105" s="1665">
        <v>0</v>
      </c>
      <c r="N105" s="1666">
        <v>1.0321070262264471</v>
      </c>
      <c r="O105" s="1666">
        <v>1.0321070262264471</v>
      </c>
    </row>
    <row r="106" spans="2:15">
      <c r="B106" s="1546">
        <v>35643</v>
      </c>
      <c r="C106" s="1547">
        <v>142.35300000000001</v>
      </c>
      <c r="D106" s="1547">
        <v>1421.78</v>
      </c>
      <c r="E106" s="1547">
        <v>1.0158585469231169</v>
      </c>
      <c r="F106" s="1547">
        <v>2.8244955132767555</v>
      </c>
      <c r="K106" s="1663">
        <v>42163</v>
      </c>
      <c r="L106" s="1664" t="s">
        <v>2293</v>
      </c>
      <c r="M106" s="1665">
        <v>5.0788E-2</v>
      </c>
      <c r="N106" s="1666">
        <v>1.0326312127429271</v>
      </c>
      <c r="O106" s="1666">
        <v>1.0326312127429271</v>
      </c>
    </row>
    <row r="107" spans="2:15">
      <c r="B107" s="1546">
        <v>35674</v>
      </c>
      <c r="C107" s="1547">
        <v>143.042</v>
      </c>
      <c r="D107" s="1547">
        <v>1422.63</v>
      </c>
      <c r="E107" s="1547">
        <v>1.0159028051900765</v>
      </c>
      <c r="F107" s="1547">
        <v>2.869412915184641</v>
      </c>
      <c r="K107" s="1663">
        <v>42164</v>
      </c>
      <c r="L107" s="1664" t="s">
        <v>2293</v>
      </c>
      <c r="M107" s="1665">
        <v>5.0788E-2</v>
      </c>
      <c r="N107" s="1666">
        <v>1.033155665483255</v>
      </c>
      <c r="O107" s="1666">
        <v>1.033155665483255</v>
      </c>
    </row>
    <row r="108" spans="2:15">
      <c r="B108" s="1546">
        <v>35704</v>
      </c>
      <c r="C108" s="1547">
        <v>143.56700000000001</v>
      </c>
      <c r="D108" s="1547">
        <v>1425.9</v>
      </c>
      <c r="E108" s="1547">
        <v>1.0167288802763557</v>
      </c>
      <c r="F108" s="1547">
        <v>2.9174149803061935</v>
      </c>
      <c r="K108" s="1663">
        <v>42165</v>
      </c>
      <c r="L108" s="1664" t="s">
        <v>2293</v>
      </c>
      <c r="M108" s="1665">
        <v>5.0788E-2</v>
      </c>
      <c r="N108" s="1666">
        <v>1.0336803845826406</v>
      </c>
      <c r="O108" s="1666">
        <v>1.0336803845826406</v>
      </c>
    </row>
    <row r="109" spans="2:15">
      <c r="B109" s="1546">
        <v>35735</v>
      </c>
      <c r="C109" s="1547">
        <v>144.48099999999999</v>
      </c>
      <c r="D109" s="1547">
        <v>1428.32</v>
      </c>
      <c r="E109" s="1547">
        <v>1.0304347964479648</v>
      </c>
      <c r="F109" s="1547">
        <v>3.0062059113860555</v>
      </c>
      <c r="K109" s="1663">
        <v>42166</v>
      </c>
      <c r="L109" s="1664" t="s">
        <v>2293</v>
      </c>
      <c r="M109" s="1665">
        <v>5.0788E-2</v>
      </c>
      <c r="N109" s="1666">
        <v>1.0342053701763625</v>
      </c>
      <c r="O109" s="1666">
        <v>1.0342053701763625</v>
      </c>
    </row>
    <row r="110" spans="2:15">
      <c r="B110" s="1546">
        <v>35765</v>
      </c>
      <c r="C110" s="1547">
        <v>145.69499999999999</v>
      </c>
      <c r="D110" s="1547">
        <v>1434.46</v>
      </c>
      <c r="E110" s="1547">
        <v>1.0311549813439238</v>
      </c>
      <c r="F110" s="1547">
        <v>3.0998642004712815</v>
      </c>
      <c r="K110" s="1663">
        <v>42167</v>
      </c>
      <c r="L110" s="1664" t="s">
        <v>2293</v>
      </c>
      <c r="M110" s="1665">
        <v>5.0788E-2</v>
      </c>
      <c r="N110" s="1666">
        <v>1.0347306223997677</v>
      </c>
      <c r="O110" s="1666">
        <v>1.0347306223997677</v>
      </c>
    </row>
    <row r="111" spans="2:15">
      <c r="B111" s="1546">
        <v>35796</v>
      </c>
      <c r="C111" s="1547">
        <v>147.09100000000001</v>
      </c>
      <c r="D111" s="1547">
        <v>1444.64</v>
      </c>
      <c r="E111" s="1547">
        <v>1.0280960413836384</v>
      </c>
      <c r="F111" s="1547">
        <v>3.1869581133313818</v>
      </c>
      <c r="K111" s="1663">
        <v>42168</v>
      </c>
      <c r="L111" s="1664"/>
      <c r="M111" s="1665">
        <v>0</v>
      </c>
      <c r="N111" s="1666">
        <v>1.0347306223997677</v>
      </c>
      <c r="O111" s="1666">
        <v>1.0347306223997677</v>
      </c>
    </row>
    <row r="112" spans="2:15">
      <c r="B112" s="1546">
        <v>35827</v>
      </c>
      <c r="C112" s="1547">
        <v>147.35599999999999</v>
      </c>
      <c r="D112" s="1547">
        <v>1451.29</v>
      </c>
      <c r="E112" s="1547">
        <v>1.0236711069024262</v>
      </c>
      <c r="F112" s="1547">
        <v>3.2623969395256034</v>
      </c>
      <c r="K112" s="1663">
        <v>42169</v>
      </c>
      <c r="L112" s="1664"/>
      <c r="M112" s="1665">
        <v>0</v>
      </c>
      <c r="N112" s="1666">
        <v>1.0347306223997677</v>
      </c>
      <c r="O112" s="1666">
        <v>1.0347306223997677</v>
      </c>
    </row>
    <row r="113" spans="2:15">
      <c r="B113" s="1546">
        <v>35855</v>
      </c>
      <c r="C113" s="1547">
        <v>147.63499999999999</v>
      </c>
      <c r="D113" s="1547">
        <v>1456.22</v>
      </c>
      <c r="E113" s="1547">
        <v>1.0220072916308196</v>
      </c>
      <c r="F113" s="1547">
        <v>3.3341934603892365</v>
      </c>
      <c r="K113" s="1663">
        <v>42170</v>
      </c>
      <c r="L113" s="1664" t="s">
        <v>2293</v>
      </c>
      <c r="M113" s="1665">
        <v>5.0788E-2</v>
      </c>
      <c r="N113" s="1666">
        <v>1.0352561413882722</v>
      </c>
      <c r="O113" s="1666">
        <v>1.0352561413882722</v>
      </c>
    </row>
    <row r="114" spans="2:15">
      <c r="B114" s="1546">
        <v>35886</v>
      </c>
      <c r="C114" s="1547">
        <v>147.821</v>
      </c>
      <c r="D114" s="1547">
        <v>1459.71</v>
      </c>
      <c r="E114" s="1547">
        <v>1.0199031041694671</v>
      </c>
      <c r="F114" s="1547">
        <v>3.4005542601525192</v>
      </c>
      <c r="K114" s="1663">
        <v>42171</v>
      </c>
      <c r="L114" s="1664" t="s">
        <v>2293</v>
      </c>
      <c r="M114" s="1665">
        <v>5.0788E-2</v>
      </c>
      <c r="N114" s="1666">
        <v>1.0357819272773605</v>
      </c>
      <c r="O114" s="1666">
        <v>1.0357819272773605</v>
      </c>
    </row>
    <row r="115" spans="2:15">
      <c r="B115" s="1546">
        <v>35916</v>
      </c>
      <c r="C115" s="1547">
        <v>148.02099999999999</v>
      </c>
      <c r="D115" s="1547">
        <v>1467.01</v>
      </c>
      <c r="E115" s="1547">
        <v>1.0171306475499944</v>
      </c>
      <c r="F115" s="1547">
        <v>3.4588079566578238</v>
      </c>
      <c r="K115" s="1663">
        <v>42172</v>
      </c>
      <c r="L115" s="1664" t="s">
        <v>2293</v>
      </c>
      <c r="M115" s="1665">
        <v>5.0788E-2</v>
      </c>
      <c r="N115" s="1666">
        <v>1.0363079802025861</v>
      </c>
      <c r="O115" s="1666">
        <v>1.0363079802025861</v>
      </c>
    </row>
    <row r="116" spans="2:15">
      <c r="B116" s="1546">
        <v>35947</v>
      </c>
      <c r="C116" s="1547">
        <v>148.58799999999999</v>
      </c>
      <c r="D116" s="1547">
        <v>1467.3</v>
      </c>
      <c r="E116" s="1547">
        <v>1.0167959651913006</v>
      </c>
      <c r="F116" s="1547">
        <v>3.5169019747012422</v>
      </c>
      <c r="K116" s="1663">
        <v>42173</v>
      </c>
      <c r="L116" s="1664" t="s">
        <v>2293</v>
      </c>
      <c r="M116" s="1665">
        <v>5.0788E-2</v>
      </c>
      <c r="N116" s="1666">
        <v>1.0368343002995715</v>
      </c>
      <c r="O116" s="1666">
        <v>1.0368343002995715</v>
      </c>
    </row>
    <row r="117" spans="2:15">
      <c r="B117" s="1546">
        <v>35977</v>
      </c>
      <c r="C117" s="1547">
        <v>148.339</v>
      </c>
      <c r="D117" s="1547">
        <v>1465.54</v>
      </c>
      <c r="E117" s="1547">
        <v>1.0170373206405035</v>
      </c>
      <c r="F117" s="1547">
        <v>3.5768205613054471</v>
      </c>
      <c r="K117" s="1663">
        <v>42174</v>
      </c>
      <c r="L117" s="1664" t="s">
        <v>2293</v>
      </c>
      <c r="M117" s="1665">
        <v>5.0788E-2</v>
      </c>
      <c r="N117" s="1666">
        <v>1.0373608877040077</v>
      </c>
      <c r="O117" s="1666">
        <v>1.0373608877040077</v>
      </c>
    </row>
    <row r="118" spans="2:15">
      <c r="B118" s="1546">
        <v>36008</v>
      </c>
      <c r="C118" s="1547">
        <v>148.10900000000001</v>
      </c>
      <c r="D118" s="1547">
        <v>1458.07</v>
      </c>
      <c r="E118" s="1547">
        <v>1.0147631694962493</v>
      </c>
      <c r="F118" s="1547">
        <v>3.6296257695096692</v>
      </c>
      <c r="K118" s="1663">
        <v>42175</v>
      </c>
      <c r="L118" s="1664"/>
      <c r="M118" s="1665">
        <v>0</v>
      </c>
      <c r="N118" s="1666">
        <v>1.0373608877040077</v>
      </c>
      <c r="O118" s="1666">
        <v>1.0373608877040077</v>
      </c>
    </row>
    <row r="119" spans="2:15">
      <c r="B119" s="1546">
        <v>36039</v>
      </c>
      <c r="C119" s="1547">
        <v>147.98400000000001</v>
      </c>
      <c r="D119" s="1547">
        <v>1454.86</v>
      </c>
      <c r="E119" s="1547">
        <v>1.0255896332244516</v>
      </c>
      <c r="F119" s="1547">
        <v>3.7225065616934394</v>
      </c>
      <c r="K119" s="1663">
        <v>42176</v>
      </c>
      <c r="L119" s="1664"/>
      <c r="M119" s="1665">
        <v>0</v>
      </c>
      <c r="N119" s="1666">
        <v>1.0373608877040077</v>
      </c>
      <c r="O119" s="1666">
        <v>1.0373608877040077</v>
      </c>
    </row>
    <row r="120" spans="2:15">
      <c r="B120" s="1546">
        <v>36069</v>
      </c>
      <c r="C120" s="1547">
        <v>148.1</v>
      </c>
      <c r="D120" s="1547">
        <v>1455.15</v>
      </c>
      <c r="E120" s="1547">
        <v>1.0308188720930029</v>
      </c>
      <c r="F120" s="1547">
        <v>3.8372300152836338</v>
      </c>
      <c r="K120" s="1663">
        <v>42177</v>
      </c>
      <c r="L120" s="1664" t="s">
        <v>2293</v>
      </c>
      <c r="M120" s="1665">
        <v>5.0788E-2</v>
      </c>
      <c r="N120" s="1666">
        <v>1.0378877425516548</v>
      </c>
      <c r="O120" s="1666">
        <v>1.0378877425516548</v>
      </c>
    </row>
    <row r="121" spans="2:15">
      <c r="B121" s="1546">
        <v>36100</v>
      </c>
      <c r="C121" s="1547">
        <v>147.62799999999999</v>
      </c>
      <c r="D121" s="1547">
        <v>1453.4</v>
      </c>
      <c r="E121" s="1547">
        <v>1.0277678356785036</v>
      </c>
      <c r="F121" s="1547">
        <v>3.9437815878086515</v>
      </c>
      <c r="K121" s="1663">
        <v>42178</v>
      </c>
      <c r="L121" s="1664" t="s">
        <v>2293</v>
      </c>
      <c r="M121" s="1665">
        <v>5.0788E-2</v>
      </c>
      <c r="N121" s="1666">
        <v>1.038414864978342</v>
      </c>
      <c r="O121" s="1666">
        <v>1.038414864978342</v>
      </c>
    </row>
    <row r="122" spans="2:15">
      <c r="B122" s="1546">
        <v>36130</v>
      </c>
      <c r="C122" s="1547">
        <v>148.291</v>
      </c>
      <c r="D122" s="1547">
        <v>1458.2</v>
      </c>
      <c r="E122" s="1547">
        <v>1.025049538167373</v>
      </c>
      <c r="F122" s="1547">
        <v>4.0425714952162473</v>
      </c>
      <c r="K122" s="1663">
        <v>42179</v>
      </c>
      <c r="L122" s="1664" t="s">
        <v>2293</v>
      </c>
      <c r="M122" s="1665">
        <v>5.0788E-2</v>
      </c>
      <c r="N122" s="1666">
        <v>1.0389422551199672</v>
      </c>
      <c r="O122" s="1666">
        <v>1.0389422551199672</v>
      </c>
    </row>
    <row r="123" spans="2:15">
      <c r="B123" s="1546">
        <v>36161</v>
      </c>
      <c r="C123" s="1547">
        <v>149.53299999999999</v>
      </c>
      <c r="D123" s="1547">
        <v>1468.41</v>
      </c>
      <c r="E123" s="1547">
        <v>1.022811290449001</v>
      </c>
      <c r="F123" s="1547">
        <v>4.1347877677544771</v>
      </c>
      <c r="K123" s="1663">
        <v>42180</v>
      </c>
      <c r="L123" s="1664" t="s">
        <v>2293</v>
      </c>
      <c r="M123" s="1665">
        <v>5.0788E-2</v>
      </c>
      <c r="N123" s="1666">
        <v>1.0394699131124976</v>
      </c>
      <c r="O123" s="1666">
        <v>1.0394699131124976</v>
      </c>
    </row>
    <row r="124" spans="2:15">
      <c r="B124" s="1546">
        <v>36192</v>
      </c>
      <c r="C124" s="1547">
        <v>154.93299999999999</v>
      </c>
      <c r="D124" s="1547">
        <v>1483.83</v>
      </c>
      <c r="E124" s="1547">
        <v>1.0264662861429437</v>
      </c>
      <c r="F124" s="1547">
        <v>4.2442202439562102</v>
      </c>
      <c r="K124" s="1663">
        <v>42181</v>
      </c>
      <c r="L124" s="1664" t="s">
        <v>2293</v>
      </c>
      <c r="M124" s="1665">
        <v>5.0788E-2</v>
      </c>
      <c r="N124" s="1666">
        <v>1.0399978390919691</v>
      </c>
      <c r="O124" s="1666">
        <v>1.0399978390919691</v>
      </c>
    </row>
    <row r="125" spans="2:15">
      <c r="B125" s="1546">
        <v>36220</v>
      </c>
      <c r="C125" s="1547">
        <v>159.32499999999999</v>
      </c>
      <c r="D125" s="1547">
        <v>1500.15</v>
      </c>
      <c r="E125" s="1547">
        <v>1.033345195070198</v>
      </c>
      <c r="F125" s="1547">
        <v>4.3857445959118131</v>
      </c>
      <c r="K125" s="1663">
        <v>42182</v>
      </c>
      <c r="L125" s="1664"/>
      <c r="M125" s="1665">
        <v>0</v>
      </c>
      <c r="N125" s="1666">
        <v>1.0399978390919691</v>
      </c>
      <c r="O125" s="1666">
        <v>1.0399978390919691</v>
      </c>
    </row>
    <row r="126" spans="2:15">
      <c r="B126" s="1546">
        <v>36251</v>
      </c>
      <c r="C126" s="1547">
        <v>160.459</v>
      </c>
      <c r="D126" s="1547">
        <v>1508.55</v>
      </c>
      <c r="E126" s="1547">
        <v>1.027563660965396</v>
      </c>
      <c r="F126" s="1547">
        <v>4.5066317730343437</v>
      </c>
      <c r="K126" s="1663">
        <v>42183</v>
      </c>
      <c r="L126" s="1664"/>
      <c r="M126" s="1665">
        <v>0</v>
      </c>
      <c r="N126" s="1666">
        <v>1.0399978390919691</v>
      </c>
      <c r="O126" s="1666">
        <v>1.0399978390919691</v>
      </c>
    </row>
    <row r="127" spans="2:15">
      <c r="B127" s="1546">
        <v>36281</v>
      </c>
      <c r="C127" s="1547">
        <v>159.99600000000001</v>
      </c>
      <c r="D127" s="1547">
        <v>1513.08</v>
      </c>
      <c r="E127" s="1547">
        <v>1.0201883000304468</v>
      </c>
      <c r="F127" s="1547">
        <v>4.5976130073951058</v>
      </c>
      <c r="K127" s="1663">
        <v>42184</v>
      </c>
      <c r="L127" s="1664" t="s">
        <v>2293</v>
      </c>
      <c r="M127" s="1665">
        <v>5.0788E-2</v>
      </c>
      <c r="N127" s="1666">
        <v>1.0405260331944872</v>
      </c>
      <c r="O127" s="1666">
        <v>1.0405260331944872</v>
      </c>
    </row>
    <row r="128" spans="2:15">
      <c r="B128" s="1546">
        <v>36312</v>
      </c>
      <c r="C128" s="1547">
        <v>160.57300000000001</v>
      </c>
      <c r="D128" s="1547">
        <v>1515.95</v>
      </c>
      <c r="E128" s="1547">
        <v>1.0175637707499077</v>
      </c>
      <c r="F128" s="1547">
        <v>4.6783644282537873</v>
      </c>
      <c r="K128" s="1663">
        <v>42185</v>
      </c>
      <c r="L128" s="1664" t="s">
        <v>2293</v>
      </c>
      <c r="M128" s="1665">
        <v>5.0788E-2</v>
      </c>
      <c r="N128" s="1666">
        <v>1.041054495556226</v>
      </c>
      <c r="O128" s="1666">
        <v>1.041054495556226</v>
      </c>
    </row>
    <row r="129" spans="2:15">
      <c r="B129" s="1546">
        <v>36342</v>
      </c>
      <c r="C129" s="1547">
        <v>163.06</v>
      </c>
      <c r="D129" s="1547">
        <v>1532.47</v>
      </c>
      <c r="E129" s="1547">
        <v>1.0165876375704719</v>
      </c>
      <c r="F129" s="1547">
        <v>4.7559674418122491</v>
      </c>
      <c r="K129" s="1663">
        <v>42186</v>
      </c>
      <c r="L129" s="1664" t="s">
        <v>2293</v>
      </c>
      <c r="M129" s="1665">
        <v>5.0788E-2</v>
      </c>
      <c r="N129" s="1666">
        <v>1.041583226313429</v>
      </c>
      <c r="O129" s="1666">
        <v>1.041583226313429</v>
      </c>
    </row>
    <row r="130" spans="2:15">
      <c r="B130" s="1546">
        <v>36373</v>
      </c>
      <c r="C130" s="1547">
        <v>165.60300000000001</v>
      </c>
      <c r="D130" s="1547">
        <v>1541.05</v>
      </c>
      <c r="E130" s="1547">
        <v>1.0156847483880824</v>
      </c>
      <c r="F130" s="1547">
        <v>4.8305635944789866</v>
      </c>
      <c r="K130" s="1663">
        <v>42187</v>
      </c>
      <c r="L130" s="1664" t="s">
        <v>2293</v>
      </c>
      <c r="M130" s="1665">
        <v>5.0788E-2</v>
      </c>
      <c r="N130" s="1666">
        <v>1.0421122256024091</v>
      </c>
      <c r="O130" s="1666">
        <v>1.0421122256024091</v>
      </c>
    </row>
    <row r="131" spans="2:15">
      <c r="B131" s="1546">
        <v>36404</v>
      </c>
      <c r="C131" s="1547">
        <v>167.99700000000001</v>
      </c>
      <c r="D131" s="1547">
        <v>1545.83</v>
      </c>
      <c r="E131" s="1547">
        <v>1.0155901672784533</v>
      </c>
      <c r="F131" s="1547">
        <v>4.9058728889661207</v>
      </c>
      <c r="K131" s="1663">
        <v>42188</v>
      </c>
      <c r="L131" s="1664" t="s">
        <v>2293</v>
      </c>
      <c r="M131" s="1665">
        <v>5.0788E-2</v>
      </c>
      <c r="N131" s="1666">
        <v>1.042641493559548</v>
      </c>
      <c r="O131" s="1666">
        <v>1.042641493559548</v>
      </c>
    </row>
    <row r="132" spans="2:15">
      <c r="B132" s="1546">
        <v>36434</v>
      </c>
      <c r="C132" s="1547">
        <v>170.86099999999999</v>
      </c>
      <c r="D132" s="1547">
        <v>1564.23</v>
      </c>
      <c r="E132" s="1547">
        <v>1.0145370189540868</v>
      </c>
      <c r="F132" s="1547">
        <v>4.9771896561393616</v>
      </c>
      <c r="K132" s="1663">
        <v>42189</v>
      </c>
      <c r="L132" s="1664"/>
      <c r="M132" s="1665">
        <v>0</v>
      </c>
      <c r="N132" s="1666">
        <v>1.042641493559548</v>
      </c>
      <c r="O132" s="1666">
        <v>1.042641493559548</v>
      </c>
    </row>
    <row r="133" spans="2:15">
      <c r="B133" s="1546">
        <v>36465</v>
      </c>
      <c r="C133" s="1547">
        <v>174.93899999999999</v>
      </c>
      <c r="D133" s="1547">
        <v>1579.09</v>
      </c>
      <c r="E133" s="1547">
        <v>1.0152599173733607</v>
      </c>
      <c r="F133" s="1547">
        <v>5.0531411590435944</v>
      </c>
      <c r="K133" s="1663">
        <v>42190</v>
      </c>
      <c r="L133" s="1664"/>
      <c r="M133" s="1665">
        <v>0</v>
      </c>
      <c r="N133" s="1666">
        <v>1.042641493559548</v>
      </c>
      <c r="O133" s="1666">
        <v>1.042641493559548</v>
      </c>
    </row>
    <row r="134" spans="2:15">
      <c r="B134" s="1546">
        <v>36495</v>
      </c>
      <c r="C134" s="1547">
        <v>178.09899999999999</v>
      </c>
      <c r="D134" s="1547">
        <v>1588.56</v>
      </c>
      <c r="E134" s="1547">
        <v>1.0159962861507461</v>
      </c>
      <c r="F134" s="1547">
        <v>5.1339726509837682</v>
      </c>
      <c r="K134" s="1663">
        <v>42191</v>
      </c>
      <c r="L134" s="1664" t="s">
        <v>2293</v>
      </c>
      <c r="M134" s="1665">
        <v>5.0788E-2</v>
      </c>
      <c r="N134" s="1666">
        <v>1.0431710303212971</v>
      </c>
      <c r="O134" s="1666">
        <v>1.0431710303212971</v>
      </c>
    </row>
    <row r="135" spans="2:15">
      <c r="B135" s="1546">
        <v>36526</v>
      </c>
      <c r="C135" s="1547">
        <v>180.30099999999999</v>
      </c>
      <c r="D135" s="1547">
        <v>1598.41</v>
      </c>
      <c r="E135" s="1547">
        <v>1.0145573263269665</v>
      </c>
      <c r="F135" s="1547">
        <v>5.20870956621786</v>
      </c>
      <c r="K135" s="1663">
        <v>42192</v>
      </c>
      <c r="L135" s="1664" t="s">
        <v>2293</v>
      </c>
      <c r="M135" s="1665">
        <v>5.0788E-2</v>
      </c>
      <c r="N135" s="1666">
        <v>1.0437008360241766</v>
      </c>
      <c r="O135" s="1666">
        <v>1.0437008360241766</v>
      </c>
    </row>
    <row r="136" spans="2:15">
      <c r="B136" s="1546">
        <v>36557</v>
      </c>
      <c r="C136" s="1547">
        <v>180.935</v>
      </c>
      <c r="D136" s="1547">
        <v>1600.49</v>
      </c>
      <c r="E136" s="1547">
        <v>1.0145089461247463</v>
      </c>
      <c r="F136" s="1547">
        <v>5.2842824526935654</v>
      </c>
      <c r="K136" s="1663">
        <v>42193</v>
      </c>
      <c r="L136" s="1664" t="s">
        <v>2293</v>
      </c>
      <c r="M136" s="1665">
        <v>5.0788E-2</v>
      </c>
      <c r="N136" s="1666">
        <v>1.0442309108047767</v>
      </c>
      <c r="O136" s="1666">
        <v>1.0442309108047767</v>
      </c>
    </row>
    <row r="137" spans="2:15">
      <c r="B137" s="1546">
        <v>36586</v>
      </c>
      <c r="C137" s="1547">
        <v>181.214</v>
      </c>
      <c r="D137" s="1547">
        <v>1604.01</v>
      </c>
      <c r="E137" s="1547">
        <v>1.0158860407835757</v>
      </c>
      <c r="F137" s="1547">
        <v>5.3682287792489891</v>
      </c>
      <c r="K137" s="1663">
        <v>42194</v>
      </c>
      <c r="L137" s="1664" t="s">
        <v>2293</v>
      </c>
      <c r="M137" s="1665">
        <v>5.0788E-2</v>
      </c>
      <c r="N137" s="1666">
        <v>1.0447612547997562</v>
      </c>
      <c r="O137" s="1666">
        <v>1.0447612547997562</v>
      </c>
    </row>
    <row r="138" spans="2:15">
      <c r="B138" s="1546">
        <v>36617</v>
      </c>
      <c r="C138" s="1547">
        <v>181.63499999999999</v>
      </c>
      <c r="D138" s="1547">
        <v>1610.75</v>
      </c>
      <c r="E138" s="1547">
        <v>1.0136441914221253</v>
      </c>
      <c r="F138" s="1547">
        <v>5.4414739203108242</v>
      </c>
      <c r="K138" s="1663">
        <v>42195</v>
      </c>
      <c r="L138" s="1664" t="s">
        <v>2293</v>
      </c>
      <c r="M138" s="1665">
        <v>5.0788E-2</v>
      </c>
      <c r="N138" s="1666">
        <v>1.0452918681458438</v>
      </c>
      <c r="O138" s="1666">
        <v>1.0452918681458438</v>
      </c>
    </row>
    <row r="139" spans="2:15">
      <c r="B139" s="1546">
        <v>36647</v>
      </c>
      <c r="C139" s="1547">
        <v>182.18899999999999</v>
      </c>
      <c r="D139" s="1547">
        <v>1610.91</v>
      </c>
      <c r="E139" s="1547">
        <v>1.0156265899953318</v>
      </c>
      <c r="F139" s="1547">
        <v>5.5265056022338124</v>
      </c>
      <c r="K139" s="1663">
        <v>42196</v>
      </c>
      <c r="L139" s="1664"/>
      <c r="M139" s="1665">
        <v>0</v>
      </c>
      <c r="N139" s="1666">
        <v>1.0452918681458438</v>
      </c>
      <c r="O139" s="1666">
        <v>1.0452918681458438</v>
      </c>
    </row>
    <row r="140" spans="2:15">
      <c r="B140" s="1546">
        <v>36678</v>
      </c>
      <c r="C140" s="1547">
        <v>183.745</v>
      </c>
      <c r="D140" s="1547">
        <v>1614.62</v>
      </c>
      <c r="E140" s="1547">
        <v>1.0145668910909638</v>
      </c>
      <c r="F140" s="1547">
        <v>5.6070096074551534</v>
      </c>
      <c r="K140" s="1663">
        <v>42197</v>
      </c>
      <c r="L140" s="1664"/>
      <c r="M140" s="1665">
        <v>0</v>
      </c>
      <c r="N140" s="1666">
        <v>1.0452918681458438</v>
      </c>
      <c r="O140" s="1666">
        <v>1.0452918681458438</v>
      </c>
    </row>
    <row r="141" spans="2:15">
      <c r="B141" s="1546">
        <v>36708</v>
      </c>
      <c r="C141" s="1547">
        <v>186.63399999999999</v>
      </c>
      <c r="D141" s="1547">
        <v>1640.62</v>
      </c>
      <c r="E141" s="1547">
        <v>1.0130599958288005</v>
      </c>
      <c r="F141" s="1547">
        <v>5.6802371295405623</v>
      </c>
      <c r="K141" s="1663">
        <v>42198</v>
      </c>
      <c r="L141" s="1664" t="s">
        <v>2293</v>
      </c>
      <c r="M141" s="1665">
        <v>5.0788E-2</v>
      </c>
      <c r="N141" s="1666">
        <v>1.0458227509798377</v>
      </c>
      <c r="O141" s="1666">
        <v>1.0458227509798377</v>
      </c>
    </row>
    <row r="142" spans="2:15">
      <c r="B142" s="1546">
        <v>36739</v>
      </c>
      <c r="C142" s="1547">
        <v>191.08699999999999</v>
      </c>
      <c r="D142" s="1547">
        <v>1662.11</v>
      </c>
      <c r="E142" s="1547">
        <v>1.0140543715890855</v>
      </c>
      <c r="F142" s="1547">
        <v>5.7600692928732462</v>
      </c>
      <c r="K142" s="1663">
        <v>42199</v>
      </c>
      <c r="L142" s="1664" t="s">
        <v>2293</v>
      </c>
      <c r="M142" s="1665">
        <v>5.0788E-2</v>
      </c>
      <c r="N142" s="1666">
        <v>1.0463539034386053</v>
      </c>
      <c r="O142" s="1666">
        <v>1.0463539034386053</v>
      </c>
    </row>
    <row r="143" spans="2:15">
      <c r="B143" s="1546">
        <v>36770</v>
      </c>
      <c r="C143" s="1547">
        <v>193.297</v>
      </c>
      <c r="D143" s="1547">
        <v>1665.93</v>
      </c>
      <c r="E143" s="1547">
        <v>1.0128508890656427</v>
      </c>
      <c r="F143" s="1547">
        <v>5.8340913043663756</v>
      </c>
      <c r="K143" s="1663">
        <v>42200</v>
      </c>
      <c r="L143" s="1664" t="s">
        <v>2293</v>
      </c>
      <c r="M143" s="1665">
        <v>5.0788E-2</v>
      </c>
      <c r="N143" s="1666">
        <v>1.0468853256590838</v>
      </c>
      <c r="O143" s="1666">
        <v>1.0468853256590838</v>
      </c>
    </row>
    <row r="144" spans="2:15">
      <c r="B144" s="1546">
        <v>36800</v>
      </c>
      <c r="C144" s="1547">
        <v>194.04</v>
      </c>
      <c r="D144" s="1547">
        <v>1668.26</v>
      </c>
      <c r="E144" s="1547">
        <v>1.013495295624836</v>
      </c>
      <c r="F144" s="1547">
        <v>5.9128240912210845</v>
      </c>
      <c r="K144" s="1663">
        <v>42201</v>
      </c>
      <c r="L144" s="1664" t="s">
        <v>2293</v>
      </c>
      <c r="M144" s="1665">
        <v>5.0788E-2</v>
      </c>
      <c r="N144" s="1666">
        <v>1.0474170177782796</v>
      </c>
      <c r="O144" s="1666">
        <v>1.0474170177782796</v>
      </c>
    </row>
    <row r="145" spans="2:15">
      <c r="B145" s="1546">
        <v>36831</v>
      </c>
      <c r="C145" s="1547">
        <v>194.59899999999999</v>
      </c>
      <c r="D145" s="1547">
        <v>1673.6</v>
      </c>
      <c r="E145" s="1547">
        <v>1.013431060777086</v>
      </c>
      <c r="F145" s="1547">
        <v>5.992239590954493</v>
      </c>
      <c r="K145" s="1663">
        <v>42202</v>
      </c>
      <c r="L145" s="1664" t="s">
        <v>2293</v>
      </c>
      <c r="M145" s="1665">
        <v>5.0788E-2</v>
      </c>
      <c r="N145" s="1666">
        <v>1.0479489799332689</v>
      </c>
      <c r="O145" s="1666">
        <v>1.0479489799332689</v>
      </c>
    </row>
    <row r="146" spans="2:15">
      <c r="B146" s="1546">
        <v>36861</v>
      </c>
      <c r="C146" s="1547">
        <v>195.827</v>
      </c>
      <c r="D146" s="1547">
        <v>1683.47</v>
      </c>
      <c r="E146" s="1547">
        <v>1.0125716392096709</v>
      </c>
      <c r="F146" s="1547">
        <v>6.0675718651498789</v>
      </c>
      <c r="K146" s="1663">
        <v>42203</v>
      </c>
      <c r="L146" s="1664"/>
      <c r="M146" s="1665">
        <v>0</v>
      </c>
      <c r="N146" s="1666">
        <v>1.0479489799332689</v>
      </c>
      <c r="O146" s="1666">
        <v>1.0479489799332689</v>
      </c>
    </row>
    <row r="147" spans="2:15">
      <c r="B147" s="1546">
        <v>36892</v>
      </c>
      <c r="C147" s="1547">
        <v>197.04499999999999</v>
      </c>
      <c r="D147" s="1547">
        <v>1693.07</v>
      </c>
      <c r="E147" s="1547">
        <v>1.0126506879847863</v>
      </c>
      <c r="F147" s="1547">
        <v>6.144330823641158</v>
      </c>
      <c r="K147" s="1663">
        <v>42204</v>
      </c>
      <c r="L147" s="1664"/>
      <c r="M147" s="1665">
        <v>0</v>
      </c>
      <c r="N147" s="1666">
        <v>1.0479489799332689</v>
      </c>
      <c r="O147" s="1666">
        <v>1.0479489799332689</v>
      </c>
    </row>
    <row r="148" spans="2:15">
      <c r="B148" s="1546">
        <v>36923</v>
      </c>
      <c r="C148" s="1547">
        <v>197.49100000000001</v>
      </c>
      <c r="D148" s="1547">
        <v>1700.86</v>
      </c>
      <c r="E148" s="1547">
        <v>1.0101583510827936</v>
      </c>
      <c r="F148" s="1547">
        <v>6.206747093316535</v>
      </c>
      <c r="K148" s="1663">
        <v>42205</v>
      </c>
      <c r="L148" s="1664" t="s">
        <v>2293</v>
      </c>
      <c r="M148" s="1665">
        <v>5.0788E-2</v>
      </c>
      <c r="N148" s="1666">
        <v>1.0484812122611973</v>
      </c>
      <c r="O148" s="1666">
        <v>1.0484812122611973</v>
      </c>
    </row>
    <row r="149" spans="2:15">
      <c r="B149" s="1546">
        <v>36951</v>
      </c>
      <c r="C149" s="1547">
        <v>198.60599999999999</v>
      </c>
      <c r="D149" s="1547">
        <v>1707.32</v>
      </c>
      <c r="E149" s="1547">
        <v>1.0125785495836725</v>
      </c>
      <c r="F149" s="1547">
        <v>6.2848189693831324</v>
      </c>
      <c r="K149" s="1663">
        <v>42206</v>
      </c>
      <c r="L149" s="1664" t="s">
        <v>2293</v>
      </c>
      <c r="M149" s="1665">
        <v>5.0788E-2</v>
      </c>
      <c r="N149" s="1666">
        <v>1.0490137148992804</v>
      </c>
      <c r="O149" s="1666">
        <v>1.0490137148992804</v>
      </c>
    </row>
    <row r="150" spans="2:15">
      <c r="B150" s="1546">
        <v>36982</v>
      </c>
      <c r="C150" s="1547">
        <v>200.59100000000001</v>
      </c>
      <c r="D150" s="1547">
        <v>1717.22</v>
      </c>
      <c r="E150" s="1547">
        <v>1.0118637336714187</v>
      </c>
      <c r="F150" s="1547">
        <v>6.3593803878089741</v>
      </c>
      <c r="K150" s="1663">
        <v>42207</v>
      </c>
      <c r="L150" s="1664" t="s">
        <v>2293</v>
      </c>
      <c r="M150" s="1665">
        <v>5.0788E-2</v>
      </c>
      <c r="N150" s="1666">
        <v>1.0495464879848035</v>
      </c>
      <c r="O150" s="1666">
        <v>1.0495464879848035</v>
      </c>
    </row>
    <row r="151" spans="2:15">
      <c r="B151" s="1546">
        <v>37012</v>
      </c>
      <c r="C151" s="1547">
        <v>202.32400000000001</v>
      </c>
      <c r="D151" s="1547">
        <v>1724.26</v>
      </c>
      <c r="E151" s="1547">
        <v>1.0133677002760824</v>
      </c>
      <c r="F151" s="1547">
        <v>6.4443906787748011</v>
      </c>
      <c r="K151" s="1663">
        <v>42208</v>
      </c>
      <c r="L151" s="1664" t="s">
        <v>2293</v>
      </c>
      <c r="M151" s="1665">
        <v>5.0788E-2</v>
      </c>
      <c r="N151" s="1666">
        <v>1.0500795316551212</v>
      </c>
      <c r="O151" s="1666">
        <v>1.0500795316551212</v>
      </c>
    </row>
    <row r="152" spans="2:15">
      <c r="B152" s="1546">
        <v>37043</v>
      </c>
      <c r="C152" s="1547">
        <v>204.31</v>
      </c>
      <c r="D152" s="1547">
        <v>1733.23</v>
      </c>
      <c r="E152" s="1547">
        <v>1.0127331554566117</v>
      </c>
      <c r="F152" s="1547">
        <v>6.5264481071107801</v>
      </c>
      <c r="K152" s="1663">
        <v>42209</v>
      </c>
      <c r="L152" s="1664" t="s">
        <v>2293</v>
      </c>
      <c r="M152" s="1665">
        <v>5.0788E-2</v>
      </c>
      <c r="N152" s="1666">
        <v>1.0506128460476583</v>
      </c>
      <c r="O152" s="1666">
        <v>1.0506128460476583</v>
      </c>
    </row>
    <row r="153" spans="2:15">
      <c r="B153" s="1546">
        <v>37073</v>
      </c>
      <c r="C153" s="1547">
        <v>207.34100000000001</v>
      </c>
      <c r="D153" s="1547">
        <v>1756.28</v>
      </c>
      <c r="E153" s="1547">
        <v>1.014979822756394</v>
      </c>
      <c r="F153" s="1547">
        <v>6.6242131429841029</v>
      </c>
      <c r="K153" s="1663">
        <v>42210</v>
      </c>
      <c r="L153" s="1664"/>
      <c r="M153" s="1665">
        <v>0</v>
      </c>
      <c r="N153" s="1666">
        <v>1.0506128460476583</v>
      </c>
      <c r="O153" s="1666">
        <v>1.0506128460476583</v>
      </c>
    </row>
    <row r="154" spans="2:15">
      <c r="B154" s="1546">
        <v>37104</v>
      </c>
      <c r="C154" s="1547">
        <v>210.21100000000001</v>
      </c>
      <c r="D154" s="1547">
        <v>1768.57</v>
      </c>
      <c r="E154" s="1547">
        <v>1.0160000122718875</v>
      </c>
      <c r="F154" s="1547">
        <v>6.7302006345634471</v>
      </c>
      <c r="K154" s="1663">
        <v>42211</v>
      </c>
      <c r="L154" s="1664"/>
      <c r="M154" s="1665">
        <v>0</v>
      </c>
      <c r="N154" s="1666">
        <v>1.0506128460476583</v>
      </c>
      <c r="O154" s="1666">
        <v>1.0506128460476583</v>
      </c>
    </row>
    <row r="155" spans="2:15">
      <c r="B155" s="1546">
        <v>37135</v>
      </c>
      <c r="C155" s="1547">
        <v>210.85300000000001</v>
      </c>
      <c r="D155" s="1547">
        <v>1773.52</v>
      </c>
      <c r="E155" s="1547">
        <v>1.013243107438228</v>
      </c>
      <c r="F155" s="1547">
        <v>6.8193294046478012</v>
      </c>
      <c r="K155" s="1663">
        <v>42212</v>
      </c>
      <c r="L155" s="1664" t="s">
        <v>2293</v>
      </c>
      <c r="M155" s="1665">
        <v>5.0788E-2</v>
      </c>
      <c r="N155" s="1666">
        <v>1.051146431299909</v>
      </c>
      <c r="O155" s="1666">
        <v>1.051146431299909</v>
      </c>
    </row>
    <row r="156" spans="2:15">
      <c r="B156" s="1546">
        <v>37165</v>
      </c>
      <c r="C156" s="1547">
        <v>213.339</v>
      </c>
      <c r="D156" s="1547">
        <v>1788.24</v>
      </c>
      <c r="E156" s="1547">
        <v>1.0153493751182632</v>
      </c>
      <c r="F156" s="1547">
        <v>6.9240018497347426</v>
      </c>
      <c r="K156" s="1663">
        <v>42213</v>
      </c>
      <c r="L156" s="1664" t="s">
        <v>2293</v>
      </c>
      <c r="M156" s="1665">
        <v>5.0788E-2</v>
      </c>
      <c r="N156" s="1666">
        <v>1.0516802875494375</v>
      </c>
      <c r="O156" s="1666">
        <v>1.0516802875494375</v>
      </c>
    </row>
    <row r="157" spans="2:15">
      <c r="B157" s="1546">
        <v>37196</v>
      </c>
      <c r="C157" s="1547">
        <v>215.685</v>
      </c>
      <c r="D157" s="1547">
        <v>1800.94</v>
      </c>
      <c r="E157" s="1547">
        <v>1.0139343824698488</v>
      </c>
      <c r="F157" s="1547">
        <v>7.0204835397308871</v>
      </c>
      <c r="K157" s="1663">
        <v>42214</v>
      </c>
      <c r="L157" s="1664" t="s">
        <v>2293</v>
      </c>
      <c r="M157" s="1665">
        <v>5.0788E-2</v>
      </c>
      <c r="N157" s="1666">
        <v>1.0522144149338781</v>
      </c>
      <c r="O157" s="1666">
        <v>1.0522144149338781</v>
      </c>
    </row>
    <row r="158" spans="2:15">
      <c r="B158" s="1546">
        <v>37226</v>
      </c>
      <c r="C158" s="1547">
        <v>216.16300000000001</v>
      </c>
      <c r="D158" s="1547">
        <v>1812.65</v>
      </c>
      <c r="E158" s="1547">
        <v>1.0139354159682339</v>
      </c>
      <c r="F158" s="1547">
        <v>7.1183168981551761</v>
      </c>
      <c r="K158" s="1663">
        <v>42215</v>
      </c>
      <c r="L158" s="1664" t="s">
        <v>2293</v>
      </c>
      <c r="M158" s="1665">
        <v>5.2531000000000001E-2</v>
      </c>
      <c r="N158" s="1666">
        <v>1.0527671536881871</v>
      </c>
      <c r="O158" s="1666">
        <v>1.0527671536881871</v>
      </c>
    </row>
    <row r="159" spans="2:15">
      <c r="B159" s="1546">
        <v>37257</v>
      </c>
      <c r="C159" s="1547">
        <v>216.94399999999999</v>
      </c>
      <c r="D159" s="1547">
        <v>1822.08</v>
      </c>
      <c r="E159" s="1547">
        <v>1.0153395939759675</v>
      </c>
      <c r="F159" s="1547">
        <v>7.2275089891651447</v>
      </c>
      <c r="K159" s="1663">
        <v>42216</v>
      </c>
      <c r="L159" s="1664" t="s">
        <v>2293</v>
      </c>
      <c r="M159" s="1665">
        <v>5.2531000000000001E-2</v>
      </c>
      <c r="N159" s="1666">
        <v>1.0533201828016909</v>
      </c>
      <c r="O159" s="1666">
        <v>1.0533201828016909</v>
      </c>
    </row>
    <row r="160" spans="2:15">
      <c r="B160" s="1546">
        <v>37288</v>
      </c>
      <c r="C160" s="1547">
        <v>217.07400000000001</v>
      </c>
      <c r="D160" s="1547">
        <v>1828.64</v>
      </c>
      <c r="E160" s="1547">
        <v>1.012482154231837</v>
      </c>
      <c r="F160" s="1547">
        <v>7.3177238710798918</v>
      </c>
      <c r="K160" s="1663">
        <v>42217</v>
      </c>
      <c r="L160" s="1664"/>
      <c r="M160" s="1665">
        <v>0</v>
      </c>
      <c r="N160" s="1666">
        <v>1.0533201828016909</v>
      </c>
      <c r="O160" s="1666">
        <v>1.0533201828016909</v>
      </c>
    </row>
    <row r="161" spans="2:15">
      <c r="B161" s="1546">
        <v>37316</v>
      </c>
      <c r="C161" s="1547">
        <v>217.27600000000001</v>
      </c>
      <c r="D161" s="1547">
        <v>1839.61</v>
      </c>
      <c r="E161" s="1547">
        <v>1.013713327882185</v>
      </c>
      <c r="F161" s="1547">
        <v>7.4180742178753025</v>
      </c>
      <c r="K161" s="1663">
        <v>42218</v>
      </c>
      <c r="L161" s="1664"/>
      <c r="M161" s="1665">
        <v>0</v>
      </c>
      <c r="N161" s="1666">
        <v>1.0533201828016909</v>
      </c>
      <c r="O161" s="1666">
        <v>1.0533201828016909</v>
      </c>
    </row>
    <row r="162" spans="2:15">
      <c r="B162" s="1546">
        <v>37347</v>
      </c>
      <c r="C162" s="1547">
        <v>218.48599999999999</v>
      </c>
      <c r="D162" s="1547">
        <v>1854.33</v>
      </c>
      <c r="E162" s="1547">
        <v>1.0148356719718208</v>
      </c>
      <c r="F162" s="1547">
        <v>7.5281263336343214</v>
      </c>
      <c r="K162" s="1663">
        <v>42219</v>
      </c>
      <c r="L162" s="1664" t="s">
        <v>2293</v>
      </c>
      <c r="M162" s="1665">
        <v>5.2531000000000001E-2</v>
      </c>
      <c r="N162" s="1666">
        <v>1.0538735024269186</v>
      </c>
      <c r="O162" s="1666">
        <v>1.0538735024269186</v>
      </c>
    </row>
    <row r="163" spans="2:15">
      <c r="B163" s="1546">
        <v>37377</v>
      </c>
      <c r="C163" s="1547">
        <v>220.292</v>
      </c>
      <c r="D163" s="1547">
        <v>1858.22</v>
      </c>
      <c r="E163" s="1547">
        <v>1.0141498936566418</v>
      </c>
      <c r="F163" s="1547">
        <v>7.6346485206890113</v>
      </c>
      <c r="K163" s="1663">
        <v>42220</v>
      </c>
      <c r="L163" s="1664" t="s">
        <v>2293</v>
      </c>
      <c r="M163" s="1665">
        <v>5.2531000000000001E-2</v>
      </c>
      <c r="N163" s="1666">
        <v>1.0544271127164784</v>
      </c>
      <c r="O163" s="1666">
        <v>1.0544271127164784</v>
      </c>
    </row>
    <row r="164" spans="2:15">
      <c r="B164" s="1546">
        <v>37408</v>
      </c>
      <c r="C164" s="1547">
        <v>223.68799999999999</v>
      </c>
      <c r="D164" s="1547">
        <v>1866.02</v>
      </c>
      <c r="E164" s="1547">
        <v>1.0132903281280037</v>
      </c>
      <c r="F164" s="1547">
        <v>7.7361155046709458</v>
      </c>
      <c r="K164" s="1663">
        <v>42221</v>
      </c>
      <c r="L164" s="1664" t="s">
        <v>2293</v>
      </c>
      <c r="M164" s="1665">
        <v>5.2531000000000001E-2</v>
      </c>
      <c r="N164" s="1666">
        <v>1.0549810138230595</v>
      </c>
      <c r="O164" s="1666">
        <v>1.0549810138230595</v>
      </c>
    </row>
    <row r="165" spans="2:15">
      <c r="B165" s="1546">
        <v>37438</v>
      </c>
      <c r="C165" s="1547">
        <v>228.05699999999999</v>
      </c>
      <c r="D165" s="1547">
        <v>1888.23</v>
      </c>
      <c r="E165" s="1547">
        <v>1.0153543455443825</v>
      </c>
      <c r="F165" s="1547">
        <v>7.8548984953009189</v>
      </c>
      <c r="K165" s="1663">
        <v>42222</v>
      </c>
      <c r="L165" s="1664" t="s">
        <v>2293</v>
      </c>
      <c r="M165" s="1665">
        <v>5.2531000000000001E-2</v>
      </c>
      <c r="N165" s="1666">
        <v>1.055535205899431</v>
      </c>
      <c r="O165" s="1666">
        <v>1.055535205899431</v>
      </c>
    </row>
    <row r="166" spans="2:15">
      <c r="B166" s="1546">
        <v>37469</v>
      </c>
      <c r="C166" s="1547">
        <v>233.34800000000001</v>
      </c>
      <c r="D166" s="1547">
        <v>1900.5</v>
      </c>
      <c r="E166" s="1547">
        <v>1.0144340404848073</v>
      </c>
      <c r="F166" s="1547">
        <v>7.9682764181861447</v>
      </c>
      <c r="K166" s="1663">
        <v>42223</v>
      </c>
      <c r="L166" s="1664" t="s">
        <v>2293</v>
      </c>
      <c r="M166" s="1665">
        <v>5.2531000000000001E-2</v>
      </c>
      <c r="N166" s="1666">
        <v>1.0560896890984419</v>
      </c>
      <c r="O166" s="1666">
        <v>1.0560896890984419</v>
      </c>
    </row>
    <row r="167" spans="2:15">
      <c r="B167" s="1546">
        <v>37500</v>
      </c>
      <c r="C167" s="1547">
        <v>238.94300000000001</v>
      </c>
      <c r="D167" s="1547">
        <v>1914.18</v>
      </c>
      <c r="E167" s="1547">
        <v>1.0138126637754254</v>
      </c>
      <c r="F167" s="1547">
        <v>8.0783395412202008</v>
      </c>
      <c r="K167" s="1663">
        <v>42224</v>
      </c>
      <c r="L167" s="1664"/>
      <c r="M167" s="1665">
        <v>0</v>
      </c>
      <c r="N167" s="1666">
        <v>1.0560896890984419</v>
      </c>
      <c r="O167" s="1666">
        <v>1.0560896890984419</v>
      </c>
    </row>
    <row r="168" spans="2:15">
      <c r="B168" s="1546">
        <v>37530</v>
      </c>
      <c r="C168" s="1547">
        <v>248.19900000000001</v>
      </c>
      <c r="D168" s="1547">
        <v>1939.26</v>
      </c>
      <c r="E168" s="1547">
        <v>1.0164592520111337</v>
      </c>
      <c r="F168" s="1547">
        <v>8.2113029675606501</v>
      </c>
      <c r="K168" s="1663">
        <v>42225</v>
      </c>
      <c r="L168" s="1664"/>
      <c r="M168" s="1665">
        <v>0</v>
      </c>
      <c r="N168" s="1666">
        <v>1.0560896890984419</v>
      </c>
      <c r="O168" s="1666">
        <v>1.0560896890984419</v>
      </c>
    </row>
    <row r="169" spans="2:15">
      <c r="B169" s="1546">
        <v>37561</v>
      </c>
      <c r="C169" s="1547">
        <v>261.08</v>
      </c>
      <c r="D169" s="1547">
        <v>1997.83</v>
      </c>
      <c r="E169" s="1547">
        <v>1.0154093077816833</v>
      </c>
      <c r="F169" s="1547">
        <v>8.337833462276441</v>
      </c>
      <c r="K169" s="1663">
        <v>42226</v>
      </c>
      <c r="L169" s="1664" t="s">
        <v>2293</v>
      </c>
      <c r="M169" s="1665">
        <v>5.2531000000000001E-2</v>
      </c>
      <c r="N169" s="1666">
        <v>1.0566444635730223</v>
      </c>
      <c r="O169" s="1666">
        <v>1.0566444635730223</v>
      </c>
    </row>
    <row r="170" spans="2:15">
      <c r="B170" s="1546">
        <v>37591</v>
      </c>
      <c r="C170" s="1547">
        <v>270.86700000000002</v>
      </c>
      <c r="D170" s="1547">
        <v>2039.78</v>
      </c>
      <c r="E170" s="1547">
        <v>1.0174244857414556</v>
      </c>
      <c r="F170" s="1547">
        <v>8.483115922554509</v>
      </c>
      <c r="K170" s="1663">
        <v>42227</v>
      </c>
      <c r="L170" s="1664" t="s">
        <v>2293</v>
      </c>
      <c r="M170" s="1665">
        <v>5.2531000000000001E-2</v>
      </c>
      <c r="N170" s="1666">
        <v>1.0571995294761818</v>
      </c>
      <c r="O170" s="1666">
        <v>1.0571995294761818</v>
      </c>
    </row>
    <row r="171" spans="2:15">
      <c r="B171" s="1546">
        <v>37622</v>
      </c>
      <c r="C171" s="1547">
        <v>277.173</v>
      </c>
      <c r="D171" s="1547">
        <v>2085.6799999999998</v>
      </c>
      <c r="E171" s="1547">
        <v>1.0197126646415859</v>
      </c>
      <c r="F171" s="1547">
        <v>8.6503407418515241</v>
      </c>
      <c r="K171" s="1663">
        <v>42228</v>
      </c>
      <c r="L171" s="1664" t="s">
        <v>2293</v>
      </c>
      <c r="M171" s="1665">
        <v>5.2531000000000001E-2</v>
      </c>
      <c r="N171" s="1666">
        <v>1.0577548869610109</v>
      </c>
      <c r="O171" s="1666">
        <v>1.0577548869610109</v>
      </c>
    </row>
    <row r="172" spans="2:15">
      <c r="B172" s="1546">
        <v>37653</v>
      </c>
      <c r="C172" s="1547">
        <v>283.50599999999997</v>
      </c>
      <c r="D172" s="1547">
        <v>2118.4299999999998</v>
      </c>
      <c r="E172" s="1547">
        <v>1.0183037986307939</v>
      </c>
      <c r="F172" s="1547">
        <v>8.8086748368781276</v>
      </c>
      <c r="K172" s="1663">
        <v>42229</v>
      </c>
      <c r="L172" s="1664" t="s">
        <v>2293</v>
      </c>
      <c r="M172" s="1665">
        <v>5.2531000000000001E-2</v>
      </c>
      <c r="N172" s="1666">
        <v>1.0583105361806804</v>
      </c>
      <c r="O172" s="1666">
        <v>1.0583105361806804</v>
      </c>
    </row>
    <row r="173" spans="2:15">
      <c r="B173" s="1546">
        <v>37681</v>
      </c>
      <c r="C173" s="1547">
        <v>287.85500000000002</v>
      </c>
      <c r="D173" s="1547">
        <v>2144.4899999999998</v>
      </c>
      <c r="E173" s="1547">
        <v>1.0177701866474056</v>
      </c>
      <c r="F173" s="1547">
        <v>8.9652066328457565</v>
      </c>
      <c r="K173" s="1663">
        <v>42230</v>
      </c>
      <c r="L173" s="1664" t="s">
        <v>2293</v>
      </c>
      <c r="M173" s="1665">
        <v>5.2531000000000001E-2</v>
      </c>
      <c r="N173" s="1666">
        <v>1.0588664772884415</v>
      </c>
      <c r="O173" s="1666">
        <v>1.0588664772884415</v>
      </c>
    </row>
    <row r="174" spans="2:15">
      <c r="B174" s="1546">
        <v>37712</v>
      </c>
      <c r="C174" s="1547">
        <v>290.512</v>
      </c>
      <c r="D174" s="1547">
        <v>2165.29</v>
      </c>
      <c r="E174" s="1547">
        <v>1.0187159495984839</v>
      </c>
      <c r="F174" s="1547">
        <v>9.1329989883260918</v>
      </c>
      <c r="K174" s="1663">
        <v>42231</v>
      </c>
      <c r="L174" s="1664"/>
      <c r="M174" s="1665">
        <v>0</v>
      </c>
      <c r="N174" s="1666">
        <v>1.0588664772884415</v>
      </c>
      <c r="O174" s="1666">
        <v>1.0588664772884415</v>
      </c>
    </row>
    <row r="175" spans="2:15">
      <c r="B175" s="1546">
        <v>37742</v>
      </c>
      <c r="C175" s="1547">
        <v>289.74700000000001</v>
      </c>
      <c r="D175" s="1547">
        <v>2178.5</v>
      </c>
      <c r="E175" s="1547">
        <v>1.0196535248447016</v>
      </c>
      <c r="F175" s="1547">
        <v>9.312494610849793</v>
      </c>
      <c r="K175" s="1663">
        <v>42232</v>
      </c>
      <c r="L175" s="1664"/>
      <c r="M175" s="1665">
        <v>0</v>
      </c>
      <c r="N175" s="1666">
        <v>1.0588664772884415</v>
      </c>
      <c r="O175" s="1666">
        <v>1.0588664772884415</v>
      </c>
    </row>
    <row r="176" spans="2:15">
      <c r="B176" s="1546">
        <v>37773</v>
      </c>
      <c r="C176" s="1547">
        <v>286.84300000000002</v>
      </c>
      <c r="D176" s="1547">
        <v>2175.23</v>
      </c>
      <c r="E176" s="1547">
        <v>1.0185667947451373</v>
      </c>
      <c r="F176" s="1547">
        <v>9.4853977868546391</v>
      </c>
      <c r="K176" s="1663">
        <v>42233</v>
      </c>
      <c r="L176" s="1664" t="s">
        <v>2293</v>
      </c>
      <c r="M176" s="1665">
        <v>5.2531000000000001E-2</v>
      </c>
      <c r="N176" s="1666">
        <v>1.0594227104376259</v>
      </c>
      <c r="O176" s="1666">
        <v>1.0594227104376259</v>
      </c>
    </row>
    <row r="177" spans="2:15">
      <c r="B177" s="1546">
        <v>37803</v>
      </c>
      <c r="C177" s="1547">
        <v>285.649</v>
      </c>
      <c r="D177" s="1547">
        <v>2179.58</v>
      </c>
      <c r="E177" s="1547">
        <v>1.0208424747911398</v>
      </c>
      <c r="F177" s="1547">
        <v>9.6830969511110894</v>
      </c>
      <c r="K177" s="1663">
        <v>42234</v>
      </c>
      <c r="L177" s="1664" t="s">
        <v>2293</v>
      </c>
      <c r="M177" s="1665">
        <v>5.2531000000000001E-2</v>
      </c>
      <c r="N177" s="1666">
        <v>1.059979235781646</v>
      </c>
      <c r="O177" s="1666">
        <v>1.059979235781646</v>
      </c>
    </row>
    <row r="178" spans="2:15">
      <c r="B178" s="1546">
        <v>37834</v>
      </c>
      <c r="C178" s="1547">
        <v>286.73500000000001</v>
      </c>
      <c r="D178" s="1547">
        <v>2186.9899999999998</v>
      </c>
      <c r="E178" s="1547">
        <v>1.0177426111342931</v>
      </c>
      <c r="F178" s="1547">
        <v>9.8549003748903132</v>
      </c>
      <c r="K178" s="1663">
        <v>42235</v>
      </c>
      <c r="L178" s="1664" t="s">
        <v>2293</v>
      </c>
      <c r="M178" s="1665">
        <v>5.2531000000000001E-2</v>
      </c>
      <c r="N178" s="1666">
        <v>1.0605360534739945</v>
      </c>
      <c r="O178" s="1666">
        <v>1.0605360534739945</v>
      </c>
    </row>
    <row r="179" spans="2:15">
      <c r="B179" s="1546">
        <v>37865</v>
      </c>
      <c r="C179" s="1547">
        <v>290.12700000000001</v>
      </c>
      <c r="D179" s="1547">
        <v>2204.0500000000002</v>
      </c>
      <c r="E179" s="1547">
        <v>1.0167950902831471</v>
      </c>
      <c r="F179" s="1547">
        <v>10.020414316418016</v>
      </c>
      <c r="K179" s="1663">
        <v>42236</v>
      </c>
      <c r="L179" s="1664" t="s">
        <v>2293</v>
      </c>
      <c r="M179" s="1665">
        <v>5.2531000000000001E-2</v>
      </c>
      <c r="N179" s="1666">
        <v>1.061093163668245</v>
      </c>
      <c r="O179" s="1666">
        <v>1.061093163668245</v>
      </c>
    </row>
    <row r="180" spans="2:15">
      <c r="B180" s="1546">
        <v>37895</v>
      </c>
      <c r="C180" s="1547">
        <v>291.22899999999998</v>
      </c>
      <c r="D180" s="1547">
        <v>2210.44</v>
      </c>
      <c r="E180" s="1547">
        <v>1.0164205992977207</v>
      </c>
      <c r="F180" s="1547">
        <v>10.18495552470506</v>
      </c>
      <c r="K180" s="1663">
        <v>42237</v>
      </c>
      <c r="L180" s="1664" t="s">
        <v>2293</v>
      </c>
      <c r="M180" s="1665">
        <v>5.2531000000000001E-2</v>
      </c>
      <c r="N180" s="1666">
        <v>1.0616505665180516</v>
      </c>
      <c r="O180" s="1666">
        <v>1.0616505665180516</v>
      </c>
    </row>
    <row r="181" spans="2:15">
      <c r="B181" s="1546">
        <v>37926</v>
      </c>
      <c r="C181" s="1547">
        <v>292.65699999999998</v>
      </c>
      <c r="D181" s="1547">
        <v>2217.96</v>
      </c>
      <c r="E181" s="1547">
        <v>1.0134353138584866</v>
      </c>
      <c r="F181" s="1547">
        <v>10.3217935988142</v>
      </c>
      <c r="K181" s="1663">
        <v>42238</v>
      </c>
      <c r="L181" s="1664"/>
      <c r="M181" s="1665">
        <v>0</v>
      </c>
      <c r="N181" s="1666">
        <v>1.0616505665180516</v>
      </c>
      <c r="O181" s="1666">
        <v>1.0616505665180516</v>
      </c>
    </row>
    <row r="182" spans="2:15">
      <c r="B182" s="1546">
        <v>37956</v>
      </c>
      <c r="C182" s="1547">
        <v>294.45499999999998</v>
      </c>
      <c r="D182" s="1547">
        <v>2229.4899999999998</v>
      </c>
      <c r="E182" s="1547">
        <v>1.0137325047762002</v>
      </c>
      <c r="F182" s="1547">
        <v>10.463537678708869</v>
      </c>
      <c r="K182" s="1663">
        <v>42239</v>
      </c>
      <c r="L182" s="1664"/>
      <c r="M182" s="1665">
        <v>0</v>
      </c>
      <c r="N182" s="1666">
        <v>1.0616505665180516</v>
      </c>
      <c r="O182" s="1666">
        <v>1.0616505665180516</v>
      </c>
    </row>
    <row r="183" spans="2:15">
      <c r="B183" s="1546">
        <v>37987</v>
      </c>
      <c r="C183" s="1547">
        <v>297.03899999999999</v>
      </c>
      <c r="D183" s="1547">
        <v>2246.4299999999998</v>
      </c>
      <c r="E183" s="1547">
        <v>1.0126755135884871</v>
      </c>
      <c r="F183" s="1547">
        <v>10.59616839273899</v>
      </c>
      <c r="K183" s="1663">
        <v>42240</v>
      </c>
      <c r="L183" s="1664" t="s">
        <v>2293</v>
      </c>
      <c r="M183" s="1665">
        <v>5.2531000000000001E-2</v>
      </c>
      <c r="N183" s="1666">
        <v>1.0622082621771491</v>
      </c>
      <c r="O183" s="1666">
        <v>1.0622082621771491</v>
      </c>
    </row>
    <row r="184" spans="2:15">
      <c r="B184" s="1546">
        <v>38018</v>
      </c>
      <c r="C184" s="1547">
        <v>299.09699999999998</v>
      </c>
      <c r="D184" s="1547">
        <v>2260.13</v>
      </c>
      <c r="E184" s="1547">
        <v>1.0108439419169848</v>
      </c>
      <c r="F184" s="1547">
        <v>10.711072627332442</v>
      </c>
      <c r="K184" s="1663">
        <v>42241</v>
      </c>
      <c r="L184" s="1664" t="s">
        <v>2293</v>
      </c>
      <c r="M184" s="1665">
        <v>5.2531000000000001E-2</v>
      </c>
      <c r="N184" s="1666">
        <v>1.0627662507993534</v>
      </c>
      <c r="O184" s="1666">
        <v>1.0627662507993534</v>
      </c>
    </row>
    <row r="185" spans="2:15">
      <c r="B185" s="1546">
        <v>38047</v>
      </c>
      <c r="C185" s="1547">
        <v>302.48399999999998</v>
      </c>
      <c r="D185" s="1547">
        <v>2270.75</v>
      </c>
      <c r="E185" s="1547">
        <v>1.0137912342986635</v>
      </c>
      <c r="F185" s="1547">
        <v>10.858791539525985</v>
      </c>
      <c r="K185" s="1663">
        <v>42242</v>
      </c>
      <c r="L185" s="1664" t="s">
        <v>2293</v>
      </c>
      <c r="M185" s="1665">
        <v>5.2531000000000001E-2</v>
      </c>
      <c r="N185" s="1666">
        <v>1.0633245325385607</v>
      </c>
      <c r="O185" s="1666">
        <v>1.0633245325385607</v>
      </c>
    </row>
    <row r="186" spans="2:15">
      <c r="B186" s="1546">
        <v>38078</v>
      </c>
      <c r="C186" s="1547">
        <v>306.15100000000001</v>
      </c>
      <c r="D186" s="1547">
        <v>2279.15</v>
      </c>
      <c r="E186" s="1547">
        <v>1.011818501098614</v>
      </c>
      <c r="F186" s="1547">
        <v>10.987126179265493</v>
      </c>
      <c r="K186" s="1663">
        <v>42243</v>
      </c>
      <c r="L186" s="1664" t="s">
        <v>2293</v>
      </c>
      <c r="M186" s="1665">
        <v>5.2531000000000001E-2</v>
      </c>
      <c r="N186" s="1666">
        <v>1.0638831075487485</v>
      </c>
      <c r="O186" s="1666">
        <v>1.0638831075487485</v>
      </c>
    </row>
    <row r="187" spans="2:15">
      <c r="B187" s="1546">
        <v>38108</v>
      </c>
      <c r="C187" s="1547">
        <v>310.15199999999999</v>
      </c>
      <c r="D187" s="1547">
        <v>2290.77</v>
      </c>
      <c r="E187" s="1547">
        <v>1.0122780474663127</v>
      </c>
      <c r="F187" s="1547">
        <v>11.122026636012881</v>
      </c>
      <c r="K187" s="1663">
        <v>42244</v>
      </c>
      <c r="L187" s="1664" t="s">
        <v>2293</v>
      </c>
      <c r="M187" s="1665">
        <v>5.2531000000000001E-2</v>
      </c>
      <c r="N187" s="1666">
        <v>1.0644419759839749</v>
      </c>
      <c r="O187" s="1666">
        <v>1.0644419759839749</v>
      </c>
    </row>
    <row r="188" spans="2:15">
      <c r="B188" s="1546">
        <v>38139</v>
      </c>
      <c r="C188" s="1547">
        <v>314.41899999999998</v>
      </c>
      <c r="D188" s="1547">
        <v>2307.0300000000002</v>
      </c>
      <c r="E188" s="1547">
        <v>1.0122988884857291</v>
      </c>
      <c r="F188" s="1547">
        <v>11.258815201344513</v>
      </c>
      <c r="K188" s="1663">
        <v>42245</v>
      </c>
      <c r="L188" s="1664"/>
      <c r="M188" s="1665">
        <v>0</v>
      </c>
      <c r="N188" s="1666">
        <v>1.0644419759839749</v>
      </c>
      <c r="O188" s="1666">
        <v>1.0644419759839749</v>
      </c>
    </row>
    <row r="189" spans="2:15">
      <c r="B189" s="1546">
        <v>38169</v>
      </c>
      <c r="C189" s="1547">
        <v>318.53199999999998</v>
      </c>
      <c r="D189" s="1547">
        <v>2328.02</v>
      </c>
      <c r="E189" s="1547">
        <v>1.012868893920805</v>
      </c>
      <c r="F189" s="1547">
        <v>11.403703699844563</v>
      </c>
      <c r="K189" s="1663">
        <v>42246</v>
      </c>
      <c r="L189" s="1664"/>
      <c r="M189" s="1665">
        <v>0</v>
      </c>
      <c r="N189" s="1666">
        <v>1.0644419759839749</v>
      </c>
      <c r="O189" s="1666">
        <v>1.0644419759839749</v>
      </c>
    </row>
    <row r="190" spans="2:15">
      <c r="B190" s="1546">
        <v>38200</v>
      </c>
      <c r="C190" s="1547">
        <v>322.41199999999998</v>
      </c>
      <c r="D190" s="1547">
        <v>2344.08</v>
      </c>
      <c r="E190" s="1547">
        <v>1.0129358583775749</v>
      </c>
      <c r="F190" s="1547">
        <v>11.551220395885579</v>
      </c>
      <c r="K190" s="1663">
        <v>42247</v>
      </c>
      <c r="L190" s="1664" t="s">
        <v>2293</v>
      </c>
      <c r="M190" s="1665">
        <v>5.2531000000000001E-2</v>
      </c>
      <c r="N190" s="1666">
        <v>1.065001137998379</v>
      </c>
      <c r="O190" s="1666">
        <v>1.065001137998379</v>
      </c>
    </row>
    <row r="191" spans="2:15">
      <c r="B191" s="1546">
        <v>38231</v>
      </c>
      <c r="C191" s="1547">
        <v>324.65100000000001</v>
      </c>
      <c r="D191" s="1547">
        <v>2351.8200000000002</v>
      </c>
      <c r="E191" s="1547">
        <v>1.0125132709021758</v>
      </c>
      <c r="F191" s="1547">
        <v>11.695763945950034</v>
      </c>
      <c r="K191" s="1663">
        <v>42248</v>
      </c>
      <c r="L191" s="1664" t="s">
        <v>2293</v>
      </c>
      <c r="M191" s="1665">
        <v>5.2531000000000001E-2</v>
      </c>
      <c r="N191" s="1666">
        <v>1.065560593746181</v>
      </c>
      <c r="O191" s="1666">
        <v>1.065560593746181</v>
      </c>
    </row>
    <row r="192" spans="2:15">
      <c r="B192" s="1546">
        <v>38261</v>
      </c>
      <c r="C192" s="1547">
        <v>325.92500000000001</v>
      </c>
      <c r="D192" s="1547">
        <v>2362.17</v>
      </c>
      <c r="E192" s="1547">
        <v>1.0121322386789289</v>
      </c>
      <c r="F192" s="1547">
        <v>11.837659745674712</v>
      </c>
      <c r="K192" s="1663">
        <v>42249</v>
      </c>
      <c r="L192" s="1664" t="s">
        <v>2293</v>
      </c>
      <c r="M192" s="1665">
        <v>5.2531000000000001E-2</v>
      </c>
      <c r="N192" s="1666">
        <v>1.0661203433816817</v>
      </c>
      <c r="O192" s="1666">
        <v>1.0661203433816817</v>
      </c>
    </row>
    <row r="193" spans="2:15">
      <c r="B193" s="1546">
        <v>38292</v>
      </c>
      <c r="C193" s="1547">
        <v>328.58800000000002</v>
      </c>
      <c r="D193" s="1547">
        <v>2378.4699999999998</v>
      </c>
      <c r="E193" s="1547">
        <v>1.0125098562166484</v>
      </c>
      <c r="F193" s="1547">
        <v>11.985747167034708</v>
      </c>
      <c r="K193" s="1663">
        <v>42250</v>
      </c>
      <c r="L193" s="1664" t="s">
        <v>2293</v>
      </c>
      <c r="M193" s="1665">
        <v>5.2531000000000001E-2</v>
      </c>
      <c r="N193" s="1666">
        <v>1.0666803870592636</v>
      </c>
      <c r="O193" s="1666">
        <v>1.0666803870592636</v>
      </c>
    </row>
    <row r="194" spans="2:15">
      <c r="B194" s="1546">
        <v>38322</v>
      </c>
      <c r="C194" s="1547">
        <v>331.005</v>
      </c>
      <c r="D194" s="1547">
        <v>2398.92</v>
      </c>
      <c r="E194" s="1547">
        <v>1.0148282315457626</v>
      </c>
      <c r="F194" s="1547">
        <v>12.163474601276468</v>
      </c>
      <c r="K194" s="1663">
        <v>42251</v>
      </c>
      <c r="L194" s="1664" t="s">
        <v>2293</v>
      </c>
      <c r="M194" s="1665">
        <v>5.2531000000000001E-2</v>
      </c>
      <c r="N194" s="1666">
        <v>1.0672407249333897</v>
      </c>
      <c r="O194" s="1666">
        <v>1.0672407249333897</v>
      </c>
    </row>
    <row r="195" spans="2:15">
      <c r="B195" s="1546">
        <v>38353</v>
      </c>
      <c r="C195" s="1547">
        <v>332.298</v>
      </c>
      <c r="D195" s="1547">
        <v>2412.83</v>
      </c>
      <c r="E195" s="1547">
        <v>1.0138388229391033</v>
      </c>
      <c r="F195" s="1547">
        <v>12.331802772607814</v>
      </c>
      <c r="K195" s="1663">
        <v>42252</v>
      </c>
      <c r="L195" s="1664"/>
      <c r="M195" s="1665">
        <v>0</v>
      </c>
      <c r="N195" s="1666">
        <v>1.0672407249333897</v>
      </c>
      <c r="O195" s="1666">
        <v>1.0672407249333897</v>
      </c>
    </row>
    <row r="196" spans="2:15">
      <c r="B196" s="1546">
        <v>38384</v>
      </c>
      <c r="C196" s="1547">
        <v>333.28800000000001</v>
      </c>
      <c r="D196" s="1547">
        <v>2427.0700000000002</v>
      </c>
      <c r="E196" s="1547">
        <v>1.0121818576713373</v>
      </c>
      <c r="F196" s="1547">
        <v>12.482027038814724</v>
      </c>
      <c r="K196" s="1663">
        <v>42253</v>
      </c>
      <c r="L196" s="1664"/>
      <c r="M196" s="1665">
        <v>0</v>
      </c>
      <c r="N196" s="1666">
        <v>1.0672407249333897</v>
      </c>
      <c r="O196" s="1666">
        <v>1.0672407249333897</v>
      </c>
    </row>
    <row r="197" spans="2:15">
      <c r="B197" s="1546">
        <v>38412</v>
      </c>
      <c r="C197" s="1547">
        <v>336.12299999999999</v>
      </c>
      <c r="D197" s="1547">
        <v>2441.87</v>
      </c>
      <c r="E197" s="1547">
        <v>1.0152817807540921</v>
      </c>
      <c r="F197" s="1547">
        <v>12.672774639388541</v>
      </c>
      <c r="G197" s="67"/>
      <c r="K197" s="1663">
        <v>42254</v>
      </c>
      <c r="L197" s="1664"/>
      <c r="M197" s="1665">
        <v>0</v>
      </c>
      <c r="N197" s="1666">
        <v>1.0672407249333897</v>
      </c>
      <c r="O197" s="1666">
        <v>1.0672407249333897</v>
      </c>
    </row>
    <row r="198" spans="2:15">
      <c r="B198" s="1546">
        <v>38443</v>
      </c>
      <c r="C198" s="1547">
        <v>339.03</v>
      </c>
      <c r="D198" s="1547">
        <v>2463.11</v>
      </c>
      <c r="E198" s="1547">
        <v>1.0141152901477553</v>
      </c>
      <c r="F198" s="1547">
        <v>12.851654530400625</v>
      </c>
      <c r="K198" s="1663">
        <v>42255</v>
      </c>
      <c r="L198" s="1664" t="s">
        <v>2293</v>
      </c>
      <c r="M198" s="1665">
        <v>5.2531000000000001E-2</v>
      </c>
      <c r="N198" s="1666">
        <v>1.0678013571586045</v>
      </c>
      <c r="O198" s="1666">
        <v>1.0678013571586045</v>
      </c>
    </row>
    <row r="199" spans="2:15">
      <c r="B199" s="1546">
        <v>38473</v>
      </c>
      <c r="C199" s="1547">
        <v>338.29899999999998</v>
      </c>
      <c r="D199" s="1547">
        <v>2475.1799999999998</v>
      </c>
      <c r="E199" s="1547">
        <v>1.0150306502044895</v>
      </c>
      <c r="F199" s="1547">
        <v>13.044823254196018</v>
      </c>
      <c r="K199" s="1663">
        <v>42256</v>
      </c>
      <c r="L199" s="1664" t="s">
        <v>2293</v>
      </c>
      <c r="M199" s="1665">
        <v>5.2531000000000001E-2</v>
      </c>
      <c r="N199" s="1666">
        <v>1.0683622838895335</v>
      </c>
      <c r="O199" s="1666">
        <v>1.0683622838895335</v>
      </c>
    </row>
    <row r="200" spans="2:15">
      <c r="B200" s="1546">
        <v>38504</v>
      </c>
      <c r="C200" s="1547">
        <v>336.80099999999999</v>
      </c>
      <c r="D200" s="1547">
        <v>2474.6799999999998</v>
      </c>
      <c r="E200" s="1547">
        <v>1.0158560276185216</v>
      </c>
      <c r="F200" s="1547">
        <v>13.251662331993282</v>
      </c>
      <c r="K200" s="1663">
        <v>42257</v>
      </c>
      <c r="L200" s="1664" t="s">
        <v>2293</v>
      </c>
      <c r="M200" s="1665">
        <v>5.2531000000000001E-2</v>
      </c>
      <c r="N200" s="1666">
        <v>1.0689235052808834</v>
      </c>
      <c r="O200" s="1666">
        <v>1.0689235052808834</v>
      </c>
    </row>
    <row r="201" spans="2:15">
      <c r="B201" s="1546">
        <v>38534</v>
      </c>
      <c r="C201" s="1547">
        <v>335.66300000000001</v>
      </c>
      <c r="D201" s="1547">
        <v>2480.87</v>
      </c>
      <c r="E201" s="1547">
        <v>1.0151134516871545</v>
      </c>
      <c r="F201" s="1547">
        <v>13.451940690422347</v>
      </c>
      <c r="K201" s="1663">
        <v>42258</v>
      </c>
      <c r="L201" s="1664" t="s">
        <v>2293</v>
      </c>
      <c r="M201" s="1665">
        <v>5.2531000000000001E-2</v>
      </c>
      <c r="N201" s="1666">
        <v>1.0694850214874425</v>
      </c>
      <c r="O201" s="1666">
        <v>1.0694850214874425</v>
      </c>
    </row>
    <row r="202" spans="2:15">
      <c r="B202" s="1546">
        <v>38565</v>
      </c>
      <c r="C202" s="1547">
        <v>333.47399999999999</v>
      </c>
      <c r="D202" s="1547">
        <v>2485.09</v>
      </c>
      <c r="E202" s="1547">
        <v>1.0165848332092207</v>
      </c>
      <c r="F202" s="1547">
        <v>13.675038883113331</v>
      </c>
      <c r="K202" s="1663">
        <v>42259</v>
      </c>
      <c r="L202" s="1664"/>
      <c r="M202" s="1665">
        <v>0</v>
      </c>
      <c r="N202" s="1666">
        <v>1.0694850214874425</v>
      </c>
      <c r="O202" s="1666">
        <v>1.0694850214874425</v>
      </c>
    </row>
    <row r="203" spans="2:15">
      <c r="B203" s="1546">
        <v>38596</v>
      </c>
      <c r="C203" s="1547">
        <v>331.69</v>
      </c>
      <c r="D203" s="1547">
        <v>2493.79</v>
      </c>
      <c r="E203" s="1547">
        <v>1.0150313602253485</v>
      </c>
      <c r="F203" s="1547">
        <v>13.880593318661054</v>
      </c>
      <c r="K203" s="1663">
        <v>42260</v>
      </c>
      <c r="L203" s="1664"/>
      <c r="M203" s="1665">
        <v>0</v>
      </c>
      <c r="N203" s="1666">
        <v>1.0694850214874425</v>
      </c>
      <c r="O203" s="1666">
        <v>1.0694850214874425</v>
      </c>
    </row>
    <row r="204" spans="2:15">
      <c r="B204" s="1546">
        <v>38626</v>
      </c>
      <c r="C204" s="1547">
        <v>333.69400000000002</v>
      </c>
      <c r="D204" s="1547">
        <v>2512.4899999999998</v>
      </c>
      <c r="E204" s="1547">
        <v>1.0140716431638075</v>
      </c>
      <c r="F204" s="1547">
        <v>14.075916074743184</v>
      </c>
      <c r="K204" s="1663">
        <v>42261</v>
      </c>
      <c r="L204" s="1664" t="s">
        <v>2293</v>
      </c>
      <c r="M204" s="1665">
        <v>5.2531000000000001E-2</v>
      </c>
      <c r="N204" s="1666">
        <v>1.0700468326640802</v>
      </c>
      <c r="O204" s="1666">
        <v>1.0700468326640802</v>
      </c>
    </row>
    <row r="205" spans="2:15">
      <c r="B205" s="1546">
        <v>38657</v>
      </c>
      <c r="C205" s="1547">
        <v>335.03300000000002</v>
      </c>
      <c r="D205" s="1547">
        <v>2526.31</v>
      </c>
      <c r="E205" s="1547">
        <v>1.0138104099310956</v>
      </c>
      <c r="F205" s="1547">
        <v>14.270310245891086</v>
      </c>
      <c r="K205" s="1663">
        <v>42262</v>
      </c>
      <c r="L205" s="1664" t="s">
        <v>2293</v>
      </c>
      <c r="M205" s="1665">
        <v>5.2531000000000001E-2</v>
      </c>
      <c r="N205" s="1666">
        <v>1.0706089389657469</v>
      </c>
      <c r="O205" s="1666">
        <v>1.0706089389657469</v>
      </c>
    </row>
    <row r="206" spans="2:15">
      <c r="B206" s="1546">
        <v>38687</v>
      </c>
      <c r="C206" s="1547">
        <v>335.00599999999997</v>
      </c>
      <c r="D206" s="1547">
        <v>2535.4</v>
      </c>
      <c r="E206" s="1547">
        <v>1.0147357208231795</v>
      </c>
      <c r="F206" s="1547">
        <v>14.480593553734694</v>
      </c>
      <c r="K206" s="1663">
        <v>42263</v>
      </c>
      <c r="L206" s="1664" t="s">
        <v>2293</v>
      </c>
      <c r="M206" s="1665">
        <v>5.2531000000000001E-2</v>
      </c>
      <c r="N206" s="1666">
        <v>1.071171340547475</v>
      </c>
      <c r="O206" s="1666">
        <v>1.071171340547475</v>
      </c>
    </row>
    <row r="207" spans="2:15">
      <c r="B207" s="1546">
        <v>38718</v>
      </c>
      <c r="C207" s="1547">
        <v>338.08300000000003</v>
      </c>
      <c r="D207" s="1547">
        <v>2550.36</v>
      </c>
      <c r="E207" s="1547">
        <v>1.0142931741687891</v>
      </c>
      <c r="F207" s="1547">
        <v>14.687567199465668</v>
      </c>
      <c r="K207" s="1663">
        <v>42264</v>
      </c>
      <c r="L207" s="1664" t="s">
        <v>2293</v>
      </c>
      <c r="M207" s="1665">
        <v>5.2531000000000001E-2</v>
      </c>
      <c r="N207" s="1666">
        <v>1.071734037564378</v>
      </c>
      <c r="O207" s="1666">
        <v>1.071734037564378</v>
      </c>
    </row>
    <row r="208" spans="2:15">
      <c r="B208" s="1546">
        <v>38749</v>
      </c>
      <c r="C208" s="1547">
        <v>338.12799999999999</v>
      </c>
      <c r="D208" s="1547">
        <v>2560.8200000000002</v>
      </c>
      <c r="E208" s="1547">
        <v>1.0114506306443078</v>
      </c>
      <c r="F208" s="1547">
        <v>14.855749106530201</v>
      </c>
      <c r="K208" s="1663">
        <v>42265</v>
      </c>
      <c r="L208" s="1664" t="s">
        <v>2293</v>
      </c>
      <c r="M208" s="1665">
        <v>5.2531000000000001E-2</v>
      </c>
      <c r="N208" s="1666">
        <v>1.072297030171651</v>
      </c>
      <c r="O208" s="1666">
        <v>1.072297030171651</v>
      </c>
    </row>
    <row r="209" spans="2:15">
      <c r="B209" s="1546">
        <v>38777</v>
      </c>
      <c r="C209" s="1547">
        <v>337.339</v>
      </c>
      <c r="D209" s="1547">
        <v>2571.83</v>
      </c>
      <c r="E209" s="1547">
        <v>1.0142230199009199</v>
      </c>
      <c r="F209" s="1547">
        <v>15.067042721715453</v>
      </c>
      <c r="K209" s="1663">
        <v>42266</v>
      </c>
      <c r="L209" s="1664"/>
      <c r="M209" s="1665">
        <v>0</v>
      </c>
      <c r="N209" s="1666">
        <v>1.072297030171651</v>
      </c>
      <c r="O209" s="1666">
        <v>1.072297030171651</v>
      </c>
    </row>
    <row r="210" spans="2:15">
      <c r="B210" s="1546">
        <v>38808</v>
      </c>
      <c r="C210" s="1547">
        <v>335.92099999999999</v>
      </c>
      <c r="D210" s="1547">
        <v>2577.23</v>
      </c>
      <c r="E210" s="1547">
        <v>1.0107787821533378</v>
      </c>
      <c r="F210" s="1547">
        <v>15.229447092907858</v>
      </c>
      <c r="K210" s="1663">
        <v>42267</v>
      </c>
      <c r="L210" s="1664"/>
      <c r="M210" s="1665">
        <v>0</v>
      </c>
      <c r="N210" s="1666">
        <v>1.072297030171651</v>
      </c>
      <c r="O210" s="1666">
        <v>1.072297030171651</v>
      </c>
    </row>
    <row r="211" spans="2:15">
      <c r="B211" s="1546">
        <v>38838</v>
      </c>
      <c r="C211" s="1547">
        <v>337.185</v>
      </c>
      <c r="D211" s="1547">
        <v>2579.81</v>
      </c>
      <c r="E211" s="1547">
        <v>1.0128136552027243</v>
      </c>
      <c r="F211" s="1547">
        <v>15.424591976884511</v>
      </c>
      <c r="K211" s="1663">
        <v>42268</v>
      </c>
      <c r="L211" s="1664" t="s">
        <v>2293</v>
      </c>
      <c r="M211" s="1665">
        <v>5.2531000000000001E-2</v>
      </c>
      <c r="N211" s="1666">
        <v>1.0728603185245704</v>
      </c>
      <c r="O211" s="1666">
        <v>1.0728603185245704</v>
      </c>
    </row>
    <row r="212" spans="2:15">
      <c r="B212" s="1546">
        <v>38869</v>
      </c>
      <c r="C212" s="1547">
        <v>339.71199999999999</v>
      </c>
      <c r="D212" s="1547">
        <v>2574.39</v>
      </c>
      <c r="E212" s="1547">
        <v>1.0118439390435949</v>
      </c>
      <c r="F212" s="1547">
        <v>15.607279904031055</v>
      </c>
      <c r="K212" s="1663">
        <v>42269</v>
      </c>
      <c r="L212" s="1664" t="s">
        <v>2293</v>
      </c>
      <c r="M212" s="1665">
        <v>5.2531000000000001E-2</v>
      </c>
      <c r="N212" s="1666">
        <v>1.0734239027784946</v>
      </c>
      <c r="O212" s="1666">
        <v>1.0734239027784946</v>
      </c>
    </row>
    <row r="213" spans="2:15">
      <c r="B213" s="1546">
        <v>38899</v>
      </c>
      <c r="C213" s="1547">
        <v>340.31200000000001</v>
      </c>
      <c r="D213" s="1547">
        <v>2579.2800000000002</v>
      </c>
      <c r="E213" s="1547">
        <v>1.0116996590630269</v>
      </c>
      <c r="F213" s="1547">
        <v>15.78987975780945</v>
      </c>
      <c r="K213" s="1663">
        <v>42270</v>
      </c>
      <c r="L213" s="1664" t="s">
        <v>2293</v>
      </c>
      <c r="M213" s="1665">
        <v>5.2531000000000001E-2</v>
      </c>
      <c r="N213" s="1666">
        <v>1.0739877830888631</v>
      </c>
      <c r="O213" s="1666">
        <v>1.0739877830888631</v>
      </c>
    </row>
    <row r="214" spans="2:15">
      <c r="B214" s="1546">
        <v>38930</v>
      </c>
      <c r="C214" s="1547">
        <v>341.57400000000001</v>
      </c>
      <c r="D214" s="1547">
        <v>2580.5700000000002</v>
      </c>
      <c r="E214" s="1547">
        <v>1.012562646303421</v>
      </c>
      <c r="F214" s="1547">
        <v>15.988242432380357</v>
      </c>
      <c r="K214" s="1663">
        <v>42271</v>
      </c>
      <c r="L214" s="1664" t="s">
        <v>2293</v>
      </c>
      <c r="M214" s="1665">
        <v>5.2531000000000001E-2</v>
      </c>
      <c r="N214" s="1666">
        <v>1.0745519596111974</v>
      </c>
      <c r="O214" s="1666">
        <v>1.0745519596111974</v>
      </c>
    </row>
    <row r="215" spans="2:15" ht="13.5" customHeight="1">
      <c r="B215" s="1546">
        <v>38961</v>
      </c>
      <c r="C215" s="1547">
        <v>342.56099999999998</v>
      </c>
      <c r="D215" s="1547">
        <v>2585.9899999999998</v>
      </c>
      <c r="E215" s="1547">
        <v>1.0105730983323107</v>
      </c>
      <c r="F215" s="1547">
        <v>16.157287691778738</v>
      </c>
      <c r="K215" s="1663">
        <v>42272</v>
      </c>
      <c r="L215" s="1664" t="s">
        <v>2293</v>
      </c>
      <c r="M215" s="1665">
        <v>5.2531000000000001E-2</v>
      </c>
      <c r="N215" s="1666">
        <v>1.0751164325011009</v>
      </c>
      <c r="O215" s="1666">
        <v>1.0751164325011009</v>
      </c>
    </row>
    <row r="216" spans="2:15">
      <c r="B216" s="1546">
        <v>38991</v>
      </c>
      <c r="C216" s="1547">
        <v>344.15499999999997</v>
      </c>
      <c r="D216" s="1547">
        <v>2594.52</v>
      </c>
      <c r="E216" s="1547">
        <v>1.0109424441222723</v>
      </c>
      <c r="F216" s="1547">
        <v>16.334087909513503</v>
      </c>
      <c r="K216" s="1663">
        <v>42273</v>
      </c>
      <c r="L216" s="1664"/>
      <c r="M216" s="1665">
        <v>0</v>
      </c>
      <c r="N216" s="1666">
        <v>1.0751164325011009</v>
      </c>
      <c r="O216" s="1666">
        <v>1.0751164325011009</v>
      </c>
    </row>
    <row r="217" spans="2:15">
      <c r="B217" s="1546">
        <v>39022</v>
      </c>
      <c r="C217" s="1547">
        <v>346.74599999999998</v>
      </c>
      <c r="D217" s="1547">
        <v>2602.56</v>
      </c>
      <c r="E217" s="1547">
        <v>1.0102060517349183</v>
      </c>
      <c r="F217" s="1547">
        <v>16.500794455760701</v>
      </c>
      <c r="K217" s="1663">
        <v>42274</v>
      </c>
      <c r="L217" s="1664"/>
      <c r="M217" s="1665">
        <v>0</v>
      </c>
      <c r="N217" s="1666">
        <v>1.0751164325011009</v>
      </c>
      <c r="O217" s="1666">
        <v>1.0751164325011009</v>
      </c>
    </row>
    <row r="218" spans="2:15">
      <c r="B218" s="1546">
        <v>39052</v>
      </c>
      <c r="C218" s="1547">
        <v>347.84199999999998</v>
      </c>
      <c r="D218" s="1547">
        <v>2615.0500000000002</v>
      </c>
      <c r="E218" s="1547">
        <v>1.0098788606332807</v>
      </c>
      <c r="F218" s="1547">
        <v>16.663803504527571</v>
      </c>
      <c r="K218" s="1663">
        <v>42275</v>
      </c>
      <c r="L218" s="1664" t="s">
        <v>2293</v>
      </c>
      <c r="M218" s="1665">
        <v>5.2531000000000001E-2</v>
      </c>
      <c r="N218" s="1666">
        <v>1.0756812019142581</v>
      </c>
      <c r="O218" s="1666">
        <v>1.0756812019142581</v>
      </c>
    </row>
    <row r="219" spans="2:15">
      <c r="B219" s="1546">
        <v>39083</v>
      </c>
      <c r="C219" s="1547">
        <v>349.59300000000002</v>
      </c>
      <c r="D219" s="1547">
        <v>2626.56</v>
      </c>
      <c r="E219" s="1547">
        <v>1.0108280266006449</v>
      </c>
      <c r="F219" s="1547">
        <v>16.844239612142516</v>
      </c>
      <c r="K219" s="1663">
        <v>42276</v>
      </c>
      <c r="L219" s="1664" t="s">
        <v>2293</v>
      </c>
      <c r="M219" s="1665">
        <v>5.2531000000000001E-2</v>
      </c>
      <c r="N219" s="1666">
        <v>1.0762462680064357</v>
      </c>
      <c r="O219" s="1666">
        <v>1.0762462680064357</v>
      </c>
    </row>
    <row r="220" spans="2:15">
      <c r="B220" s="1546">
        <v>39114</v>
      </c>
      <c r="C220" s="1547">
        <v>350.524</v>
      </c>
      <c r="D220" s="1547">
        <v>2638.12</v>
      </c>
      <c r="E220" s="1547">
        <v>1.008724844950982</v>
      </c>
      <c r="F220" s="1547">
        <v>16.991202991075649</v>
      </c>
      <c r="K220" s="1663">
        <v>42277</v>
      </c>
      <c r="L220" s="1664" t="s">
        <v>2293</v>
      </c>
      <c r="M220" s="1665">
        <v>5.2531000000000001E-2</v>
      </c>
      <c r="N220" s="1666">
        <v>1.0768116309334823</v>
      </c>
      <c r="O220" s="1666">
        <v>1.0768116309334823</v>
      </c>
    </row>
    <row r="221" spans="2:15">
      <c r="B221" s="1546">
        <v>39142</v>
      </c>
      <c r="C221" s="1547">
        <v>351.71699999999998</v>
      </c>
      <c r="D221" s="1547">
        <v>2647.88</v>
      </c>
      <c r="E221" s="1547">
        <v>1.0105222327764332</v>
      </c>
      <c r="F221" s="1547">
        <v>17.169988384099376</v>
      </c>
      <c r="K221" s="1663">
        <v>42278</v>
      </c>
      <c r="L221" s="1664" t="s">
        <v>2293</v>
      </c>
      <c r="M221" s="1665">
        <v>5.2531000000000001E-2</v>
      </c>
      <c r="N221" s="1666">
        <v>1.0773772908513279</v>
      </c>
      <c r="O221" s="1666">
        <v>1.0773772908513279</v>
      </c>
    </row>
    <row r="222" spans="2:15">
      <c r="B222" s="1546">
        <v>39173</v>
      </c>
      <c r="C222" s="1547">
        <v>351.86900000000003</v>
      </c>
      <c r="D222" s="1547">
        <v>2654.5</v>
      </c>
      <c r="E222" s="1547">
        <v>1.0094482340398951</v>
      </c>
      <c r="F222" s="1547">
        <v>17.332214452814629</v>
      </c>
      <c r="K222" s="1663">
        <v>42279</v>
      </c>
      <c r="L222" s="1664" t="s">
        <v>2293</v>
      </c>
      <c r="M222" s="1665">
        <v>5.2531000000000001E-2</v>
      </c>
      <c r="N222" s="1666">
        <v>1.0779432479159849</v>
      </c>
      <c r="O222" s="1666">
        <v>1.0779432479159849</v>
      </c>
    </row>
    <row r="223" spans="2:15">
      <c r="B223" s="1546">
        <v>39203</v>
      </c>
      <c r="C223" s="1547">
        <v>352.02</v>
      </c>
      <c r="D223" s="1547">
        <v>2661.93</v>
      </c>
      <c r="E223" s="1547">
        <v>1.0102807696314628</v>
      </c>
      <c r="F223" s="1547">
        <v>17.510402956807127</v>
      </c>
      <c r="K223" s="1663">
        <v>42280</v>
      </c>
      <c r="L223" s="1664"/>
      <c r="M223" s="1665">
        <v>0</v>
      </c>
      <c r="N223" s="1666">
        <v>1.0779432479159849</v>
      </c>
      <c r="O223" s="1666">
        <v>1.0779432479159849</v>
      </c>
    </row>
    <row r="224" spans="2:15">
      <c r="B224" s="1546">
        <v>39234</v>
      </c>
      <c r="C224" s="1547">
        <v>352.93599999999998</v>
      </c>
      <c r="D224" s="1547">
        <v>2669.38</v>
      </c>
      <c r="E224" s="1547">
        <v>1.0090562894719608</v>
      </c>
      <c r="F224" s="1547">
        <v>17.668982234754651</v>
      </c>
      <c r="K224" s="1663">
        <v>42281</v>
      </c>
      <c r="L224" s="1664"/>
      <c r="M224" s="1665">
        <v>0</v>
      </c>
      <c r="N224" s="1666">
        <v>1.0779432479159849</v>
      </c>
      <c r="O224" s="1666">
        <v>1.0779432479159849</v>
      </c>
    </row>
    <row r="225" spans="2:15">
      <c r="B225" s="1546">
        <v>39264</v>
      </c>
      <c r="C225" s="1547">
        <v>353.92</v>
      </c>
      <c r="D225" s="1547">
        <v>2675.79</v>
      </c>
      <c r="E225" s="1547">
        <v>1.0097263257608722</v>
      </c>
      <c r="F225" s="1547">
        <v>17.840836511832936</v>
      </c>
      <c r="K225" s="1663">
        <v>42282</v>
      </c>
      <c r="L225" s="1664" t="s">
        <v>2293</v>
      </c>
      <c r="M225" s="1665">
        <v>5.2531000000000001E-2</v>
      </c>
      <c r="N225" s="1666">
        <v>1.0785095022835478</v>
      </c>
      <c r="O225" s="1666">
        <v>1.0785095022835478</v>
      </c>
    </row>
    <row r="226" spans="2:15">
      <c r="B226" s="1546">
        <v>39295</v>
      </c>
      <c r="C226" s="1547">
        <v>357.404</v>
      </c>
      <c r="D226" s="1547">
        <v>2688.37</v>
      </c>
      <c r="E226" s="1547">
        <v>1.0099263513682912</v>
      </c>
      <c r="F226" s="1547">
        <v>18.017930923753628</v>
      </c>
      <c r="K226" s="1663">
        <v>42283</v>
      </c>
      <c r="L226" s="1664" t="s">
        <v>2293</v>
      </c>
      <c r="M226" s="1665">
        <v>5.2531000000000001E-2</v>
      </c>
      <c r="N226" s="1666">
        <v>1.0790760541101925</v>
      </c>
      <c r="O226" s="1666">
        <v>1.0790760541101925</v>
      </c>
    </row>
    <row r="227" spans="2:15">
      <c r="B227" s="1546">
        <v>39326</v>
      </c>
      <c r="C227" s="1547">
        <v>361.99700000000001</v>
      </c>
      <c r="D227" s="1547">
        <v>2693.21</v>
      </c>
      <c r="E227" s="1547">
        <v>1.0080496134415582</v>
      </c>
      <c r="F227" s="1547">
        <v>18.162968302706542</v>
      </c>
      <c r="K227" s="1663">
        <v>42284</v>
      </c>
      <c r="L227" s="1664" t="s">
        <v>2293</v>
      </c>
      <c r="M227" s="1665">
        <v>5.2531000000000001E-2</v>
      </c>
      <c r="N227" s="1666">
        <v>1.0796429035521771</v>
      </c>
      <c r="O227" s="1666">
        <v>1.0796429035521771</v>
      </c>
    </row>
    <row r="228" spans="2:15">
      <c r="B228" s="1546">
        <v>39356</v>
      </c>
      <c r="C228" s="1547">
        <v>365.79399999999998</v>
      </c>
      <c r="D228" s="1547">
        <v>2701.29</v>
      </c>
      <c r="E228" s="1547">
        <v>1.0092949262855189</v>
      </c>
      <c r="F228" s="1547">
        <v>18.331791754206414</v>
      </c>
      <c r="K228" s="1663">
        <v>42285</v>
      </c>
      <c r="L228" s="1664" t="s">
        <v>2293</v>
      </c>
      <c r="M228" s="1665">
        <v>5.2531000000000001E-2</v>
      </c>
      <c r="N228" s="1666">
        <v>1.0802100507658421</v>
      </c>
      <c r="O228" s="1666">
        <v>1.0802100507658421</v>
      </c>
    </row>
    <row r="229" spans="2:15">
      <c r="B229" s="1546">
        <v>39387</v>
      </c>
      <c r="C229" s="1547">
        <v>368.334</v>
      </c>
      <c r="D229" s="1547">
        <v>2711.55</v>
      </c>
      <c r="E229" s="1547">
        <v>1.0084467048252397</v>
      </c>
      <c r="F229" s="1547">
        <v>18.486634988071959</v>
      </c>
      <c r="K229" s="1663">
        <v>42286</v>
      </c>
      <c r="L229" s="1664" t="s">
        <v>2293</v>
      </c>
      <c r="M229" s="1665">
        <v>5.2531000000000001E-2</v>
      </c>
      <c r="N229" s="1666">
        <v>1.08077749590761</v>
      </c>
      <c r="O229" s="1666">
        <v>1.08077749590761</v>
      </c>
    </row>
    <row r="230" spans="2:15">
      <c r="B230" s="1546">
        <v>39417</v>
      </c>
      <c r="C230" s="1547">
        <v>374.815</v>
      </c>
      <c r="D230" s="1547">
        <v>2731.62</v>
      </c>
      <c r="E230" s="1547">
        <v>1.0084467048252395</v>
      </c>
      <c r="F230" s="1547">
        <v>18.642786137028146</v>
      </c>
      <c r="K230" s="1663">
        <v>42287</v>
      </c>
      <c r="L230" s="1664"/>
      <c r="M230" s="1665">
        <v>0</v>
      </c>
      <c r="N230" s="1666">
        <v>1.08077749590761</v>
      </c>
      <c r="O230" s="1666">
        <v>1.08077749590761</v>
      </c>
    </row>
    <row r="231" spans="2:15">
      <c r="B231" s="1546">
        <v>39448</v>
      </c>
      <c r="C231" s="1547">
        <v>378.9</v>
      </c>
      <c r="D231" s="1547">
        <v>2746.37</v>
      </c>
      <c r="E231" s="1547">
        <v>1.0092938367057227</v>
      </c>
      <c r="F231" s="1547">
        <v>18.816049147125398</v>
      </c>
      <c r="K231" s="1663">
        <v>42288</v>
      </c>
      <c r="L231" s="1664"/>
      <c r="M231" s="1665">
        <v>0</v>
      </c>
      <c r="N231" s="1666">
        <v>1.08077749590761</v>
      </c>
      <c r="O231" s="1666">
        <v>1.08077749590761</v>
      </c>
    </row>
    <row r="232" spans="2:15">
      <c r="B232" s="1546">
        <v>39479</v>
      </c>
      <c r="C232" s="1547">
        <v>380.90600000000001</v>
      </c>
      <c r="D232" s="1547">
        <v>2759.83</v>
      </c>
      <c r="E232" s="1547">
        <v>1.0080223173492819</v>
      </c>
      <c r="F232" s="1547">
        <v>18.966997464643324</v>
      </c>
      <c r="K232" s="1663">
        <v>42289</v>
      </c>
      <c r="L232" s="1664"/>
      <c r="M232" s="1665">
        <v>0</v>
      </c>
      <c r="N232" s="1666">
        <v>1.08077749590761</v>
      </c>
      <c r="O232" s="1666">
        <v>1.08077749590761</v>
      </c>
    </row>
    <row r="233" spans="2:15">
      <c r="B233" s="1546">
        <v>39508</v>
      </c>
      <c r="C233" s="1547">
        <v>383.73099999999999</v>
      </c>
      <c r="D233" s="1547">
        <v>2773.08</v>
      </c>
      <c r="E233" s="1547">
        <v>1.0084459790490408</v>
      </c>
      <c r="F233" s="1547">
        <v>19.12719232785291</v>
      </c>
      <c r="K233" s="1663">
        <v>42290</v>
      </c>
      <c r="L233" s="1664" t="s">
        <v>2293</v>
      </c>
      <c r="M233" s="1665">
        <v>5.2531000000000001E-2</v>
      </c>
      <c r="N233" s="1666">
        <v>1.0813452391339853</v>
      </c>
      <c r="O233" s="1666">
        <v>1.0813452391339853</v>
      </c>
    </row>
    <row r="234" spans="2:15">
      <c r="B234" s="1546">
        <v>39539</v>
      </c>
      <c r="C234" s="1547">
        <v>386.38</v>
      </c>
      <c r="D234" s="1547">
        <v>2788.33</v>
      </c>
      <c r="E234" s="1547">
        <v>1.0090142575644072</v>
      </c>
      <c r="F234" s="1547">
        <v>19.299609765980129</v>
      </c>
      <c r="K234" s="1663">
        <v>42291</v>
      </c>
      <c r="L234" s="1664" t="s">
        <v>2293</v>
      </c>
      <c r="M234" s="1665">
        <v>5.2531000000000001E-2</v>
      </c>
      <c r="N234" s="1666">
        <v>1.0819132806015548</v>
      </c>
      <c r="O234" s="1666">
        <v>1.0819132806015548</v>
      </c>
    </row>
    <row r="235" spans="2:15">
      <c r="B235" s="1546">
        <v>39569</v>
      </c>
      <c r="C235" s="1547">
        <v>392.59199999999998</v>
      </c>
      <c r="D235" s="1547">
        <v>2810.36</v>
      </c>
      <c r="E235" s="1547">
        <v>1.0087678287685495</v>
      </c>
      <c r="F235" s="1547">
        <v>19.46882543970807</v>
      </c>
      <c r="K235" s="1663">
        <v>42292</v>
      </c>
      <c r="L235" s="1664" t="s">
        <v>2293</v>
      </c>
      <c r="M235" s="1665">
        <v>5.2531000000000001E-2</v>
      </c>
      <c r="N235" s="1666">
        <v>1.0824816204669876</v>
      </c>
      <c r="O235" s="1666">
        <v>1.0824816204669876</v>
      </c>
    </row>
    <row r="236" spans="2:15">
      <c r="B236" s="1546">
        <v>39600</v>
      </c>
      <c r="C236" s="1547">
        <v>400.38200000000001</v>
      </c>
      <c r="D236" s="1547">
        <v>2831.16</v>
      </c>
      <c r="E236" s="1547">
        <v>1.0095559246898425</v>
      </c>
      <c r="F236" s="1547">
        <v>19.654868069409609</v>
      </c>
      <c r="K236" s="1663">
        <v>42293</v>
      </c>
      <c r="L236" s="1664" t="s">
        <v>2293</v>
      </c>
      <c r="M236" s="1665">
        <v>5.2531000000000001E-2</v>
      </c>
      <c r="N236" s="1666">
        <v>1.0830502588870352</v>
      </c>
      <c r="O236" s="1666">
        <v>1.0830502588870352</v>
      </c>
    </row>
    <row r="237" spans="2:15">
      <c r="B237" s="1546">
        <v>39630</v>
      </c>
      <c r="C237" s="1547">
        <v>407.44600000000003</v>
      </c>
      <c r="D237" s="1547">
        <v>2846.16</v>
      </c>
      <c r="E237" s="1547">
        <v>1.0106967121371</v>
      </c>
      <c r="F237" s="1547">
        <v>19.865110535240763</v>
      </c>
      <c r="K237" s="1663">
        <v>42294</v>
      </c>
      <c r="L237" s="1664"/>
      <c r="M237" s="1665">
        <v>0</v>
      </c>
      <c r="N237" s="1666">
        <v>1.0830502588870352</v>
      </c>
      <c r="O237" s="1666">
        <v>1.0830502588870352</v>
      </c>
    </row>
    <row r="238" spans="2:15">
      <c r="B238" s="1546">
        <v>39661</v>
      </c>
      <c r="C238" s="1547">
        <v>406.12700000000001</v>
      </c>
      <c r="D238" s="1547">
        <v>2854.13</v>
      </c>
      <c r="E238" s="1547">
        <v>1.0101765713502602</v>
      </c>
      <c r="F238" s="1547">
        <v>20.067269249983447</v>
      </c>
      <c r="K238" s="1663">
        <v>42295</v>
      </c>
      <c r="L238" s="1664"/>
      <c r="M238" s="1665">
        <v>0</v>
      </c>
      <c r="N238" s="1666">
        <v>1.0830502588870352</v>
      </c>
      <c r="O238" s="1666">
        <v>1.0830502588870352</v>
      </c>
    </row>
    <row r="239" spans="2:15">
      <c r="B239" s="1546">
        <v>39692</v>
      </c>
      <c r="C239" s="1547">
        <v>406.55700000000002</v>
      </c>
      <c r="D239" s="1547">
        <v>2861.55</v>
      </c>
      <c r="E239" s="1547">
        <v>1.011030909274969</v>
      </c>
      <c r="F239" s="1547">
        <v>20.288629476476387</v>
      </c>
      <c r="K239" s="1663">
        <v>42296</v>
      </c>
      <c r="L239" s="1664" t="s">
        <v>2293</v>
      </c>
      <c r="M239" s="1665">
        <v>5.2531000000000001E-2</v>
      </c>
      <c r="N239" s="1666">
        <v>1.0836191960185311</v>
      </c>
      <c r="O239" s="1666">
        <v>1.0836191960185311</v>
      </c>
    </row>
    <row r="240" spans="2:15">
      <c r="B240" s="1546">
        <v>39722</v>
      </c>
      <c r="C240" s="1547">
        <v>410.524</v>
      </c>
      <c r="D240" s="1547">
        <v>2874.43</v>
      </c>
      <c r="E240" s="1547">
        <v>1.0117587656900342</v>
      </c>
      <c r="F240" s="1547">
        <v>20.527198716662195</v>
      </c>
      <c r="K240" s="1663">
        <v>42297</v>
      </c>
      <c r="L240" s="1664" t="s">
        <v>2293</v>
      </c>
      <c r="M240" s="1665">
        <v>5.2531000000000001E-2</v>
      </c>
      <c r="N240" s="1666">
        <v>1.0841884320183917</v>
      </c>
      <c r="O240" s="1666">
        <v>1.0841884320183917</v>
      </c>
    </row>
    <row r="241" spans="2:15">
      <c r="B241" s="1546">
        <v>39753</v>
      </c>
      <c r="C241" s="1547">
        <v>412.10399999999998</v>
      </c>
      <c r="D241" s="1547">
        <v>2884.78</v>
      </c>
      <c r="E241" s="1547">
        <v>1.0101996908301405</v>
      </c>
      <c r="F241" s="1547">
        <v>20.736569797181005</v>
      </c>
      <c r="K241" s="1663">
        <v>42298</v>
      </c>
      <c r="L241" s="1664" t="s">
        <v>2293</v>
      </c>
      <c r="M241" s="1665">
        <v>5.2531000000000001E-2</v>
      </c>
      <c r="N241" s="1666">
        <v>1.0847579670436152</v>
      </c>
      <c r="O241" s="1666">
        <v>1.0847579670436152</v>
      </c>
    </row>
    <row r="242" spans="2:15">
      <c r="B242" s="1546">
        <v>39783</v>
      </c>
      <c r="C242" s="1547">
        <v>411.57499999999999</v>
      </c>
      <c r="D242" s="1547">
        <v>2892.86</v>
      </c>
      <c r="E242" s="1547">
        <v>1.0112409294280835</v>
      </c>
      <c r="F242" s="1547">
        <v>20.969668114851643</v>
      </c>
      <c r="K242" s="1663">
        <v>42299</v>
      </c>
      <c r="L242" s="1664" t="s">
        <v>2293</v>
      </c>
      <c r="M242" s="1665">
        <v>5.2531000000000001E-2</v>
      </c>
      <c r="N242" s="1666">
        <v>1.0853278012512828</v>
      </c>
      <c r="O242" s="1666">
        <v>1.0853278012512828</v>
      </c>
    </row>
    <row r="243" spans="2:15">
      <c r="B243" s="1546">
        <v>39814</v>
      </c>
      <c r="C243" s="1547">
        <v>409.78199999999998</v>
      </c>
      <c r="D243" s="1547">
        <v>2906.74</v>
      </c>
      <c r="E243" s="1547">
        <v>1.0104780743150839</v>
      </c>
      <c r="F243" s="1547">
        <v>21.189389855721704</v>
      </c>
      <c r="K243" s="1663">
        <v>42300</v>
      </c>
      <c r="L243" s="1664" t="s">
        <v>2293</v>
      </c>
      <c r="M243" s="1665">
        <v>5.2531000000000001E-2</v>
      </c>
      <c r="N243" s="1666">
        <v>1.0858979347985582</v>
      </c>
      <c r="O243" s="1666">
        <v>1.0858979347985582</v>
      </c>
    </row>
    <row r="244" spans="2:15">
      <c r="B244" s="1546">
        <v>39845</v>
      </c>
      <c r="C244" s="1547">
        <v>410.84899999999999</v>
      </c>
      <c r="D244" s="1547">
        <v>2922.73</v>
      </c>
      <c r="E244" s="1547">
        <v>1.0085508573858042</v>
      </c>
      <c r="F244" s="1547">
        <v>21.370577306470185</v>
      </c>
      <c r="K244" s="1663">
        <v>42301</v>
      </c>
      <c r="L244" s="1664"/>
      <c r="M244" s="1665">
        <v>0</v>
      </c>
      <c r="N244" s="1666">
        <v>1.0858979347985582</v>
      </c>
      <c r="O244" s="1666">
        <v>1.0858979347985582</v>
      </c>
    </row>
    <row r="245" spans="2:15">
      <c r="B245" s="1546">
        <v>39873</v>
      </c>
      <c r="C245" s="1547">
        <v>407.80799999999999</v>
      </c>
      <c r="D245" s="1547">
        <v>2928.57</v>
      </c>
      <c r="E245" s="1547">
        <v>1.0097088387156097</v>
      </c>
      <c r="F245" s="1547">
        <v>21.578060794798173</v>
      </c>
      <c r="K245" s="1663">
        <v>42302</v>
      </c>
      <c r="L245" s="1664"/>
      <c r="M245" s="1665">
        <v>0</v>
      </c>
      <c r="N245" s="1666">
        <v>1.0858979347985582</v>
      </c>
      <c r="O245" s="1666">
        <v>1.0858979347985582</v>
      </c>
    </row>
    <row r="246" spans="2:15">
      <c r="B246" s="1546">
        <v>39904</v>
      </c>
      <c r="C246" s="1547">
        <v>407.18099999999998</v>
      </c>
      <c r="D246" s="1547">
        <v>2942.63</v>
      </c>
      <c r="E246" s="1547">
        <v>1.008395669248594</v>
      </c>
      <c r="F246" s="1547">
        <v>21.759223056257351</v>
      </c>
      <c r="K246" s="1663">
        <v>42303</v>
      </c>
      <c r="L246" s="1664" t="s">
        <v>2293</v>
      </c>
      <c r="M246" s="1665">
        <v>5.2531000000000001E-2</v>
      </c>
      <c r="N246" s="1666">
        <v>1.0864683678426872</v>
      </c>
      <c r="O246" s="1666">
        <v>1.0864683678426872</v>
      </c>
    </row>
    <row r="247" spans="2:15">
      <c r="B247" s="1546">
        <v>39934</v>
      </c>
      <c r="C247" s="1547">
        <v>406.88499999999999</v>
      </c>
      <c r="D247" s="1547">
        <v>2956.46</v>
      </c>
      <c r="E247" s="1547">
        <v>1.0077089274459567</v>
      </c>
      <c r="F247" s="1547">
        <v>21.926963328078429</v>
      </c>
      <c r="K247" s="1663">
        <v>42304</v>
      </c>
      <c r="L247" s="1664" t="s">
        <v>2293</v>
      </c>
      <c r="M247" s="1665">
        <v>5.2531000000000001E-2</v>
      </c>
      <c r="N247" s="1666">
        <v>1.0870391005409987</v>
      </c>
      <c r="O247" s="1666">
        <v>1.0870391005409987</v>
      </c>
    </row>
    <row r="248" spans="2:15">
      <c r="B248" s="1546">
        <v>39965</v>
      </c>
      <c r="C248" s="1547">
        <v>406.48599999999999</v>
      </c>
      <c r="D248" s="1547">
        <v>2967.1</v>
      </c>
      <c r="E248" s="1547">
        <v>1.0076218232644543</v>
      </c>
      <c r="F248" s="1547">
        <v>22.094086767291213</v>
      </c>
      <c r="K248" s="1663">
        <v>42305</v>
      </c>
      <c r="L248" s="1664" t="s">
        <v>2293</v>
      </c>
      <c r="M248" s="1665">
        <v>5.2531000000000001E-2</v>
      </c>
      <c r="N248" s="1666">
        <v>1.0876101330509038</v>
      </c>
      <c r="O248" s="1666">
        <v>1.0876101330509038</v>
      </c>
    </row>
    <row r="249" spans="2:15">
      <c r="B249" s="1546">
        <v>39995</v>
      </c>
      <c r="C249" s="1547">
        <v>404.71800000000002</v>
      </c>
      <c r="D249" s="1547">
        <v>2974.22</v>
      </c>
      <c r="E249" s="1547">
        <v>1.0079014252372847</v>
      </c>
      <c r="F249" s="1547">
        <v>22.268661542069044</v>
      </c>
      <c r="K249" s="1663">
        <v>42306</v>
      </c>
      <c r="L249" s="1664" t="s">
        <v>2293</v>
      </c>
      <c r="M249" s="1665">
        <v>5.2531000000000001E-2</v>
      </c>
      <c r="N249" s="1666">
        <v>1.0881814655298967</v>
      </c>
      <c r="O249" s="1666">
        <v>1.0881814655298967</v>
      </c>
    </row>
    <row r="250" spans="2:15">
      <c r="B250" s="1546">
        <v>40026</v>
      </c>
      <c r="C250" s="1547">
        <v>403.25299999999999</v>
      </c>
      <c r="D250" s="1547">
        <v>2978.68</v>
      </c>
      <c r="E250" s="1547">
        <v>1.0069374854840563</v>
      </c>
      <c r="F250" s="1547">
        <v>22.423150058266511</v>
      </c>
      <c r="K250" s="1663">
        <v>42307</v>
      </c>
      <c r="L250" s="1664" t="s">
        <v>2293</v>
      </c>
      <c r="M250" s="1665">
        <v>5.2531000000000001E-2</v>
      </c>
      <c r="N250" s="1666">
        <v>1.0887530981355542</v>
      </c>
      <c r="O250" s="1666">
        <v>1.0887530981355542</v>
      </c>
    </row>
    <row r="251" spans="2:15">
      <c r="B251" s="1546">
        <v>40057</v>
      </c>
      <c r="C251" s="1547">
        <v>404.94499999999999</v>
      </c>
      <c r="D251" s="1547">
        <v>2985.83</v>
      </c>
      <c r="E251" s="1547">
        <v>1.0069374854840563</v>
      </c>
      <c r="F251" s="1547">
        <v>22.578710336302549</v>
      </c>
      <c r="K251" s="1663">
        <v>42308</v>
      </c>
      <c r="L251" s="1664"/>
      <c r="M251" s="1665">
        <v>0</v>
      </c>
      <c r="N251" s="1666">
        <v>1.0887530981355542</v>
      </c>
      <c r="O251" s="1666">
        <v>1.0887530981355542</v>
      </c>
    </row>
    <row r="252" spans="2:15">
      <c r="B252" s="1546">
        <v>40087</v>
      </c>
      <c r="C252" s="1547">
        <v>405.12900000000002</v>
      </c>
      <c r="D252" s="1547">
        <v>2994.19</v>
      </c>
      <c r="E252" s="1547">
        <v>1.006937485484056</v>
      </c>
      <c r="F252" s="1547">
        <v>22.735349811509355</v>
      </c>
      <c r="K252" s="1663">
        <v>42309</v>
      </c>
      <c r="L252" s="1664"/>
      <c r="M252" s="1665">
        <v>0</v>
      </c>
      <c r="N252" s="1666">
        <v>1.0887530981355542</v>
      </c>
      <c r="O252" s="1666">
        <v>1.0887530981355542</v>
      </c>
    </row>
    <row r="253" spans="2:15">
      <c r="B253" s="1546">
        <v>40118</v>
      </c>
      <c r="C253" s="1547">
        <v>405.548</v>
      </c>
      <c r="D253" s="1547">
        <v>3006.47</v>
      </c>
      <c r="E253" s="1547">
        <v>1.006606040313162</v>
      </c>
      <c r="F253" s="1547">
        <v>22.885540448898027</v>
      </c>
      <c r="K253" s="1663">
        <v>42310</v>
      </c>
      <c r="L253" s="1664"/>
      <c r="M253" s="1665">
        <v>0</v>
      </c>
      <c r="N253" s="1666">
        <v>1.0887530981355542</v>
      </c>
      <c r="O253" s="1666">
        <v>1.0887530981355542</v>
      </c>
    </row>
    <row r="254" spans="2:15">
      <c r="B254" s="1546">
        <v>40148</v>
      </c>
      <c r="C254" s="1547">
        <v>404.49900000000002</v>
      </c>
      <c r="D254" s="1547">
        <v>3017.59</v>
      </c>
      <c r="E254" s="1547">
        <v>1.0072686672230315</v>
      </c>
      <c r="F254" s="1547">
        <v>23.051887826640293</v>
      </c>
      <c r="K254" s="1663">
        <v>42311</v>
      </c>
      <c r="L254" s="1664" t="s">
        <v>2293</v>
      </c>
      <c r="M254" s="1665">
        <v>5.2531000000000001E-2</v>
      </c>
      <c r="N254" s="1666">
        <v>1.0893250310255358</v>
      </c>
      <c r="O254" s="1666">
        <v>1.0893250310255358</v>
      </c>
    </row>
    <row r="255" spans="2:15">
      <c r="B255" s="1546">
        <v>40179</v>
      </c>
      <c r="C255" s="1547">
        <v>407.04899999999998</v>
      </c>
      <c r="D255" s="1547">
        <v>3040.22</v>
      </c>
      <c r="E255" s="1547">
        <v>1.0066056679915218</v>
      </c>
      <c r="F255" s="1547">
        <v>23.204160944200883</v>
      </c>
      <c r="K255" s="1663">
        <v>42312</v>
      </c>
      <c r="L255" s="1664" t="s">
        <v>2293</v>
      </c>
      <c r="M255" s="1665">
        <v>5.2531000000000001E-2</v>
      </c>
      <c r="N255" s="1666">
        <v>1.0898972643575837</v>
      </c>
      <c r="O255" s="1666">
        <v>1.0898972643575837</v>
      </c>
    </row>
    <row r="256" spans="2:15">
      <c r="B256" s="1546">
        <v>40210</v>
      </c>
      <c r="C256" s="1547">
        <v>411.84300000000002</v>
      </c>
      <c r="D256" s="1547">
        <v>3063.93</v>
      </c>
      <c r="E256" s="1547">
        <v>1.0059434772325486</v>
      </c>
      <c r="F256" s="1547">
        <v>23.342074346473133</v>
      </c>
      <c r="K256" s="1663">
        <v>42313</v>
      </c>
      <c r="L256" s="1664" t="s">
        <v>2293</v>
      </c>
      <c r="M256" s="1665">
        <v>5.2531000000000001E-2</v>
      </c>
      <c r="N256" s="1666">
        <v>1.0904697982895235</v>
      </c>
      <c r="O256" s="1666">
        <v>1.0904697982895235</v>
      </c>
    </row>
    <row r="257" spans="2:15">
      <c r="B257" s="1546">
        <v>40238</v>
      </c>
      <c r="C257" s="1547">
        <v>415.73399999999998</v>
      </c>
      <c r="D257" s="1547">
        <v>3079.86</v>
      </c>
      <c r="E257" s="1547">
        <v>1.0076007032666325</v>
      </c>
      <c r="F257" s="1547">
        <v>23.519490527208351</v>
      </c>
      <c r="K257" s="1663">
        <v>42314</v>
      </c>
      <c r="L257" s="1664" t="s">
        <v>2293</v>
      </c>
      <c r="M257" s="1665">
        <v>5.2531000000000001E-2</v>
      </c>
      <c r="N257" s="1666">
        <v>1.0910426329792631</v>
      </c>
      <c r="O257" s="1666">
        <v>1.0910426329792631</v>
      </c>
    </row>
    <row r="258" spans="2:15">
      <c r="B258" s="1546">
        <v>40269</v>
      </c>
      <c r="C258" s="1547">
        <v>418.91699999999997</v>
      </c>
      <c r="D258" s="1547">
        <v>3097.42</v>
      </c>
      <c r="E258" s="1547">
        <v>1.0066591320264642</v>
      </c>
      <c r="F258" s="1547">
        <v>23.676109919824206</v>
      </c>
      <c r="K258" s="1663">
        <v>42315</v>
      </c>
      <c r="L258" s="1664"/>
      <c r="M258" s="1665">
        <v>0</v>
      </c>
      <c r="N258" s="1666">
        <v>1.0910426329792631</v>
      </c>
      <c r="O258" s="1666">
        <v>1.0910426329792631</v>
      </c>
    </row>
    <row r="259" spans="2:15">
      <c r="B259" s="1546">
        <v>40299</v>
      </c>
      <c r="C259" s="1547">
        <v>423.88499999999999</v>
      </c>
      <c r="D259" s="1547">
        <v>3110.74</v>
      </c>
      <c r="E259" s="1547">
        <v>1.0075136425194853</v>
      </c>
      <c r="F259" s="1547">
        <v>23.854003746013806</v>
      </c>
      <c r="K259" s="1663">
        <v>42316</v>
      </c>
      <c r="L259" s="1664"/>
      <c r="M259" s="1665">
        <v>0</v>
      </c>
      <c r="N259" s="1666">
        <v>1.0910426329792631</v>
      </c>
      <c r="O259" s="1666">
        <v>1.0910426329792631</v>
      </c>
    </row>
    <row r="260" spans="2:15">
      <c r="B260" s="1546">
        <v>40330</v>
      </c>
      <c r="C260" s="1547">
        <v>427.48899999999998</v>
      </c>
      <c r="D260" s="1547">
        <v>3110.74</v>
      </c>
      <c r="E260" s="1547">
        <v>1.0079257581819461</v>
      </c>
      <c r="F260" s="1547">
        <v>24.043064811375949</v>
      </c>
      <c r="K260" s="1663">
        <v>42317</v>
      </c>
      <c r="L260" s="1664" t="s">
        <v>2293</v>
      </c>
      <c r="M260" s="1665">
        <v>5.2531000000000001E-2</v>
      </c>
      <c r="N260" s="1666">
        <v>1.0916157685847934</v>
      </c>
      <c r="O260" s="1666">
        <v>1.0916157685847934</v>
      </c>
    </row>
    <row r="261" spans="2:15">
      <c r="B261" s="1546">
        <v>40360</v>
      </c>
      <c r="C261" s="1547">
        <v>428.15</v>
      </c>
      <c r="D261" s="1547">
        <v>3111.05</v>
      </c>
      <c r="E261" s="1547">
        <v>1.0086102956499179</v>
      </c>
      <c r="F261" s="1547">
        <v>24.250082707732034</v>
      </c>
      <c r="K261" s="1663">
        <v>42318</v>
      </c>
      <c r="L261" s="1664" t="s">
        <v>2293</v>
      </c>
      <c r="M261" s="1665">
        <v>5.2531000000000001E-2</v>
      </c>
      <c r="N261" s="1666">
        <v>1.0921892052641886</v>
      </c>
      <c r="O261" s="1666">
        <v>1.0921892052641886</v>
      </c>
    </row>
    <row r="262" spans="2:15">
      <c r="B262" s="1546">
        <v>40391</v>
      </c>
      <c r="C262" s="1547">
        <v>431.44499999999999</v>
      </c>
      <c r="D262" s="1547">
        <v>3112.29</v>
      </c>
      <c r="E262" s="1547">
        <v>1.0088820963555043</v>
      </c>
      <c r="F262" s="1547">
        <v>24.465474278971058</v>
      </c>
      <c r="K262" s="1663">
        <v>42319</v>
      </c>
      <c r="L262" s="1664" t="s">
        <v>2293</v>
      </c>
      <c r="M262" s="1665">
        <v>5.2531000000000001E-2</v>
      </c>
      <c r="N262" s="1666">
        <v>1.0927629431756058</v>
      </c>
      <c r="O262" s="1666">
        <v>1.0927629431756058</v>
      </c>
    </row>
    <row r="263" spans="2:15">
      <c r="B263" s="1546">
        <v>40422</v>
      </c>
      <c r="C263" s="1547">
        <v>436.423</v>
      </c>
      <c r="D263" s="1547">
        <v>3126.29</v>
      </c>
      <c r="E263" s="1547">
        <v>1.0084766584844942</v>
      </c>
      <c r="F263" s="1547">
        <v>24.672859749095071</v>
      </c>
      <c r="K263" s="1663">
        <v>42320</v>
      </c>
      <c r="L263" s="1664" t="s">
        <v>2293</v>
      </c>
      <c r="M263" s="1665">
        <v>5.2531000000000001E-2</v>
      </c>
      <c r="N263" s="1666">
        <v>1.0933369824772854</v>
      </c>
      <c r="O263" s="1666">
        <v>1.0933369824772854</v>
      </c>
    </row>
    <row r="264" spans="2:15">
      <c r="B264" s="1546">
        <v>40452</v>
      </c>
      <c r="C264" s="1547">
        <v>440.82900000000001</v>
      </c>
      <c r="D264" s="1547">
        <v>3149.74</v>
      </c>
      <c r="E264" s="1547">
        <v>1.0080713835461668</v>
      </c>
      <c r="F264" s="1547">
        <v>24.872003863310798</v>
      </c>
      <c r="K264" s="1663">
        <v>42321</v>
      </c>
      <c r="L264" s="1664" t="s">
        <v>2293</v>
      </c>
      <c r="M264" s="1665">
        <v>5.2531000000000001E-2</v>
      </c>
      <c r="N264" s="1666">
        <v>1.0939113233275506</v>
      </c>
      <c r="O264" s="1666">
        <v>1.0939113233275506</v>
      </c>
    </row>
    <row r="265" spans="2:15">
      <c r="B265" s="1546">
        <v>40483</v>
      </c>
      <c r="C265" s="1547">
        <v>447.20600000000002</v>
      </c>
      <c r="D265" s="1547">
        <v>3175.88</v>
      </c>
      <c r="E265" s="1547">
        <v>1.008071383546167</v>
      </c>
      <c r="F265" s="1547">
        <v>25.072755346053327</v>
      </c>
      <c r="K265" s="1663">
        <v>42322</v>
      </c>
      <c r="L265" s="1664"/>
      <c r="M265" s="1665">
        <v>0</v>
      </c>
      <c r="N265" s="1666">
        <v>1.0939113233275506</v>
      </c>
      <c r="O265" s="1666">
        <v>1.0939113233275506</v>
      </c>
    </row>
    <row r="266" spans="2:15">
      <c r="B266" s="1546">
        <v>40513</v>
      </c>
      <c r="C266" s="1547">
        <v>450.30099999999999</v>
      </c>
      <c r="D266" s="1547">
        <v>3195.89</v>
      </c>
      <c r="E266" s="1547">
        <v>1.0092887868177591</v>
      </c>
      <c r="F266" s="1547">
        <v>25.305650825396647</v>
      </c>
      <c r="K266" s="1663">
        <v>42323</v>
      </c>
      <c r="L266" s="1664"/>
      <c r="M266" s="1665">
        <v>0</v>
      </c>
      <c r="N266" s="1666">
        <v>1.0939113233275506</v>
      </c>
      <c r="O266" s="1666">
        <v>1.0939113233275506</v>
      </c>
    </row>
    <row r="267" spans="2:15">
      <c r="B267" s="1546">
        <v>40544</v>
      </c>
      <c r="C267" s="1547">
        <v>453.875</v>
      </c>
      <c r="D267" s="1547">
        <v>3222.42</v>
      </c>
      <c r="E267" s="1547">
        <v>1.0086232010755674</v>
      </c>
      <c r="F267" s="1547">
        <v>25.52386654081214</v>
      </c>
      <c r="K267" s="1663">
        <v>42324</v>
      </c>
      <c r="L267" s="1664" t="s">
        <v>2293</v>
      </c>
      <c r="M267" s="1665">
        <v>5.2531000000000001E-2</v>
      </c>
      <c r="N267" s="1666">
        <v>1.0944859658848078</v>
      </c>
      <c r="O267" s="1666">
        <v>1.0944859658848078</v>
      </c>
    </row>
    <row r="268" spans="2:15">
      <c r="B268" s="1546">
        <v>40575</v>
      </c>
      <c r="C268" s="1547">
        <v>458.39699999999999</v>
      </c>
      <c r="D268" s="1547">
        <v>3248.2</v>
      </c>
      <c r="E268" s="1547">
        <v>1.0084390842010735</v>
      </c>
      <c r="F268" s="1547">
        <v>25.739264599687019</v>
      </c>
      <c r="K268" s="1663">
        <v>42325</v>
      </c>
      <c r="L268" s="1664" t="s">
        <v>2293</v>
      </c>
      <c r="M268" s="1665">
        <v>5.2531000000000001E-2</v>
      </c>
      <c r="N268" s="1666">
        <v>1.0950609103075468</v>
      </c>
      <c r="O268" s="1666">
        <v>1.0950609103075468</v>
      </c>
    </row>
    <row r="269" spans="2:15">
      <c r="B269" s="1546">
        <v>40603</v>
      </c>
      <c r="C269" s="1547">
        <v>461.24900000000002</v>
      </c>
      <c r="D269" s="1547">
        <v>3273.86</v>
      </c>
      <c r="E269" s="1547">
        <v>1.0092045846073012</v>
      </c>
      <c r="F269" s="1547">
        <v>25.97618383842455</v>
      </c>
      <c r="K269" s="1663">
        <v>42326</v>
      </c>
      <c r="L269" s="1664" t="s">
        <v>2293</v>
      </c>
      <c r="M269" s="1665">
        <v>5.2531000000000001E-2</v>
      </c>
      <c r="N269" s="1666">
        <v>1.0956361567543405</v>
      </c>
      <c r="O269" s="1666">
        <v>1.0956361567543405</v>
      </c>
    </row>
    <row r="270" spans="2:15">
      <c r="B270" s="1546">
        <v>40634</v>
      </c>
      <c r="C270" s="1547">
        <v>463.31099999999998</v>
      </c>
      <c r="D270" s="1547">
        <v>3299.07</v>
      </c>
      <c r="E270" s="1547">
        <v>1.0084015541577225</v>
      </c>
      <c r="F270" s="1547">
        <v>26.194424153754028</v>
      </c>
      <c r="K270" s="1663">
        <v>42327</v>
      </c>
      <c r="L270" s="1664" t="s">
        <v>2293</v>
      </c>
      <c r="M270" s="1665">
        <v>5.2531000000000001E-2</v>
      </c>
      <c r="N270" s="1666">
        <v>1.0962117053838452</v>
      </c>
      <c r="O270" s="1666">
        <v>1.0962117053838452</v>
      </c>
    </row>
    <row r="271" spans="2:15">
      <c r="B271" s="1546">
        <v>40664</v>
      </c>
      <c r="C271" s="1547">
        <v>465.31099999999998</v>
      </c>
      <c r="D271" s="1547">
        <v>3314.58</v>
      </c>
      <c r="E271" s="1547">
        <v>1.0098798495673293</v>
      </c>
      <c r="F271" s="1547">
        <v>26.453221123895936</v>
      </c>
      <c r="K271" s="1663">
        <v>42328</v>
      </c>
      <c r="L271" s="1664" t="s">
        <v>2293</v>
      </c>
      <c r="M271" s="1665">
        <v>5.2531000000000001E-2</v>
      </c>
      <c r="N271" s="1666">
        <v>1.0967875563548004</v>
      </c>
      <c r="O271" s="1666">
        <v>1.0967875563548004</v>
      </c>
    </row>
    <row r="272" spans="2:15">
      <c r="B272" s="1546">
        <v>40695</v>
      </c>
      <c r="C272" s="1547">
        <v>464.46300000000002</v>
      </c>
      <c r="D272" s="1547">
        <v>3319.55</v>
      </c>
      <c r="E272" s="1547">
        <v>1.0095627565914342</v>
      </c>
      <c r="F272" s="1547">
        <v>26.706186838563141</v>
      </c>
      <c r="K272" s="1663">
        <v>42329</v>
      </c>
      <c r="L272" s="1664"/>
      <c r="M272" s="1665">
        <v>0</v>
      </c>
      <c r="N272" s="1666">
        <v>1.0967875563548004</v>
      </c>
      <c r="O272" s="1666">
        <v>1.0967875563548004</v>
      </c>
    </row>
    <row r="273" spans="2:15">
      <c r="B273" s="1546">
        <v>40725</v>
      </c>
      <c r="C273" s="1547">
        <v>463.92700000000002</v>
      </c>
      <c r="D273" s="1547">
        <v>3324.86</v>
      </c>
      <c r="E273" s="1547">
        <v>1.0096788504099796</v>
      </c>
      <c r="F273" s="1547">
        <v>26.96467202599456</v>
      </c>
      <c r="K273" s="1663">
        <v>42330</v>
      </c>
      <c r="L273" s="1664"/>
      <c r="M273" s="1665">
        <v>0</v>
      </c>
      <c r="N273" s="1666">
        <v>1.0967875563548004</v>
      </c>
      <c r="O273" s="1666">
        <v>1.0967875563548004</v>
      </c>
    </row>
    <row r="274" spans="2:15">
      <c r="B274" s="1546">
        <v>40756</v>
      </c>
      <c r="C274" s="1547">
        <v>465.96800000000002</v>
      </c>
      <c r="D274" s="1547">
        <v>3337.16</v>
      </c>
      <c r="E274" s="1547">
        <v>1.0107406292787873</v>
      </c>
      <c r="F274" s="1547">
        <v>27.254289571849853</v>
      </c>
      <c r="K274" s="1663">
        <v>42331</v>
      </c>
      <c r="L274" s="1664" t="s">
        <v>2293</v>
      </c>
      <c r="M274" s="1665">
        <v>5.2531000000000001E-2</v>
      </c>
      <c r="N274" s="1666">
        <v>1.0973637098260292</v>
      </c>
      <c r="O274" s="1666">
        <v>1.0973637098260292</v>
      </c>
    </row>
    <row r="275" spans="2:15">
      <c r="B275" s="1546">
        <v>40787</v>
      </c>
      <c r="C275" s="1547">
        <v>468.97500000000002</v>
      </c>
      <c r="D275" s="1547">
        <v>3354.85</v>
      </c>
      <c r="E275" s="1547">
        <v>1.00941760689889</v>
      </c>
      <c r="F275" s="1547">
        <v>27.510959757346054</v>
      </c>
      <c r="K275" s="1663">
        <v>42332</v>
      </c>
      <c r="L275" s="1664" t="s">
        <v>2293</v>
      </c>
      <c r="M275" s="1665">
        <v>5.2531000000000001E-2</v>
      </c>
      <c r="N275" s="1666">
        <v>1.0979401659564378</v>
      </c>
      <c r="O275" s="1666">
        <v>1.0979401659564378</v>
      </c>
    </row>
    <row r="276" spans="2:15">
      <c r="B276" s="1546">
        <v>40817</v>
      </c>
      <c r="C276" s="1547">
        <v>471.46600000000001</v>
      </c>
      <c r="D276" s="1547">
        <v>3369.28</v>
      </c>
      <c r="E276" s="1547">
        <v>1.0088195463919019</v>
      </c>
      <c r="F276" s="1547">
        <v>27.753593943211712</v>
      </c>
      <c r="K276" s="1663">
        <v>42333</v>
      </c>
      <c r="L276" s="1664" t="s">
        <v>2293</v>
      </c>
      <c r="M276" s="1665">
        <v>5.2531000000000001E-2</v>
      </c>
      <c r="N276" s="1666">
        <v>1.0985169249050164</v>
      </c>
      <c r="O276" s="1666">
        <v>1.0985169249050164</v>
      </c>
    </row>
    <row r="277" spans="2:15">
      <c r="B277" s="1546">
        <v>40848</v>
      </c>
      <c r="C277" s="1547">
        <v>473.80799999999999</v>
      </c>
      <c r="D277" s="1547">
        <v>3386.8</v>
      </c>
      <c r="E277" s="1547">
        <v>1.0086047745492386</v>
      </c>
      <c r="F277" s="1547">
        <v>27.992407362024164</v>
      </c>
      <c r="K277" s="1663">
        <v>42334</v>
      </c>
      <c r="L277" s="1664" t="s">
        <v>2293</v>
      </c>
      <c r="M277" s="1665">
        <v>5.2531000000000001E-2</v>
      </c>
      <c r="N277" s="1666">
        <v>1.0990939868308383</v>
      </c>
      <c r="O277" s="1666">
        <v>1.0990939868308383</v>
      </c>
    </row>
    <row r="278" spans="2:15">
      <c r="B278" s="1546">
        <v>40878</v>
      </c>
      <c r="C278" s="1547">
        <v>473.25200000000001</v>
      </c>
      <c r="D278" s="1547">
        <v>3403.73</v>
      </c>
      <c r="E278" s="1547">
        <v>1.0090732804800764</v>
      </c>
      <c r="F278" s="1547">
        <v>28.246390325332364</v>
      </c>
      <c r="K278" s="1663">
        <v>42335</v>
      </c>
      <c r="L278" s="1664" t="s">
        <v>2293</v>
      </c>
      <c r="M278" s="1665">
        <v>5.2531000000000001E-2</v>
      </c>
      <c r="N278" s="1666">
        <v>1.0996713518930603</v>
      </c>
      <c r="O278" s="1666">
        <v>1.0996713518930603</v>
      </c>
    </row>
    <row r="279" spans="2:15">
      <c r="B279" s="1546">
        <v>40909</v>
      </c>
      <c r="C279" s="1547">
        <v>474.42899999999997</v>
      </c>
      <c r="D279" s="1547">
        <v>3422.79</v>
      </c>
      <c r="E279" s="1547">
        <v>1.0089101617717657</v>
      </c>
      <c r="F279" s="1547">
        <v>28.498070232599513</v>
      </c>
      <c r="K279" s="1663">
        <v>42336</v>
      </c>
      <c r="L279" s="1664"/>
      <c r="M279" s="1665">
        <v>0</v>
      </c>
      <c r="N279" s="1666">
        <v>1.0996713518930603</v>
      </c>
      <c r="O279" s="1666">
        <v>1.0996713518930603</v>
      </c>
    </row>
    <row r="280" spans="2:15">
      <c r="B280" s="1546">
        <v>40940</v>
      </c>
      <c r="C280" s="1547">
        <v>474.13799999999998</v>
      </c>
      <c r="D280" s="1547">
        <v>3438.19</v>
      </c>
      <c r="E280" s="1547">
        <v>1.0074877292470876</v>
      </c>
      <c r="F280" s="1547">
        <v>28.711456066565706</v>
      </c>
      <c r="K280" s="1663">
        <v>42337</v>
      </c>
      <c r="L280" s="1664"/>
      <c r="M280" s="1665">
        <v>0</v>
      </c>
      <c r="N280" s="1666">
        <v>1.0996713518930603</v>
      </c>
      <c r="O280" s="1666">
        <v>1.0996713518930603</v>
      </c>
    </row>
    <row r="281" spans="2:15">
      <c r="B281" s="1546">
        <v>40969</v>
      </c>
      <c r="C281" s="1547">
        <v>476.166</v>
      </c>
      <c r="D281" s="1547">
        <v>3445.41</v>
      </c>
      <c r="E281" s="1547">
        <v>1.0082113884808406</v>
      </c>
      <c r="F281" s="1547">
        <v>28.947216986178862</v>
      </c>
      <c r="K281" s="1663">
        <v>42338</v>
      </c>
      <c r="L281" s="1664" t="s">
        <v>2293</v>
      </c>
      <c r="M281" s="1665">
        <v>5.2531000000000001E-2</v>
      </c>
      <c r="N281" s="1666">
        <v>1.1002490202509232</v>
      </c>
      <c r="O281" s="1666">
        <v>1.1002490202509232</v>
      </c>
    </row>
    <row r="282" spans="2:15">
      <c r="B282" s="1546">
        <v>41000</v>
      </c>
      <c r="C282" s="1547">
        <v>480.22899999999998</v>
      </c>
      <c r="D282" s="1547">
        <v>3467.46</v>
      </c>
      <c r="E282" s="1547">
        <v>1.0071187588624242</v>
      </c>
      <c r="F282" s="1547">
        <v>29.15328524364174</v>
      </c>
      <c r="K282" s="1663">
        <v>42339</v>
      </c>
      <c r="L282" s="1664" t="s">
        <v>2293</v>
      </c>
      <c r="M282" s="1665">
        <v>5.2531000000000001E-2</v>
      </c>
      <c r="N282" s="1666">
        <v>1.1008269920637512</v>
      </c>
      <c r="O282" s="1666">
        <v>1.1008269920637512</v>
      </c>
    </row>
    <row r="283" spans="2:15">
      <c r="B283" s="1546">
        <v>41030</v>
      </c>
      <c r="C283" s="1547">
        <v>485.14</v>
      </c>
      <c r="D283" s="1547">
        <v>3479.94</v>
      </c>
      <c r="E283" s="1547">
        <v>1.007447242329657</v>
      </c>
      <c r="F283" s="1547">
        <v>29.370396823556753</v>
      </c>
      <c r="G283" s="11"/>
      <c r="K283" s="1663">
        <v>42340</v>
      </c>
      <c r="L283" s="1664" t="s">
        <v>2293</v>
      </c>
      <c r="M283" s="1665">
        <v>5.2531000000000001E-2</v>
      </c>
      <c r="N283" s="1666">
        <v>1.1014052674909522</v>
      </c>
      <c r="O283" s="1666">
        <v>1.1014052674909522</v>
      </c>
    </row>
    <row r="284" spans="2:15">
      <c r="B284" s="1546">
        <v>41061</v>
      </c>
      <c r="C284" s="1547">
        <v>488.34199999999998</v>
      </c>
      <c r="D284" s="1547">
        <v>3482.72</v>
      </c>
      <c r="E284" s="1547">
        <v>1.0064150263426446</v>
      </c>
      <c r="F284" s="1547">
        <v>29.558808692873793</v>
      </c>
      <c r="K284" s="1663">
        <v>42341</v>
      </c>
      <c r="L284" s="1664" t="s">
        <v>2293</v>
      </c>
      <c r="M284" s="1665">
        <v>5.2531000000000001E-2</v>
      </c>
      <c r="N284" s="1666">
        <v>1.101983846692018</v>
      </c>
      <c r="O284" s="1666">
        <v>1.101983846692018</v>
      </c>
    </row>
    <row r="285" spans="2:15">
      <c r="B285" s="1546">
        <v>41091</v>
      </c>
      <c r="C285" s="1547">
        <v>494.89100000000002</v>
      </c>
      <c r="D285" s="1547">
        <v>3497.7</v>
      </c>
      <c r="E285" s="1547">
        <v>1.0067996486835762</v>
      </c>
      <c r="F285" s="1547">
        <v>29.759798207490373</v>
      </c>
      <c r="K285" s="1663">
        <v>42342</v>
      </c>
      <c r="L285" s="1664" t="s">
        <v>2293</v>
      </c>
      <c r="M285" s="1665">
        <v>5.2531000000000001E-2</v>
      </c>
      <c r="N285" s="1666">
        <v>1.1025627298265237</v>
      </c>
      <c r="O285" s="1666">
        <v>1.1025627298265237</v>
      </c>
    </row>
    <row r="286" spans="2:15">
      <c r="B286" s="1546">
        <v>41122</v>
      </c>
      <c r="C286" s="1547">
        <v>501.95699999999999</v>
      </c>
      <c r="D286" s="1547">
        <v>3512.04</v>
      </c>
      <c r="E286" s="1547">
        <v>1.0069181066014252</v>
      </c>
      <c r="F286" s="1547">
        <v>29.965679663926696</v>
      </c>
      <c r="K286" s="1663">
        <v>42343</v>
      </c>
      <c r="L286" s="1664"/>
      <c r="M286" s="1665">
        <v>0</v>
      </c>
      <c r="N286" s="1666">
        <v>1.1025627298265237</v>
      </c>
      <c r="O286" s="1666">
        <v>1.1025627298265237</v>
      </c>
    </row>
    <row r="287" spans="2:15">
      <c r="B287" s="1546">
        <v>41153</v>
      </c>
      <c r="C287" s="1547">
        <v>506.80399999999997</v>
      </c>
      <c r="D287" s="1547">
        <v>3532.06</v>
      </c>
      <c r="E287" s="1547">
        <v>1.0053899533259578</v>
      </c>
      <c r="F287" s="1547">
        <v>30.127193278695866</v>
      </c>
      <c r="K287" s="1663">
        <v>42344</v>
      </c>
      <c r="L287" s="1664"/>
      <c r="M287" s="1665">
        <v>0</v>
      </c>
      <c r="N287" s="1666">
        <v>1.1025627298265237</v>
      </c>
      <c r="O287" s="1666">
        <v>1.1025627298265237</v>
      </c>
    </row>
    <row r="288" spans="2:15">
      <c r="B288" s="1546">
        <v>41183</v>
      </c>
      <c r="C288" s="1547">
        <v>506.92599999999999</v>
      </c>
      <c r="D288" s="1547">
        <v>3552.9</v>
      </c>
      <c r="E288" s="1547">
        <v>1.0061133864051108</v>
      </c>
      <c r="F288" s="1547">
        <v>30.311372452509993</v>
      </c>
      <c r="K288" s="1663">
        <v>42345</v>
      </c>
      <c r="L288" s="1664" t="s">
        <v>2293</v>
      </c>
      <c r="M288" s="1665">
        <v>5.2531000000000001E-2</v>
      </c>
      <c r="N288" s="1666">
        <v>1.1031419170541288</v>
      </c>
      <c r="O288" s="1666">
        <v>1.1031419170541288</v>
      </c>
    </row>
    <row r="289" spans="2:15">
      <c r="B289" s="1546">
        <v>41214</v>
      </c>
      <c r="C289" s="1547">
        <v>506.79500000000002</v>
      </c>
      <c r="D289" s="1547">
        <v>3574.22</v>
      </c>
      <c r="E289" s="1547">
        <v>1.0054884576647556</v>
      </c>
      <c r="F289" s="1547">
        <v>30.477735136976232</v>
      </c>
      <c r="K289" s="1663">
        <v>42346</v>
      </c>
      <c r="L289" s="1664" t="s">
        <v>2293</v>
      </c>
      <c r="M289" s="1665">
        <v>5.2531000000000001E-2</v>
      </c>
      <c r="N289" s="1666">
        <v>1.1037214085345766</v>
      </c>
      <c r="O289" s="1666">
        <v>1.1037214085345766</v>
      </c>
    </row>
    <row r="290" spans="2:15">
      <c r="B290" s="1546">
        <v>41244</v>
      </c>
      <c r="C290" s="1547">
        <v>510.25200000000001</v>
      </c>
      <c r="D290" s="1547">
        <v>3602.46</v>
      </c>
      <c r="E290" s="1547">
        <v>1.0055015154231364</v>
      </c>
      <c r="F290" s="1547">
        <v>30.645408866894574</v>
      </c>
      <c r="K290" s="1663">
        <v>42347</v>
      </c>
      <c r="L290" s="1664" t="s">
        <v>2293</v>
      </c>
      <c r="M290" s="1665">
        <v>5.2531000000000001E-2</v>
      </c>
      <c r="N290" s="1666">
        <v>1.1043012044276939</v>
      </c>
      <c r="O290" s="1666">
        <v>1.1043012044276939</v>
      </c>
    </row>
    <row r="291" spans="2:15">
      <c r="B291" s="1546">
        <v>41275</v>
      </c>
      <c r="C291" s="1547">
        <v>511.97699999999998</v>
      </c>
      <c r="D291" s="1547">
        <v>3633.44</v>
      </c>
      <c r="E291" s="1547">
        <v>1.0060143970219473</v>
      </c>
      <c r="F291" s="1547">
        <v>30.82972252271998</v>
      </c>
      <c r="K291" s="1663">
        <v>42348</v>
      </c>
      <c r="L291" s="1664" t="s">
        <v>2293</v>
      </c>
      <c r="M291" s="1665">
        <v>5.2531000000000001E-2</v>
      </c>
      <c r="N291" s="1666">
        <v>1.1048813048933919</v>
      </c>
      <c r="O291" s="1666">
        <v>1.1048813048933919</v>
      </c>
    </row>
    <row r="292" spans="2:15">
      <c r="B292" s="1546">
        <v>41306</v>
      </c>
      <c r="C292" s="1547">
        <v>513.46699999999998</v>
      </c>
      <c r="D292" s="1547">
        <v>3655.24</v>
      </c>
      <c r="E292" s="1547">
        <v>1.0049274991744226</v>
      </c>
      <c r="F292" s="1547">
        <v>30.98163595499836</v>
      </c>
      <c r="K292" s="1663">
        <v>42349</v>
      </c>
      <c r="L292" s="1664" t="s">
        <v>2293</v>
      </c>
      <c r="M292" s="1665">
        <v>5.2531000000000001E-2</v>
      </c>
      <c r="N292" s="1666">
        <v>1.1054617100916655</v>
      </c>
      <c r="O292" s="1666">
        <v>1.1054617100916655</v>
      </c>
    </row>
    <row r="293" spans="2:15">
      <c r="B293" s="1546">
        <v>41334</v>
      </c>
      <c r="C293" s="1547">
        <v>514.52599999999995</v>
      </c>
      <c r="D293" s="1547">
        <v>3672.42</v>
      </c>
      <c r="E293" s="1547">
        <v>1.0054940366101026</v>
      </c>
      <c r="F293" s="1547">
        <v>31.151850197175992</v>
      </c>
      <c r="K293" s="1663">
        <v>42350</v>
      </c>
      <c r="L293" s="1664"/>
      <c r="M293" s="1665">
        <v>0</v>
      </c>
      <c r="N293" s="1666">
        <v>1.1054617100916655</v>
      </c>
      <c r="O293" s="1666">
        <v>1.1054617100916655</v>
      </c>
    </row>
    <row r="294" spans="2:15">
      <c r="B294" s="1546">
        <v>41365</v>
      </c>
      <c r="C294" s="1547">
        <v>515.27599999999995</v>
      </c>
      <c r="D294" s="1547">
        <v>3692.62</v>
      </c>
      <c r="E294" s="1547">
        <v>1.0061364605097283</v>
      </c>
      <c r="F294" s="1547">
        <v>31.343012295715933</v>
      </c>
      <c r="K294" s="1663">
        <v>42351</v>
      </c>
      <c r="L294" s="1664"/>
      <c r="M294" s="1665">
        <v>0</v>
      </c>
      <c r="N294" s="1666">
        <v>1.1054617100916655</v>
      </c>
      <c r="O294" s="1666">
        <v>1.1054617100916655</v>
      </c>
    </row>
    <row r="295" spans="2:15">
      <c r="B295" s="1546">
        <v>41395</v>
      </c>
      <c r="C295" s="1547">
        <v>515.29899999999998</v>
      </c>
      <c r="D295" s="1547">
        <v>3706.28</v>
      </c>
      <c r="E295" s="1547">
        <v>1.0059853629993882</v>
      </c>
      <c r="F295" s="1547">
        <v>31.530611601800082</v>
      </c>
      <c r="K295" s="1663">
        <v>42352</v>
      </c>
      <c r="L295" s="1664" t="s">
        <v>2293</v>
      </c>
      <c r="M295" s="1665">
        <v>5.2531000000000001E-2</v>
      </c>
      <c r="N295" s="1666">
        <v>1.1060424201825938</v>
      </c>
      <c r="O295" s="1666">
        <v>1.1060424201825938</v>
      </c>
    </row>
    <row r="296" spans="2:15">
      <c r="B296" s="1546">
        <v>41426</v>
      </c>
      <c r="C296" s="1547">
        <v>519.15300000000002</v>
      </c>
      <c r="D296" s="1547">
        <v>3715.92</v>
      </c>
      <c r="E296" s="1547">
        <v>1.0060527337434972</v>
      </c>
      <c r="F296" s="1547">
        <v>31.721457998595405</v>
      </c>
      <c r="G296" s="66"/>
      <c r="K296" s="1663">
        <v>42353</v>
      </c>
      <c r="L296" s="1664" t="s">
        <v>2293</v>
      </c>
      <c r="M296" s="1665">
        <v>5.2531000000000001E-2</v>
      </c>
      <c r="N296" s="1666">
        <v>1.10662343532634</v>
      </c>
      <c r="O296" s="1666">
        <v>1.10662343532634</v>
      </c>
    </row>
    <row r="297" spans="2:15">
      <c r="B297" s="1546">
        <v>41456</v>
      </c>
      <c r="C297" s="1547">
        <v>520.50800000000004</v>
      </c>
      <c r="D297" s="1547">
        <v>3717.03</v>
      </c>
      <c r="E297" s="1547">
        <v>1.0072409169740031</v>
      </c>
      <c r="F297" s="1547">
        <v>31.951150442257561</v>
      </c>
      <c r="K297" s="1663">
        <v>42354</v>
      </c>
      <c r="L297" s="1664" t="s">
        <v>2293</v>
      </c>
      <c r="M297" s="1665">
        <v>5.2531000000000001E-2</v>
      </c>
      <c r="N297" s="1666">
        <v>1.1072047556831512</v>
      </c>
      <c r="O297" s="1666">
        <v>1.1072047556831512</v>
      </c>
    </row>
    <row r="298" spans="2:15">
      <c r="B298" s="1546">
        <v>41487</v>
      </c>
      <c r="C298" s="1547">
        <v>521.27</v>
      </c>
      <c r="D298" s="1547">
        <v>3725.95</v>
      </c>
      <c r="E298" s="1547">
        <v>1.0071031495053051</v>
      </c>
      <c r="F298" s="1547">
        <v>32.178104240715413</v>
      </c>
      <c r="K298" s="1663">
        <v>42355</v>
      </c>
      <c r="L298" s="1664" t="s">
        <v>2293</v>
      </c>
      <c r="M298" s="1665">
        <v>5.2531000000000001E-2</v>
      </c>
      <c r="N298" s="1666">
        <v>1.1077863814133591</v>
      </c>
      <c r="O298" s="1666">
        <v>1.1077863814133591</v>
      </c>
    </row>
    <row r="299" spans="2:15">
      <c r="B299" s="1546">
        <v>41518</v>
      </c>
      <c r="C299" s="1547">
        <v>529.08500000000004</v>
      </c>
      <c r="D299" s="1547">
        <v>3738.99</v>
      </c>
      <c r="E299" s="1547">
        <v>1.0071302882501354</v>
      </c>
      <c r="F299" s="1547">
        <v>32.407543399294617</v>
      </c>
      <c r="K299" s="1663">
        <v>42356</v>
      </c>
      <c r="L299" s="1664" t="s">
        <v>2293</v>
      </c>
      <c r="M299" s="1665">
        <v>5.2531000000000001E-2</v>
      </c>
      <c r="N299" s="1666">
        <v>1.1083683126773793</v>
      </c>
      <c r="O299" s="1666">
        <v>1.1083683126773793</v>
      </c>
    </row>
    <row r="300" spans="2:15">
      <c r="B300" s="1546">
        <v>41548</v>
      </c>
      <c r="C300" s="1547">
        <v>533.62099999999998</v>
      </c>
      <c r="D300" s="1547">
        <v>3760.3</v>
      </c>
      <c r="E300" s="1547">
        <v>1.0081051023495244</v>
      </c>
      <c r="F300" s="1547">
        <v>32.670209855442558</v>
      </c>
      <c r="G300" s="67"/>
      <c r="K300" s="1663">
        <v>42357</v>
      </c>
      <c r="L300" s="1664"/>
      <c r="M300" s="1665">
        <v>0</v>
      </c>
      <c r="N300" s="1666">
        <v>1.1083683126773793</v>
      </c>
      <c r="O300" s="1666">
        <v>1.1083683126773793</v>
      </c>
    </row>
    <row r="301" spans="2:15">
      <c r="B301" s="1546">
        <v>41579</v>
      </c>
      <c r="C301" s="1547">
        <v>535.16800000000001</v>
      </c>
      <c r="D301" s="1547">
        <v>3780.61</v>
      </c>
      <c r="E301" s="1547">
        <v>1.0071920752752215</v>
      </c>
      <c r="F301" s="1547">
        <v>32.905176463980183</v>
      </c>
      <c r="G301" s="67"/>
      <c r="K301" s="1663">
        <v>42358</v>
      </c>
      <c r="L301" s="1664"/>
      <c r="M301" s="1665">
        <v>0</v>
      </c>
      <c r="N301" s="1666">
        <v>1.1083683126773793</v>
      </c>
      <c r="O301" s="1666">
        <v>1.1083683126773793</v>
      </c>
    </row>
    <row r="302" spans="2:15">
      <c r="B302" s="1546">
        <v>41609</v>
      </c>
      <c r="C302" s="1547">
        <v>538.37</v>
      </c>
      <c r="D302" s="1547">
        <v>3815.39</v>
      </c>
      <c r="E302" s="1547">
        <v>1.0078974581644051</v>
      </c>
      <c r="F302" s="1547">
        <v>33.165043718496833</v>
      </c>
      <c r="G302" s="66"/>
      <c r="K302" s="1663">
        <v>42359</v>
      </c>
      <c r="L302" s="1664" t="s">
        <v>2293</v>
      </c>
      <c r="M302" s="1665">
        <v>5.2531000000000001E-2</v>
      </c>
      <c r="N302" s="1666">
        <v>1.1089505496357119</v>
      </c>
      <c r="O302" s="1666">
        <v>1.1089505496357119</v>
      </c>
    </row>
    <row r="303" spans="2:15">
      <c r="B303" s="1546">
        <v>41640</v>
      </c>
      <c r="C303" s="1547">
        <v>540.95899999999995</v>
      </c>
      <c r="D303" s="1547">
        <v>3836.38</v>
      </c>
      <c r="E303" s="1547">
        <v>1.0084934395272054</v>
      </c>
      <c r="F303" s="1547">
        <v>33.446729011737006</v>
      </c>
      <c r="K303" s="1663">
        <v>42360</v>
      </c>
      <c r="L303" s="1664" t="s">
        <v>2293</v>
      </c>
      <c r="M303" s="1665">
        <v>5.2531000000000001E-2</v>
      </c>
      <c r="N303" s="1666">
        <v>1.109533092448941</v>
      </c>
      <c r="O303" s="1666">
        <v>1.109533092448941</v>
      </c>
    </row>
    <row r="304" spans="2:15">
      <c r="B304" s="1546">
        <v>41671</v>
      </c>
      <c r="C304" s="1547">
        <v>543.03800000000001</v>
      </c>
      <c r="D304" s="1547">
        <v>3862.84</v>
      </c>
      <c r="E304" s="1547">
        <v>1.007901464239193</v>
      </c>
      <c r="F304" s="1547">
        <v>33.711007144941227</v>
      </c>
      <c r="K304" s="1663">
        <v>42361</v>
      </c>
      <c r="L304" s="1664" t="s">
        <v>2293</v>
      </c>
      <c r="M304" s="1665">
        <v>5.2531000000000001E-2</v>
      </c>
      <c r="N304" s="1666">
        <v>1.1101159412777355</v>
      </c>
      <c r="O304" s="1666">
        <v>1.1101159412777355</v>
      </c>
    </row>
    <row r="305" spans="2:15">
      <c r="B305" s="1546">
        <v>41699</v>
      </c>
      <c r="C305" s="1547">
        <v>552.08699999999999</v>
      </c>
      <c r="D305" s="1547">
        <v>3898.38</v>
      </c>
      <c r="E305" s="1547">
        <v>1.0076595732083427</v>
      </c>
      <c r="F305" s="1547">
        <v>33.969219072094866</v>
      </c>
      <c r="K305" s="1663">
        <v>42362</v>
      </c>
      <c r="L305" s="1664" t="s">
        <v>2293</v>
      </c>
      <c r="M305" s="1665">
        <v>5.2531000000000001E-2</v>
      </c>
      <c r="N305" s="1666">
        <v>1.110699096282848</v>
      </c>
      <c r="O305" s="1666">
        <v>1.110699096282848</v>
      </c>
    </row>
    <row r="306" spans="2:15">
      <c r="B306" s="1546">
        <v>41730</v>
      </c>
      <c r="C306" s="1547">
        <v>556.41999999999996</v>
      </c>
      <c r="D306" s="1547">
        <v>3924.5</v>
      </c>
      <c r="E306" s="1547">
        <v>1.0082266762081393</v>
      </c>
      <c r="F306" s="1547">
        <v>34.248672838444342</v>
      </c>
      <c r="K306" s="1663">
        <v>42363</v>
      </c>
      <c r="L306" s="1664"/>
      <c r="M306" s="1665">
        <v>0</v>
      </c>
      <c r="N306" s="1666">
        <v>1.110699096282848</v>
      </c>
      <c r="O306" s="1666">
        <v>1.110699096282848</v>
      </c>
    </row>
    <row r="307" spans="2:15">
      <c r="B307" s="1546">
        <v>41760</v>
      </c>
      <c r="C307" s="1547">
        <v>555.67899999999997</v>
      </c>
      <c r="D307" s="1547">
        <v>3942.55</v>
      </c>
      <c r="E307" s="1547">
        <v>1.0086587318278823</v>
      </c>
      <c r="F307" s="1547">
        <v>34.545222912013308</v>
      </c>
      <c r="K307" s="1663">
        <v>42364</v>
      </c>
      <c r="L307" s="1664"/>
      <c r="M307" s="1665">
        <v>0</v>
      </c>
      <c r="N307" s="1666">
        <v>1.110699096282848</v>
      </c>
      <c r="O307" s="1666">
        <v>1.110699096282848</v>
      </c>
    </row>
    <row r="308" spans="2:15">
      <c r="B308" s="1546">
        <v>41791</v>
      </c>
      <c r="C308" s="1547">
        <v>551.55399999999997</v>
      </c>
      <c r="D308" s="1547">
        <v>3958.32</v>
      </c>
      <c r="E308" s="1547">
        <v>1.0082447163000285</v>
      </c>
      <c r="F308" s="1547">
        <v>34.830038474444102</v>
      </c>
      <c r="K308" s="1663">
        <v>42365</v>
      </c>
      <c r="L308" s="1664"/>
      <c r="M308" s="1665">
        <v>0</v>
      </c>
      <c r="N308" s="1666">
        <v>1.110699096282848</v>
      </c>
      <c r="O308" s="1666">
        <v>1.110699096282848</v>
      </c>
    </row>
    <row r="309" spans="2:15">
      <c r="B309" s="1546">
        <v>41821</v>
      </c>
      <c r="C309" s="1547">
        <v>548.202</v>
      </c>
      <c r="D309" s="1547">
        <v>3958.72</v>
      </c>
      <c r="E309" s="1547">
        <v>1.0094872729749897</v>
      </c>
      <c r="F309" s="1547">
        <v>35.160480557180549</v>
      </c>
      <c r="K309" s="1663">
        <v>42366</v>
      </c>
      <c r="L309" s="1664" t="s">
        <v>2293</v>
      </c>
      <c r="M309" s="1665">
        <v>5.2531000000000001E-2</v>
      </c>
      <c r="N309" s="1666">
        <v>1.1112825576251164</v>
      </c>
      <c r="O309" s="1666">
        <v>1.1112825576251164</v>
      </c>
    </row>
    <row r="310" spans="2:15">
      <c r="B310" s="1546">
        <v>41852</v>
      </c>
      <c r="C310" s="1547">
        <v>546.745</v>
      </c>
      <c r="D310" s="1547">
        <v>3968.62</v>
      </c>
      <c r="E310" s="1547">
        <v>1.0086598207325679</v>
      </c>
      <c r="F310" s="1547">
        <v>35.464964015676671</v>
      </c>
      <c r="K310" s="1663">
        <v>42367</v>
      </c>
      <c r="L310" s="1664" t="s">
        <v>2293</v>
      </c>
      <c r="M310" s="1665">
        <v>5.2531000000000001E-2</v>
      </c>
      <c r="N310" s="1666">
        <v>1.1118663254654624</v>
      </c>
      <c r="O310" s="1666">
        <v>1.1118663254654624</v>
      </c>
    </row>
    <row r="311" spans="2:15">
      <c r="B311" s="1546">
        <v>41883</v>
      </c>
      <c r="C311" s="1547">
        <v>547.83900000000006</v>
      </c>
      <c r="D311" s="1547">
        <v>3991.24</v>
      </c>
      <c r="E311" s="1547">
        <v>1.0090729173629331</v>
      </c>
      <c r="F311" s="1547">
        <v>35.786734703470302</v>
      </c>
      <c r="K311" s="1663">
        <v>42368</v>
      </c>
      <c r="L311" s="1664" t="s">
        <v>2293</v>
      </c>
      <c r="M311" s="1665">
        <v>5.2531000000000001E-2</v>
      </c>
      <c r="N311" s="1666">
        <v>1.1124503999648927</v>
      </c>
      <c r="O311" s="1666">
        <v>1.1124503999648927</v>
      </c>
    </row>
    <row r="312" spans="2:15">
      <c r="B312" s="1546">
        <v>41913</v>
      </c>
      <c r="C312" s="1547">
        <v>549.39599999999996</v>
      </c>
      <c r="D312" s="1547">
        <v>4008</v>
      </c>
      <c r="E312" s="1547">
        <v>1.009505315279368</v>
      </c>
      <c r="F312" s="1547">
        <v>36.126898899645887</v>
      </c>
      <c r="K312" s="1663">
        <v>42369</v>
      </c>
      <c r="L312" s="1664" t="s">
        <v>2293</v>
      </c>
      <c r="M312" s="1665">
        <v>5.2531000000000001E-2</v>
      </c>
      <c r="N312" s="1666">
        <v>1.1130347812844983</v>
      </c>
      <c r="O312" s="1666">
        <v>1.1130347812844983</v>
      </c>
    </row>
    <row r="313" spans="2:15">
      <c r="B313" s="1546">
        <v>41944</v>
      </c>
      <c r="C313" s="1547">
        <v>554.76900000000001</v>
      </c>
      <c r="D313" s="1547">
        <v>4028.44</v>
      </c>
      <c r="E313" s="1547">
        <v>1.0084249317586502</v>
      </c>
      <c r="F313" s="1547">
        <v>36.431265557527063</v>
      </c>
      <c r="K313" s="1663">
        <v>42370</v>
      </c>
      <c r="L313" s="1664"/>
      <c r="M313" s="1665">
        <v>0</v>
      </c>
      <c r="N313" s="1666">
        <v>1.1130347812844983</v>
      </c>
      <c r="O313" s="1666">
        <v>1.1130347812844983</v>
      </c>
    </row>
    <row r="314" spans="2:15">
      <c r="B314" s="1546">
        <v>41974</v>
      </c>
      <c r="C314" s="1547">
        <v>558.21299999999997</v>
      </c>
      <c r="D314" s="1547">
        <v>4059.86</v>
      </c>
      <c r="E314" s="1547">
        <v>1.0096129495106978</v>
      </c>
      <c r="F314" s="1547">
        <v>36.781477473942395</v>
      </c>
      <c r="K314" s="1663">
        <v>42371</v>
      </c>
      <c r="L314" s="1664"/>
      <c r="M314" s="1665">
        <v>0</v>
      </c>
      <c r="N314" s="1666">
        <v>1.1130347812844983</v>
      </c>
      <c r="O314" s="1666">
        <v>1.1130347812844983</v>
      </c>
    </row>
    <row r="315" spans="2:15">
      <c r="B315" s="1546">
        <v>42005</v>
      </c>
      <c r="C315" s="1547">
        <v>562.48199999999997</v>
      </c>
      <c r="D315" s="1547">
        <v>4110.2</v>
      </c>
      <c r="E315" s="1547">
        <v>1.0093507541041149</v>
      </c>
      <c r="F315" s="1547">
        <v>37.12541202538727</v>
      </c>
      <c r="K315" s="1663">
        <v>42372</v>
      </c>
      <c r="L315" s="1664"/>
      <c r="M315" s="1665">
        <v>0</v>
      </c>
      <c r="N315" s="1666">
        <v>1.1130347812844983</v>
      </c>
      <c r="O315" s="1666">
        <v>1.1130347812844983</v>
      </c>
    </row>
    <row r="316" spans="2:15">
      <c r="B316" s="1546">
        <v>42036</v>
      </c>
      <c r="C316" s="1547">
        <v>564.00400000000002</v>
      </c>
      <c r="D316" s="1547">
        <v>4160.34</v>
      </c>
      <c r="E316" s="1547">
        <v>1.0082241099890967</v>
      </c>
      <c r="F316" s="1547">
        <v>37.43073549727459</v>
      </c>
      <c r="K316" s="1663">
        <v>42373</v>
      </c>
      <c r="L316" s="1664" t="s">
        <v>2293</v>
      </c>
      <c r="M316" s="1665">
        <v>5.2531000000000001E-2</v>
      </c>
      <c r="N316" s="1666">
        <v>1.1136194695854549</v>
      </c>
      <c r="O316" s="1666">
        <v>1.1136194695854549</v>
      </c>
    </row>
    <row r="317" spans="2:15">
      <c r="B317" s="1546">
        <v>42064</v>
      </c>
      <c r="C317" s="1547">
        <v>569.53599999999994</v>
      </c>
      <c r="D317" s="1547">
        <v>4215.26</v>
      </c>
      <c r="E317" s="1547">
        <v>1.0103996710699541</v>
      </c>
      <c r="F317" s="1547">
        <v>37.820002834352699</v>
      </c>
      <c r="K317" s="1663">
        <v>42374</v>
      </c>
      <c r="L317" s="1664" t="s">
        <v>2293</v>
      </c>
      <c r="M317" s="1665">
        <v>5.2531000000000001E-2</v>
      </c>
      <c r="N317" s="1666">
        <v>1.1142044650290228</v>
      </c>
      <c r="O317" s="1666">
        <v>1.1142044650290228</v>
      </c>
    </row>
    <row r="318" spans="2:15">
      <c r="B318" s="1546">
        <v>42095</v>
      </c>
      <c r="C318" s="1547">
        <v>576.17499999999995</v>
      </c>
      <c r="D318" s="1547">
        <v>4245.1899999999996</v>
      </c>
      <c r="E318" s="1547">
        <v>1.0095179160892187</v>
      </c>
      <c r="F318" s="1547">
        <v>38.179970447824083</v>
      </c>
      <c r="K318" s="1663">
        <v>42375</v>
      </c>
      <c r="L318" s="1664" t="s">
        <v>2293</v>
      </c>
      <c r="M318" s="1665">
        <v>5.2531000000000001E-2</v>
      </c>
      <c r="N318" s="1666">
        <v>1.1147897677765473</v>
      </c>
      <c r="O318" s="1666">
        <v>1.1147897677765473</v>
      </c>
    </row>
    <row r="319" spans="2:15">
      <c r="B319" s="1546">
        <v>42125</v>
      </c>
      <c r="C319" s="1547">
        <v>578.51599999999996</v>
      </c>
      <c r="D319" s="1547">
        <v>4276.6000000000004</v>
      </c>
      <c r="E319" s="1547">
        <v>1.0098532226245138</v>
      </c>
      <c r="F319" s="1547">
        <v>38.556166196443854</v>
      </c>
      <c r="K319" s="1663">
        <v>42376</v>
      </c>
      <c r="L319" s="1664" t="s">
        <v>2293</v>
      </c>
      <c r="M319" s="1665">
        <v>5.2531000000000001E-2</v>
      </c>
      <c r="N319" s="1666">
        <v>1.115375377989458</v>
      </c>
      <c r="O319" s="1666">
        <v>1.115375377989458</v>
      </c>
    </row>
    <row r="320" spans="2:15">
      <c r="B320" s="1546">
        <v>42156</v>
      </c>
      <c r="C320" s="1547">
        <v>582.40099999999995</v>
      </c>
      <c r="D320" s="1547">
        <v>4310.3900000000003</v>
      </c>
      <c r="E320" s="1547">
        <v>1.0106667572412273</v>
      </c>
      <c r="F320" s="1547">
        <v>38.967435461413736</v>
      </c>
      <c r="K320" s="1663">
        <v>42377</v>
      </c>
      <c r="L320" s="1664" t="s">
        <v>2293</v>
      </c>
      <c r="M320" s="1665">
        <v>5.2531000000000001E-2</v>
      </c>
      <c r="N320" s="1666">
        <v>1.1159612958292695</v>
      </c>
      <c r="O320" s="1666">
        <v>1.1159612958292695</v>
      </c>
    </row>
    <row r="321" spans="2:15">
      <c r="B321" s="1546">
        <v>42186</v>
      </c>
      <c r="C321" s="1547">
        <v>586.42600000000004</v>
      </c>
      <c r="D321" s="1547">
        <v>4337.1099999999997</v>
      </c>
      <c r="E321" s="1547">
        <v>1.0117819838421735</v>
      </c>
      <c r="F321" s="1547">
        <v>39.426549156391054</v>
      </c>
      <c r="K321" s="1663">
        <v>42378</v>
      </c>
      <c r="L321" s="1664"/>
      <c r="M321" s="1665">
        <v>0</v>
      </c>
      <c r="N321" s="1666">
        <v>1.1159612958292695</v>
      </c>
      <c r="O321" s="1666">
        <v>1.1159612958292695</v>
      </c>
    </row>
    <row r="322" spans="2:15">
      <c r="B322" s="1546">
        <v>42217</v>
      </c>
      <c r="C322" s="1547">
        <v>588.04200000000003</v>
      </c>
      <c r="D322" s="1547">
        <v>4346.6499999999996</v>
      </c>
      <c r="E322" s="1547">
        <v>1.0110896528780247</v>
      </c>
      <c r="F322" s="1547">
        <v>39.863775900713804</v>
      </c>
      <c r="K322" s="1663">
        <v>42379</v>
      </c>
      <c r="L322" s="1664"/>
      <c r="M322" s="1665">
        <v>0</v>
      </c>
      <c r="N322" s="1666">
        <v>1.1159612958292695</v>
      </c>
      <c r="O322" s="1666">
        <v>1.1159612958292695</v>
      </c>
    </row>
    <row r="323" spans="2:15">
      <c r="B323" s="1546">
        <v>42248</v>
      </c>
      <c r="C323" s="1547">
        <v>593.60599999999999</v>
      </c>
      <c r="D323" s="1547">
        <v>4370.12</v>
      </c>
      <c r="E323" s="1547">
        <v>1.0110896528780244</v>
      </c>
      <c r="F323" s="1547">
        <v>40.305851337860076</v>
      </c>
      <c r="K323" s="1663">
        <v>42380</v>
      </c>
      <c r="L323" s="1664" t="s">
        <v>2293</v>
      </c>
      <c r="M323" s="1665">
        <v>5.2531000000000001E-2</v>
      </c>
      <c r="N323" s="1666">
        <v>1.1165475214575815</v>
      </c>
      <c r="O323" s="1666">
        <v>1.1165475214575815</v>
      </c>
    </row>
    <row r="324" spans="2:15">
      <c r="B324" s="1546">
        <v>42278</v>
      </c>
      <c r="C324" s="1547">
        <v>604.83199999999999</v>
      </c>
      <c r="D324" s="1547">
        <v>4405.95</v>
      </c>
      <c r="E324" s="1547">
        <v>1.0110896528780242</v>
      </c>
      <c r="F324" s="1547">
        <v>40.752829238150191</v>
      </c>
      <c r="K324" s="1663">
        <v>42381</v>
      </c>
      <c r="L324" s="1664" t="s">
        <v>2293</v>
      </c>
      <c r="M324" s="1665">
        <v>5.2531000000000001E-2</v>
      </c>
      <c r="N324" s="1666">
        <v>1.1171340550360784</v>
      </c>
      <c r="O324" s="1666">
        <v>1.1171340550360784</v>
      </c>
    </row>
    <row r="325" spans="2:15">
      <c r="B325" s="1546">
        <v>42309</v>
      </c>
      <c r="C325" s="1547">
        <v>614.05100000000004</v>
      </c>
      <c r="D325" s="1547">
        <v>4450.45</v>
      </c>
      <c r="E325" s="1547">
        <v>1.0105587962367735</v>
      </c>
      <c r="F325" s="1547">
        <v>41.183130058147846</v>
      </c>
      <c r="K325" s="1663">
        <v>42382</v>
      </c>
      <c r="L325" s="1664" t="s">
        <v>2293</v>
      </c>
      <c r="M325" s="1665">
        <v>5.2531000000000001E-2</v>
      </c>
      <c r="N325" s="1666">
        <v>1.1177208967265295</v>
      </c>
      <c r="O325" s="1666">
        <v>1.1177208967265295</v>
      </c>
    </row>
    <row r="326" spans="2:15">
      <c r="B326" s="1546">
        <v>42339</v>
      </c>
      <c r="C326" s="1547">
        <v>617.04399999999998</v>
      </c>
      <c r="D326" s="1547">
        <v>4493.17</v>
      </c>
      <c r="E326" s="1547">
        <v>1.0116207883835777</v>
      </c>
      <c r="F326" s="1547">
        <v>41.66171049752694</v>
      </c>
      <c r="K326" s="1663">
        <v>42383</v>
      </c>
      <c r="L326" s="1664" t="s">
        <v>2293</v>
      </c>
      <c r="M326" s="1665">
        <v>5.2531000000000001E-2</v>
      </c>
      <c r="N326" s="1666">
        <v>1.1183080466907889</v>
      </c>
      <c r="O326" s="1666">
        <v>1.1183080466907889</v>
      </c>
    </row>
    <row r="327" spans="2:15">
      <c r="B327" s="1546">
        <v>42370</v>
      </c>
      <c r="C327" s="1547">
        <v>624.05999999999995</v>
      </c>
      <c r="D327" s="1547">
        <v>4550.2299999999996</v>
      </c>
      <c r="E327" s="1547">
        <v>1.0105587962367735</v>
      </c>
      <c r="F327" s="1547">
        <v>42.101608009545771</v>
      </c>
      <c r="K327" s="1663">
        <v>42384</v>
      </c>
      <c r="L327" s="1664" t="s">
        <v>2293</v>
      </c>
      <c r="M327" s="1665">
        <v>5.2531000000000001E-2</v>
      </c>
      <c r="N327" s="1666">
        <v>1.118895505090796</v>
      </c>
      <c r="O327" s="1666">
        <v>1.118895505090796</v>
      </c>
    </row>
    <row r="328" spans="2:15">
      <c r="B328" s="1546">
        <v>42401</v>
      </c>
      <c r="C328" s="1547">
        <v>632.11400000000003</v>
      </c>
      <c r="D328" s="1547">
        <v>4591.18</v>
      </c>
      <c r="E328" s="1547">
        <v>1.0100282183134115</v>
      </c>
      <c r="F328" s="1547">
        <v>42.523812126011173</v>
      </c>
      <c r="K328" s="1663">
        <v>42385</v>
      </c>
      <c r="L328" s="1664"/>
      <c r="M328" s="1665">
        <v>0</v>
      </c>
      <c r="N328" s="1666">
        <v>1.118895505090796</v>
      </c>
      <c r="O328" s="1666">
        <v>1.118895505090796</v>
      </c>
    </row>
    <row r="329" spans="2:15">
      <c r="B329" s="1546">
        <v>42430</v>
      </c>
      <c r="C329" s="1547">
        <v>635.34900000000005</v>
      </c>
      <c r="D329" s="1547">
        <v>4610.92</v>
      </c>
      <c r="E329" s="1547">
        <v>1.0116207883835779</v>
      </c>
      <c r="F329" s="1547">
        <v>43.017972347990572</v>
      </c>
      <c r="K329" s="1663">
        <v>42386</v>
      </c>
      <c r="L329" s="1664"/>
      <c r="M329" s="1665">
        <v>0</v>
      </c>
      <c r="N329" s="1666">
        <v>1.118895505090796</v>
      </c>
      <c r="O329" s="1666">
        <v>1.118895505090796</v>
      </c>
    </row>
    <row r="330" spans="2:15">
      <c r="B330" s="1546">
        <v>42461</v>
      </c>
      <c r="C330" s="1547">
        <v>637.43399999999997</v>
      </c>
      <c r="D330" s="1547">
        <v>4639.05</v>
      </c>
      <c r="E330" s="1547">
        <v>1.0105587962367735</v>
      </c>
      <c r="F330" s="1547">
        <v>43.472190352532159</v>
      </c>
      <c r="K330" s="1663">
        <v>42387</v>
      </c>
      <c r="L330" s="1664" t="s">
        <v>2293</v>
      </c>
      <c r="M330" s="1665">
        <v>5.2531000000000001E-2</v>
      </c>
      <c r="N330" s="1666">
        <v>1.1194832720885752</v>
      </c>
      <c r="O330" s="1666">
        <v>1.1194832720885752</v>
      </c>
    </row>
    <row r="331" spans="2:15">
      <c r="B331" s="1546">
        <v>42491</v>
      </c>
      <c r="C331" s="1547">
        <v>642.65099999999995</v>
      </c>
      <c r="D331" s="1547">
        <v>4675.2299999999996</v>
      </c>
      <c r="E331" s="1547">
        <v>1.0110896528780244</v>
      </c>
      <c r="F331" s="1547">
        <v>43.954281853389141</v>
      </c>
      <c r="K331" s="1663">
        <v>42388</v>
      </c>
      <c r="L331" s="1664" t="s">
        <v>2293</v>
      </c>
      <c r="M331" s="1665">
        <v>5.2531000000000001E-2</v>
      </c>
      <c r="N331" s="1666">
        <v>1.1200713478462361</v>
      </c>
      <c r="O331" s="1666">
        <v>1.1200713478462361</v>
      </c>
    </row>
    <row r="332" spans="2:15">
      <c r="B332" s="1546">
        <v>42522</v>
      </c>
      <c r="C332" s="1547">
        <v>653.49599999999998</v>
      </c>
      <c r="D332" s="1547">
        <v>4691.59</v>
      </c>
      <c r="E332" s="1547">
        <v>1.0116207883835777</v>
      </c>
      <c r="F332" s="1547">
        <v>44.465065261359506</v>
      </c>
      <c r="K332" s="1663">
        <v>42389</v>
      </c>
      <c r="L332" s="1664" t="s">
        <v>2293</v>
      </c>
      <c r="M332" s="1665">
        <v>5.2531000000000001E-2</v>
      </c>
      <c r="N332" s="1666">
        <v>1.1206597325259733</v>
      </c>
      <c r="O332" s="1666">
        <v>1.1206597325259733</v>
      </c>
    </row>
    <row r="333" spans="2:15">
      <c r="B333" s="1546">
        <v>42552</v>
      </c>
      <c r="C333" s="1547">
        <v>654.64099999999996</v>
      </c>
      <c r="D333" s="1547">
        <v>4715.99</v>
      </c>
      <c r="E333" s="1547">
        <v>1.0110896528780242</v>
      </c>
      <c r="F333" s="1547">
        <v>44.958167400306678</v>
      </c>
      <c r="K333" s="1663">
        <v>42390</v>
      </c>
      <c r="L333" s="1664" t="s">
        <v>2293</v>
      </c>
      <c r="M333" s="1665">
        <v>5.2531000000000001E-2</v>
      </c>
      <c r="N333" s="1666">
        <v>1.1212484262900666</v>
      </c>
      <c r="O333" s="1666">
        <v>1.1212484262900666</v>
      </c>
    </row>
    <row r="334" spans="2:15">
      <c r="B334" s="1546">
        <v>42583</v>
      </c>
      <c r="C334" s="1547">
        <v>655.60199999999998</v>
      </c>
      <c r="D334" s="1547">
        <v>4736.74</v>
      </c>
      <c r="E334" s="1547">
        <v>1.0121522028999232</v>
      </c>
      <c r="F334" s="1547">
        <v>45.504508172563916</v>
      </c>
      <c r="K334" s="1663">
        <v>42391</v>
      </c>
      <c r="L334" s="1664" t="s">
        <v>2293</v>
      </c>
      <c r="M334" s="1665">
        <v>5.2531000000000001E-2</v>
      </c>
      <c r="N334" s="1666">
        <v>1.121837429300881</v>
      </c>
      <c r="O334" s="1666">
        <v>1.121837429300881</v>
      </c>
    </row>
    <row r="335" spans="2:15">
      <c r="B335" s="1546">
        <v>42614</v>
      </c>
      <c r="C335" s="1547">
        <v>656.89400000000001</v>
      </c>
      <c r="D335" s="1547">
        <v>4740.53</v>
      </c>
      <c r="E335" s="1547">
        <v>1.0110896528780247</v>
      </c>
      <c r="F335" s="1547">
        <v>46.009137372582884</v>
      </c>
      <c r="K335" s="1663">
        <v>42392</v>
      </c>
      <c r="L335" s="1664"/>
      <c r="M335" s="1665">
        <v>0</v>
      </c>
      <c r="N335" s="1666">
        <v>1.121837429300881</v>
      </c>
      <c r="O335" s="1666">
        <v>1.121837429300881</v>
      </c>
    </row>
    <row r="336" spans="2:15">
      <c r="B336" s="1546">
        <v>42644</v>
      </c>
      <c r="C336" s="1547">
        <v>657.92700000000002</v>
      </c>
      <c r="D336" s="1547">
        <v>4752.8599999999997</v>
      </c>
      <c r="E336" s="1547">
        <v>1.0104884196148551</v>
      </c>
      <c r="F336" s="1547">
        <v>46.491700511464046</v>
      </c>
      <c r="K336" s="1663">
        <v>42393</v>
      </c>
      <c r="L336" s="1664"/>
      <c r="M336" s="1665">
        <v>0</v>
      </c>
      <c r="N336" s="1666">
        <v>1.121837429300881</v>
      </c>
      <c r="O336" s="1666">
        <v>1.121837429300881</v>
      </c>
    </row>
    <row r="337" spans="2:15">
      <c r="B337" s="1546">
        <v>42675</v>
      </c>
      <c r="C337" s="1547">
        <v>657.75199999999995</v>
      </c>
      <c r="D337" s="1547">
        <v>4761.42</v>
      </c>
      <c r="E337" s="1547">
        <v>1.0103828638714687</v>
      </c>
      <c r="F337" s="1547">
        <v>46.974417509027667</v>
      </c>
      <c r="K337" s="1663">
        <v>42394</v>
      </c>
      <c r="L337" s="1664" t="s">
        <v>2293</v>
      </c>
      <c r="M337" s="1665">
        <v>5.2531000000000001E-2</v>
      </c>
      <c r="N337" s="1666">
        <v>1.1224267417208671</v>
      </c>
      <c r="O337" s="1666">
        <v>1.1224267417208671</v>
      </c>
    </row>
    <row r="338" spans="2:15">
      <c r="B338" s="1546">
        <v>42705</v>
      </c>
      <c r="C338" s="1547">
        <v>661.30399999999997</v>
      </c>
      <c r="D338" s="1547">
        <v>4775.7</v>
      </c>
      <c r="E338" s="1547">
        <v>1.0112331468569866</v>
      </c>
      <c r="F338" s="1547">
        <v>47.502088039427981</v>
      </c>
      <c r="K338" s="1663">
        <v>42395</v>
      </c>
      <c r="L338" s="1664" t="s">
        <v>2293</v>
      </c>
      <c r="M338" s="1665">
        <v>5.2531000000000001E-2</v>
      </c>
      <c r="N338" s="1666">
        <v>1.1230163637125605</v>
      </c>
      <c r="O338" s="1666">
        <v>1.1230163637125605</v>
      </c>
    </row>
    <row r="339" spans="2:15">
      <c r="B339" s="1546">
        <v>42736</v>
      </c>
      <c r="C339" s="1547">
        <v>665.54200000000003</v>
      </c>
      <c r="D339" s="1547">
        <v>4793.8500000000004</v>
      </c>
      <c r="E339" s="1547">
        <v>1.0108612048503447</v>
      </c>
      <c r="F339" s="1547">
        <v>48.018017948443315</v>
      </c>
      <c r="K339" s="1663">
        <v>42396</v>
      </c>
      <c r="L339" s="1664" t="s">
        <v>2293</v>
      </c>
      <c r="M339" s="1665">
        <v>5.2531000000000001E-2</v>
      </c>
      <c r="N339" s="1666">
        <v>1.1236062954385824</v>
      </c>
      <c r="O339" s="1666">
        <v>1.1236062954385824</v>
      </c>
    </row>
    <row r="340" spans="2:15">
      <c r="B340" s="1546">
        <v>42767</v>
      </c>
      <c r="C340" s="1547">
        <v>666.09900000000005</v>
      </c>
      <c r="D340" s="1547">
        <v>4809.67</v>
      </c>
      <c r="E340" s="1547">
        <v>1.0086508422083289</v>
      </c>
      <c r="F340" s="1547">
        <v>48.433414244872004</v>
      </c>
      <c r="K340" s="1663">
        <v>42397</v>
      </c>
      <c r="L340" s="1664" t="s">
        <v>2293</v>
      </c>
      <c r="M340" s="1665">
        <v>5.2531000000000001E-2</v>
      </c>
      <c r="N340" s="1666">
        <v>1.1241965370616391</v>
      </c>
      <c r="O340" s="1666">
        <v>1.1241965370616391</v>
      </c>
    </row>
    <row r="341" spans="2:15">
      <c r="B341" s="1546">
        <v>42795</v>
      </c>
      <c r="C341" s="1547">
        <v>666.197</v>
      </c>
      <c r="D341" s="1547">
        <v>4821.6899999999996</v>
      </c>
      <c r="E341" s="1547">
        <v>1.0105205646045978</v>
      </c>
      <c r="F341" s="1547">
        <v>48.94296110845643</v>
      </c>
      <c r="K341" s="1663">
        <v>42398</v>
      </c>
      <c r="L341" s="1664" t="s">
        <v>2293</v>
      </c>
      <c r="M341" s="1665">
        <v>5.2531000000000001E-2</v>
      </c>
      <c r="N341" s="1666">
        <v>1.124787088744523</v>
      </c>
      <c r="O341" s="1666">
        <v>1.124787088744523</v>
      </c>
    </row>
    <row r="342" spans="2:15">
      <c r="B342" s="1546">
        <v>42826</v>
      </c>
      <c r="C342" s="1547">
        <v>658.89800000000002</v>
      </c>
      <c r="D342" s="1547">
        <v>4828.4399999999996</v>
      </c>
      <c r="E342" s="1547">
        <v>1.0078658059100756</v>
      </c>
      <c r="F342" s="1547">
        <v>49.327936941199923</v>
      </c>
      <c r="K342" s="1663">
        <v>42399</v>
      </c>
      <c r="L342" s="1664"/>
      <c r="M342" s="1665">
        <v>0</v>
      </c>
      <c r="N342" s="1666">
        <v>1.124787088744523</v>
      </c>
      <c r="O342" s="1666">
        <v>1.124787088744523</v>
      </c>
    </row>
    <row r="343" spans="2:15">
      <c r="B343" s="1546">
        <v>42856</v>
      </c>
      <c r="C343" s="1547">
        <v>652.75800000000004</v>
      </c>
      <c r="D343" s="1547">
        <v>4843.41</v>
      </c>
      <c r="E343" s="1547">
        <v>1.0092713189779878</v>
      </c>
      <c r="F343" s="1547">
        <v>49.785271979107854</v>
      </c>
      <c r="K343" s="1663">
        <v>42400</v>
      </c>
      <c r="L343" s="1664"/>
      <c r="M343" s="1665">
        <v>0</v>
      </c>
      <c r="N343" s="1666">
        <v>1.124787088744523</v>
      </c>
      <c r="O343" s="1666">
        <v>1.124787088744523</v>
      </c>
    </row>
    <row r="344" spans="2:15">
      <c r="B344" s="1546">
        <v>42887</v>
      </c>
      <c r="C344" s="1547">
        <v>648.40899999999999</v>
      </c>
      <c r="D344" s="1547">
        <v>4832.2700000000004</v>
      </c>
      <c r="E344" s="1547">
        <v>1.0080886926571575</v>
      </c>
      <c r="F344" s="1547">
        <v>50.187969742999854</v>
      </c>
      <c r="K344" s="1663">
        <v>42401</v>
      </c>
      <c r="L344" s="1664" t="s">
        <v>2293</v>
      </c>
      <c r="M344" s="1665">
        <v>5.2531000000000001E-2</v>
      </c>
      <c r="N344" s="1666">
        <v>1.1253779506501114</v>
      </c>
      <c r="O344" s="1666">
        <v>1.1253779506501114</v>
      </c>
    </row>
    <row r="345" spans="2:15">
      <c r="B345" s="1546">
        <v>42917</v>
      </c>
      <c r="C345" s="1547">
        <v>643.76599999999996</v>
      </c>
      <c r="D345" s="1547">
        <v>4843.87</v>
      </c>
      <c r="E345" s="1547">
        <v>1.0079792299470567</v>
      </c>
      <c r="F345" s="1547">
        <v>50.588431094155176</v>
      </c>
      <c r="K345" s="1663">
        <v>42402</v>
      </c>
      <c r="L345" s="1664" t="s">
        <v>2293</v>
      </c>
      <c r="M345" s="1665">
        <v>5.2531000000000001E-2</v>
      </c>
      <c r="N345" s="1666">
        <v>1.1259691229413673</v>
      </c>
      <c r="O345" s="1666">
        <v>1.1259691229413673</v>
      </c>
    </row>
    <row r="346" spans="2:15">
      <c r="B346" s="1546">
        <v>42948</v>
      </c>
      <c r="C346" s="1547">
        <v>644.38300000000004</v>
      </c>
      <c r="D346" s="1547">
        <v>4853.07</v>
      </c>
      <c r="E346" s="1547">
        <v>1.0080228940119034</v>
      </c>
      <c r="F346" s="1547">
        <v>50.994296715052059</v>
      </c>
      <c r="K346" s="1663">
        <v>42403</v>
      </c>
      <c r="L346" s="1664" t="s">
        <v>2293</v>
      </c>
      <c r="M346" s="1665">
        <v>5.2531000000000001E-2</v>
      </c>
      <c r="N346" s="1666">
        <v>1.1265606057813395</v>
      </c>
      <c r="O346" s="1666">
        <v>1.1265606057813395</v>
      </c>
    </row>
    <row r="347" spans="2:15">
      <c r="B347" s="1546">
        <v>42979</v>
      </c>
      <c r="C347" s="1547">
        <v>647.4</v>
      </c>
      <c r="D347" s="1547">
        <v>4860.83</v>
      </c>
      <c r="E347" s="1547">
        <v>1.0063846003708505</v>
      </c>
      <c r="F347" s="1547">
        <v>51.319874920770239</v>
      </c>
      <c r="K347" s="1663">
        <v>42404</v>
      </c>
      <c r="L347" s="1664" t="s">
        <v>2293</v>
      </c>
      <c r="M347" s="1665">
        <v>5.2531000000000001E-2</v>
      </c>
      <c r="N347" s="1666">
        <v>1.1271523993331625</v>
      </c>
      <c r="O347" s="1666">
        <v>1.1271523993331625</v>
      </c>
    </row>
    <row r="348" spans="2:15">
      <c r="B348" s="1546">
        <v>43009</v>
      </c>
      <c r="C348" s="1547">
        <v>648.67200000000003</v>
      </c>
      <c r="D348" s="1547">
        <v>4881.25</v>
      </c>
      <c r="E348" s="1547">
        <v>1.0064393014601032</v>
      </c>
      <c r="F348" s="1547">
        <v>51.650339066279869</v>
      </c>
      <c r="K348" s="1663">
        <v>42405</v>
      </c>
      <c r="L348" s="1664" t="s">
        <v>2293</v>
      </c>
      <c r="M348" s="1665">
        <v>5.2531000000000001E-2</v>
      </c>
      <c r="N348" s="1666">
        <v>1.1277445037600562</v>
      </c>
      <c r="O348" s="1666">
        <v>1.1277445037600562</v>
      </c>
    </row>
    <row r="349" spans="2:15">
      <c r="B349" s="1546">
        <v>43040</v>
      </c>
      <c r="C349" s="1547">
        <v>652.07299999999998</v>
      </c>
      <c r="D349" s="1547">
        <v>4894.92</v>
      </c>
      <c r="E349" s="1547">
        <v>1.0056818783789492</v>
      </c>
      <c r="F349" s="1547">
        <v>51.943810011085958</v>
      </c>
      <c r="K349" s="1663">
        <v>42406</v>
      </c>
      <c r="L349" s="1664"/>
      <c r="M349" s="1665">
        <v>0</v>
      </c>
      <c r="N349" s="1666">
        <v>1.1277445037600562</v>
      </c>
      <c r="O349" s="1666">
        <v>1.1277445037600562</v>
      </c>
    </row>
    <row r="350" spans="2:15">
      <c r="B350" s="1546">
        <v>43070</v>
      </c>
      <c r="C350" s="1547">
        <v>657.85900000000004</v>
      </c>
      <c r="D350" s="1547">
        <v>4916.46</v>
      </c>
      <c r="E350" s="1547">
        <v>1.0053840004998948</v>
      </c>
      <c r="F350" s="1547">
        <v>52.223475510152085</v>
      </c>
      <c r="K350" s="1663">
        <v>42407</v>
      </c>
      <c r="L350" s="1664"/>
      <c r="M350" s="1665">
        <v>0</v>
      </c>
      <c r="N350" s="1666">
        <v>1.1277445037600562</v>
      </c>
      <c r="O350" s="1666">
        <v>1.1277445037600562</v>
      </c>
    </row>
    <row r="351" spans="2:15">
      <c r="B351" s="1546">
        <v>43101</v>
      </c>
      <c r="C351" s="1547">
        <v>662.82600000000002</v>
      </c>
      <c r="D351" s="1547">
        <v>4930.72</v>
      </c>
      <c r="E351" s="1547">
        <v>1.0058420473548675</v>
      </c>
      <c r="F351" s="1547">
        <v>52.528567527118156</v>
      </c>
      <c r="K351" s="1663">
        <v>42408</v>
      </c>
      <c r="L351" s="1664"/>
      <c r="M351" s="1665">
        <v>0</v>
      </c>
      <c r="N351" s="1666">
        <v>1.1277445037600562</v>
      </c>
      <c r="O351" s="1666">
        <v>1.1277445037600562</v>
      </c>
    </row>
    <row r="352" spans="2:15">
      <c r="B352" s="1546">
        <v>43132</v>
      </c>
      <c r="C352" s="1547">
        <v>663.31100000000004</v>
      </c>
      <c r="D352" s="1547">
        <v>4946.5</v>
      </c>
      <c r="E352" s="1547">
        <v>1.0046560161193037</v>
      </c>
      <c r="F352" s="1547">
        <v>52.773141384248348</v>
      </c>
      <c r="K352" s="1663">
        <v>42409</v>
      </c>
      <c r="L352" s="1664"/>
      <c r="M352" s="1665">
        <v>0</v>
      </c>
      <c r="N352" s="1666">
        <v>1.1277445037600562</v>
      </c>
      <c r="O352" s="1666">
        <v>1.1277445037600562</v>
      </c>
    </row>
    <row r="353" spans="2:15">
      <c r="B353" s="1546">
        <v>43160</v>
      </c>
      <c r="C353" s="1547">
        <v>667.524</v>
      </c>
      <c r="D353" s="1547">
        <v>4950.95</v>
      </c>
      <c r="E353" s="1547">
        <v>1.0053234480536677</v>
      </c>
      <c r="F353" s="1547">
        <v>53.054076461036253</v>
      </c>
      <c r="K353" s="1663">
        <v>42410</v>
      </c>
      <c r="L353" s="1664" t="s">
        <v>2293</v>
      </c>
      <c r="M353" s="1665">
        <v>5.2531000000000001E-2</v>
      </c>
      <c r="N353" s="1666">
        <v>1.1283369192253263</v>
      </c>
      <c r="O353" s="1666">
        <v>1.1283369192253263</v>
      </c>
    </row>
    <row r="354" spans="2:15">
      <c r="B354" s="1546">
        <v>43191</v>
      </c>
      <c r="C354" s="1547">
        <v>671.327</v>
      </c>
      <c r="D354" s="1547">
        <v>4961.84</v>
      </c>
      <c r="E354" s="1547">
        <v>1.0051829489023658</v>
      </c>
      <c r="F354" s="1547">
        <v>53.329053028396011</v>
      </c>
      <c r="K354" s="1663">
        <v>42411</v>
      </c>
      <c r="L354" s="1664" t="s">
        <v>2293</v>
      </c>
      <c r="M354" s="1665">
        <v>5.2531000000000001E-2</v>
      </c>
      <c r="N354" s="1666">
        <v>1.1289296458923646</v>
      </c>
      <c r="O354" s="1666">
        <v>1.1289296458923646</v>
      </c>
    </row>
    <row r="355" spans="2:15">
      <c r="B355" s="1546">
        <v>43221</v>
      </c>
      <c r="C355" s="1547">
        <v>680.57899999999995</v>
      </c>
      <c r="D355" s="1547">
        <v>4981.6899999999996</v>
      </c>
      <c r="E355" s="1547">
        <v>1.0051829489023656</v>
      </c>
      <c r="F355" s="1547">
        <v>53.605454785253734</v>
      </c>
      <c r="G355" s="504"/>
      <c r="K355" s="1663">
        <v>42412</v>
      </c>
      <c r="L355" s="1664" t="s">
        <v>2293</v>
      </c>
      <c r="M355" s="1665">
        <v>5.2531000000000001E-2</v>
      </c>
      <c r="N355" s="1666">
        <v>1.1295226839246482</v>
      </c>
      <c r="O355" s="1666">
        <v>1.1295226839246482</v>
      </c>
    </row>
    <row r="356" spans="2:15">
      <c r="B356" s="1546">
        <v>43252</v>
      </c>
      <c r="C356" s="1547">
        <v>693.28700000000003</v>
      </c>
      <c r="D356" s="1547">
        <v>5044.46</v>
      </c>
      <c r="E356" s="1547">
        <v>1.0051829489023654</v>
      </c>
      <c r="F356" s="1547">
        <v>53.88328911829376</v>
      </c>
      <c r="G356" s="10"/>
      <c r="I356" s="10"/>
      <c r="K356" s="1663">
        <v>42413</v>
      </c>
      <c r="L356" s="1664"/>
      <c r="M356" s="1665">
        <v>0</v>
      </c>
      <c r="N356" s="1666">
        <v>1.1295226839246482</v>
      </c>
      <c r="O356" s="1666">
        <v>1.1295226839246482</v>
      </c>
    </row>
    <row r="357" spans="2:15">
      <c r="B357" s="1546">
        <v>43282</v>
      </c>
      <c r="C357" s="1547">
        <v>696.8</v>
      </c>
      <c r="D357" s="1547">
        <v>5061.1099999999997</v>
      </c>
      <c r="E357" s="1547">
        <v>1.0054304249443857</v>
      </c>
      <c r="F357" s="1547">
        <v>54.175898275607288</v>
      </c>
      <c r="G357" s="10"/>
      <c r="K357" s="1663">
        <v>42414</v>
      </c>
      <c r="L357" s="1664"/>
      <c r="M357" s="1665">
        <v>0</v>
      </c>
      <c r="N357" s="1666">
        <v>1.1295226839246482</v>
      </c>
      <c r="O357" s="1666">
        <v>1.1295226839246482</v>
      </c>
    </row>
    <row r="358" spans="2:15">
      <c r="B358" s="1546">
        <v>43313</v>
      </c>
      <c r="C358" s="1547">
        <v>701.67700000000002</v>
      </c>
      <c r="D358" s="1547">
        <v>5056.5600000000004</v>
      </c>
      <c r="E358" s="1547">
        <v>1.0056779619150069</v>
      </c>
      <c r="F358" s="1547">
        <v>54.483506962727475</v>
      </c>
      <c r="K358" s="1663">
        <v>42415</v>
      </c>
      <c r="L358" s="1664" t="s">
        <v>2293</v>
      </c>
      <c r="M358" s="1665">
        <v>5.2531000000000001E-2</v>
      </c>
      <c r="N358" s="1666">
        <v>1.1301160334857405</v>
      </c>
      <c r="O358" s="1666">
        <v>1.1301160334857405</v>
      </c>
    </row>
    <row r="359" spans="2:15">
      <c r="B359" s="1546">
        <v>43344</v>
      </c>
      <c r="C359" s="1547">
        <v>712.37300000000005</v>
      </c>
      <c r="D359" s="1547">
        <v>5080.83</v>
      </c>
      <c r="E359" s="1547">
        <v>1.0046881795441467</v>
      </c>
      <c r="F359" s="1547">
        <v>54.738935425563504</v>
      </c>
      <c r="K359" s="1663">
        <v>42416</v>
      </c>
      <c r="L359" s="1664" t="s">
        <v>2293</v>
      </c>
      <c r="M359" s="1665">
        <v>5.2531000000000001E-2</v>
      </c>
      <c r="N359" s="1666">
        <v>1.1307096947392909</v>
      </c>
      <c r="O359" s="1666">
        <v>1.1307096947392909</v>
      </c>
    </row>
    <row r="360" spans="2:15">
      <c r="B360" s="1546">
        <v>43374</v>
      </c>
      <c r="C360" s="1547">
        <v>718.68399999999997</v>
      </c>
      <c r="D360" s="1547">
        <v>5103.6899999999996</v>
      </c>
      <c r="E360" s="1547">
        <v>1.0054304249443855</v>
      </c>
      <c r="F360" s="1547">
        <v>55.036191105927593</v>
      </c>
      <c r="K360" s="1663">
        <v>42417</v>
      </c>
      <c r="L360" s="1664" t="s">
        <v>2293</v>
      </c>
      <c r="M360" s="1665">
        <v>5.2531000000000001E-2</v>
      </c>
      <c r="N360" s="1666">
        <v>1.1313036678490345</v>
      </c>
      <c r="O360" s="1666">
        <v>1.1313036678490345</v>
      </c>
    </row>
    <row r="361" spans="2:15">
      <c r="B361" s="1546">
        <v>43405</v>
      </c>
      <c r="C361" s="1547">
        <v>715.16600000000005</v>
      </c>
      <c r="D361" s="1547">
        <v>5092.97</v>
      </c>
      <c r="E361" s="1547">
        <v>1.0049355337739507</v>
      </c>
      <c r="F361" s="1547">
        <v>55.307824085920508</v>
      </c>
      <c r="K361" s="1663">
        <v>42418</v>
      </c>
      <c r="L361" s="1664" t="s">
        <v>2293</v>
      </c>
      <c r="M361" s="1665">
        <v>5.2531000000000001E-2</v>
      </c>
      <c r="N361" s="1666">
        <v>1.1318979529787923</v>
      </c>
      <c r="O361" s="1666">
        <v>1.1318979529787923</v>
      </c>
    </row>
    <row r="362" spans="2:15">
      <c r="B362" s="1546">
        <v>43435</v>
      </c>
      <c r="C362" s="1547">
        <v>707.44100000000003</v>
      </c>
      <c r="D362" s="1547">
        <v>5100.6099999999997</v>
      </c>
      <c r="E362" s="1547">
        <v>1.0049355337739507</v>
      </c>
      <c r="F362" s="1547">
        <v>55.580797719660296</v>
      </c>
      <c r="K362" s="1663">
        <v>42419</v>
      </c>
      <c r="L362" s="1664" t="s">
        <v>2293</v>
      </c>
      <c r="M362" s="1665">
        <v>5.2531000000000001E-2</v>
      </c>
      <c r="N362" s="1666">
        <v>1.1324925502924716</v>
      </c>
      <c r="O362" s="1666">
        <v>1.1324925502924716</v>
      </c>
    </row>
    <row r="363" spans="2:15">
      <c r="B363" s="1546">
        <v>43466</v>
      </c>
      <c r="C363" s="1547">
        <v>707.48800000000006</v>
      </c>
      <c r="D363" s="1547">
        <v>5116.93</v>
      </c>
      <c r="E363" s="1547">
        <v>1.0054304249443855</v>
      </c>
      <c r="F363" s="1547">
        <v>55.882625070025988</v>
      </c>
      <c r="K363" s="1663">
        <v>42420</v>
      </c>
      <c r="L363" s="1664"/>
      <c r="M363" s="1665">
        <v>0</v>
      </c>
      <c r="N363" s="1666">
        <v>1.1324925502924716</v>
      </c>
      <c r="O363" s="1666">
        <v>1.1324925502924716</v>
      </c>
    </row>
    <row r="364" spans="2:15">
      <c r="B364" s="1546">
        <v>43497</v>
      </c>
      <c r="C364" s="1547">
        <v>713.74699999999996</v>
      </c>
      <c r="D364" s="1547">
        <v>5138.93</v>
      </c>
      <c r="E364" s="1547">
        <v>1.0049355337739507</v>
      </c>
      <c r="F364" s="1547">
        <v>56.158435653436129</v>
      </c>
      <c r="K364" s="1663">
        <v>42421</v>
      </c>
      <c r="L364" s="1664"/>
      <c r="M364" s="1665">
        <v>0</v>
      </c>
      <c r="N364" s="1666">
        <v>1.1324925502924716</v>
      </c>
      <c r="O364" s="1666">
        <v>1.1324925502924716</v>
      </c>
    </row>
    <row r="365" spans="2:15">
      <c r="B365" s="1546">
        <v>43525</v>
      </c>
      <c r="C365" s="1547">
        <v>722.70699999999999</v>
      </c>
      <c r="D365" s="1547">
        <v>5177.47</v>
      </c>
      <c r="E365" s="1547">
        <v>1.0046881795441467</v>
      </c>
      <c r="F365" s="1547">
        <v>56.421716482697846</v>
      </c>
      <c r="K365" s="1663">
        <v>42422</v>
      </c>
      <c r="L365" s="1664" t="s">
        <v>2293</v>
      </c>
      <c r="M365" s="1665">
        <v>5.2531000000000001E-2</v>
      </c>
      <c r="N365" s="1666">
        <v>1.1330874599540657</v>
      </c>
      <c r="O365" s="1666">
        <v>1.1330874599540657</v>
      </c>
    </row>
    <row r="366" spans="2:15">
      <c r="B366" s="1546">
        <v>43556</v>
      </c>
      <c r="C366" s="1547">
        <v>729.346</v>
      </c>
      <c r="D366" s="1547">
        <v>5206.9799999999996</v>
      </c>
      <c r="E366" s="1547">
        <v>1.0051829489023654</v>
      </c>
      <c r="F366" s="1547">
        <v>56.714147356211413</v>
      </c>
      <c r="K366" s="1663">
        <v>42423</v>
      </c>
      <c r="L366" s="1664" t="s">
        <v>2293</v>
      </c>
      <c r="M366" s="1665">
        <v>5.2531000000000001E-2</v>
      </c>
      <c r="N366" s="1666">
        <v>1.1336826821276542</v>
      </c>
      <c r="O366" s="1666">
        <v>1.1336826821276542</v>
      </c>
    </row>
    <row r="367" spans="2:15">
      <c r="B367" s="1546">
        <v>43586</v>
      </c>
      <c r="C367" s="1547">
        <v>732.59500000000003</v>
      </c>
      <c r="D367" s="1547">
        <v>5213.75</v>
      </c>
      <c r="E367" s="1547">
        <v>1.0054304249443855</v>
      </c>
      <c r="F367" s="1547">
        <v>57.022129276714139</v>
      </c>
      <c r="K367" s="1663">
        <v>42424</v>
      </c>
      <c r="L367" s="1664" t="s">
        <v>2293</v>
      </c>
      <c r="M367" s="1665">
        <v>5.2531000000000001E-2</v>
      </c>
      <c r="N367" s="1666">
        <v>1.1342782169774026</v>
      </c>
      <c r="O367" s="1666">
        <v>1.1342782169774026</v>
      </c>
    </row>
    <row r="368" spans="2:15">
      <c r="B368" s="1546">
        <v>43617</v>
      </c>
      <c r="C368" s="1547">
        <v>738.42100000000005</v>
      </c>
      <c r="D368" s="1547">
        <v>5214.2700000000004</v>
      </c>
      <c r="E368" s="1547">
        <v>1.0046881795441465</v>
      </c>
      <c r="F368" s="1547">
        <v>57.289459256752906</v>
      </c>
      <c r="K368" s="1663">
        <v>42425</v>
      </c>
      <c r="L368" s="1664" t="s">
        <v>2293</v>
      </c>
      <c r="M368" s="1665">
        <v>5.2531000000000001E-2</v>
      </c>
      <c r="N368" s="1666">
        <v>1.134874064667563</v>
      </c>
      <c r="O368" s="1666">
        <v>1.134874064667563</v>
      </c>
    </row>
    <row r="369" spans="2:15">
      <c r="B369" s="1546">
        <v>43647</v>
      </c>
      <c r="C369" s="1547">
        <v>741.346</v>
      </c>
      <c r="D369" s="1547">
        <v>5224.18</v>
      </c>
      <c r="E369" s="1547">
        <v>1.0056779619150069</v>
      </c>
      <c r="F369" s="1547">
        <v>57.61474662454409</v>
      </c>
      <c r="K369" s="1663">
        <v>42426</v>
      </c>
      <c r="L369" s="1664" t="s">
        <v>2293</v>
      </c>
      <c r="M369" s="1665">
        <v>5.2531000000000001E-2</v>
      </c>
      <c r="N369" s="1666">
        <v>1.1354702253624736</v>
      </c>
      <c r="O369" s="1666">
        <v>1.1354702253624736</v>
      </c>
    </row>
    <row r="370" spans="2:15">
      <c r="B370" s="1546">
        <v>43678</v>
      </c>
      <c r="C370" s="1547">
        <v>736.40200000000004</v>
      </c>
      <c r="D370" s="1547">
        <v>5229.93</v>
      </c>
      <c r="E370" s="1547">
        <v>1.0050171948996307</v>
      </c>
      <c r="F370" s="1547">
        <v>57.903811037452265</v>
      </c>
      <c r="K370" s="1663">
        <v>42427</v>
      </c>
      <c r="L370" s="1664"/>
      <c r="M370" s="1665">
        <v>0</v>
      </c>
      <c r="N370" s="1666">
        <v>1.1354702253624736</v>
      </c>
      <c r="O370" s="1666">
        <v>1.1354702253624736</v>
      </c>
    </row>
    <row r="371" spans="2:15">
      <c r="B371" s="1546">
        <v>43709</v>
      </c>
      <c r="C371" s="1547">
        <v>736.36199999999997</v>
      </c>
      <c r="D371" s="1547">
        <v>5227.84</v>
      </c>
      <c r="E371" s="1547">
        <v>1.0046375999081099</v>
      </c>
      <c r="F371" s="1547">
        <v>58.172345746198765</v>
      </c>
      <c r="K371" s="1663">
        <v>42428</v>
      </c>
      <c r="L371" s="1664"/>
      <c r="M371" s="1665">
        <v>0</v>
      </c>
      <c r="N371" s="1666">
        <v>1.1354702253624736</v>
      </c>
      <c r="O371" s="1666">
        <v>1.1354702253624736</v>
      </c>
    </row>
    <row r="372" spans="2:15">
      <c r="B372" s="1546">
        <v>43739</v>
      </c>
      <c r="C372" s="1547">
        <v>741.33299999999997</v>
      </c>
      <c r="D372" s="1547">
        <v>5233.07</v>
      </c>
      <c r="E372" s="1547">
        <v>1.0047926409835022</v>
      </c>
      <c r="F372" s="1547">
        <v>58.451144914528456</v>
      </c>
      <c r="K372" s="1663">
        <v>42429</v>
      </c>
      <c r="L372" s="1664" t="s">
        <v>2293</v>
      </c>
      <c r="M372" s="1665">
        <v>5.2531000000000001E-2</v>
      </c>
      <c r="N372" s="1666">
        <v>1.1360666992265587</v>
      </c>
      <c r="O372" s="1666">
        <v>1.1360666992265587</v>
      </c>
    </row>
    <row r="373" spans="2:15">
      <c r="B373" s="1546">
        <v>43770</v>
      </c>
      <c r="C373" s="1547">
        <v>743.55799999999999</v>
      </c>
      <c r="D373" s="1547">
        <v>5259.76</v>
      </c>
      <c r="E373" s="1547">
        <v>1.0038038559813272</v>
      </c>
      <c r="F373" s="1547">
        <v>58.673484651727009</v>
      </c>
      <c r="K373" s="1663">
        <v>42430</v>
      </c>
      <c r="L373" s="1664" t="s">
        <v>2293</v>
      </c>
      <c r="M373" s="1665">
        <v>5.2531000000000001E-2</v>
      </c>
      <c r="N373" s="1666">
        <v>1.1366634864243295</v>
      </c>
      <c r="O373" s="1666">
        <v>1.1366634864243295</v>
      </c>
    </row>
    <row r="374" spans="2:15">
      <c r="B374" s="1546">
        <v>43800</v>
      </c>
      <c r="C374" s="1547">
        <v>759.11199999999997</v>
      </c>
      <c r="D374" s="1547">
        <v>5320.25</v>
      </c>
      <c r="E374" s="1547">
        <v>1.0037470387078873</v>
      </c>
      <c r="F374" s="1547">
        <v>58.893336469843661</v>
      </c>
      <c r="K374" s="1663">
        <v>42431</v>
      </c>
      <c r="L374" s="1664" t="s">
        <v>2293</v>
      </c>
      <c r="M374" s="1665">
        <v>5.2531000000000001E-2</v>
      </c>
      <c r="N374" s="1666">
        <v>1.1372605871203831</v>
      </c>
      <c r="O374" s="1666">
        <v>1.1372605871203831</v>
      </c>
    </row>
    <row r="375" spans="2:15">
      <c r="B375" s="1546">
        <v>43831</v>
      </c>
      <c r="C375" s="1547">
        <v>762.73299999999995</v>
      </c>
      <c r="D375" s="1547">
        <v>5331.42</v>
      </c>
      <c r="E375" s="1547">
        <v>1.00376633367529</v>
      </c>
      <c r="F375" s="1547">
        <v>59.115148426240218</v>
      </c>
      <c r="K375" s="1663">
        <v>42432</v>
      </c>
      <c r="L375" s="1664" t="s">
        <v>2293</v>
      </c>
      <c r="M375" s="1665">
        <v>5.2531000000000001E-2</v>
      </c>
      <c r="N375" s="1666">
        <v>1.1378580014794033</v>
      </c>
      <c r="O375" s="1666">
        <v>1.1378580014794033</v>
      </c>
    </row>
    <row r="376" spans="2:15">
      <c r="B376" s="1546">
        <v>43862</v>
      </c>
      <c r="C376" s="1547">
        <v>762.423</v>
      </c>
      <c r="D376" s="1547">
        <v>5344.75</v>
      </c>
      <c r="E376" s="1547">
        <v>1.0029372863155552</v>
      </c>
      <c r="F376" s="1547">
        <v>59.288786542754629</v>
      </c>
      <c r="K376" s="1663">
        <v>42433</v>
      </c>
      <c r="L376" s="1664" t="s">
        <v>2293</v>
      </c>
      <c r="M376" s="1665">
        <v>5.2531000000000001E-2</v>
      </c>
      <c r="N376" s="1666">
        <v>1.1384557296661604</v>
      </c>
      <c r="O376" s="1666">
        <v>1.1384557296661604</v>
      </c>
    </row>
    <row r="377" spans="2:15">
      <c r="B377" s="1546">
        <v>43891</v>
      </c>
      <c r="C377" s="1547">
        <v>771.90800000000002</v>
      </c>
      <c r="D377" s="1547">
        <v>5348.49</v>
      </c>
      <c r="E377" s="1547">
        <v>1.0033836914846632</v>
      </c>
      <c r="F377" s="1547">
        <v>59.489401504915364</v>
      </c>
      <c r="K377" s="1663">
        <v>42434</v>
      </c>
      <c r="L377" s="1664"/>
      <c r="M377" s="1665">
        <v>0</v>
      </c>
      <c r="N377" s="1666">
        <v>1.1384557296661604</v>
      </c>
      <c r="O377" s="1666">
        <v>1.1384557296661604</v>
      </c>
    </row>
    <row r="378" spans="2:15">
      <c r="B378" s="1546">
        <v>43922</v>
      </c>
      <c r="C378" s="1547">
        <v>778.101</v>
      </c>
      <c r="D378" s="1547">
        <v>5331.91</v>
      </c>
      <c r="E378" s="1547">
        <v>1.0028492490278405</v>
      </c>
      <c r="F378" s="1547">
        <v>59.658901624320052</v>
      </c>
      <c r="K378" s="1663">
        <v>42435</v>
      </c>
      <c r="L378" s="1664"/>
      <c r="M378" s="1665">
        <v>0</v>
      </c>
      <c r="N378" s="1666">
        <v>1.1384557296661604</v>
      </c>
      <c r="O378" s="1666">
        <v>1.1384557296661604</v>
      </c>
    </row>
    <row r="379" spans="2:15">
      <c r="B379" s="1546">
        <v>43952</v>
      </c>
      <c r="C379" s="1547">
        <v>780.28</v>
      </c>
      <c r="D379" s="1547">
        <v>5311.65</v>
      </c>
      <c r="E379" s="1547">
        <v>1.0023580961930716</v>
      </c>
      <c r="F379" s="1547">
        <v>59.799583053123193</v>
      </c>
      <c r="K379" s="1663">
        <v>42436</v>
      </c>
      <c r="L379" s="1664" t="s">
        <v>2293</v>
      </c>
      <c r="M379" s="1665">
        <v>5.2531000000000001E-2</v>
      </c>
      <c r="N379" s="1666">
        <v>1.1390537718455114</v>
      </c>
      <c r="O379" s="1666">
        <v>1.1390537718455114</v>
      </c>
    </row>
    <row r="380" spans="2:15">
      <c r="B380" s="1546">
        <v>43983</v>
      </c>
      <c r="C380" s="1547">
        <v>792.42899999999997</v>
      </c>
      <c r="D380" s="1547">
        <v>5325.46</v>
      </c>
      <c r="E380" s="1547">
        <v>1.0021233217736718</v>
      </c>
      <c r="F380" s="1547">
        <v>59.926556809876388</v>
      </c>
      <c r="K380" s="1663">
        <v>42437</v>
      </c>
      <c r="L380" s="1664" t="s">
        <v>2293</v>
      </c>
      <c r="M380" s="1665">
        <v>5.2531000000000001E-2</v>
      </c>
      <c r="N380" s="1666">
        <v>1.1396521281823995</v>
      </c>
      <c r="O380" s="1666">
        <v>1.1396521281823995</v>
      </c>
    </row>
    <row r="381" spans="2:15">
      <c r="B381" s="1546">
        <v>44013</v>
      </c>
      <c r="C381" s="1547">
        <v>810.08299999999997</v>
      </c>
      <c r="D381" s="1547">
        <v>5344.63</v>
      </c>
      <c r="E381" s="1547">
        <v>1.0019434641302636</v>
      </c>
      <c r="F381" s="1547">
        <v>60.043021923486585</v>
      </c>
      <c r="K381" s="1663">
        <v>42438</v>
      </c>
      <c r="L381" s="1664" t="s">
        <v>2293</v>
      </c>
      <c r="M381" s="1665">
        <v>5.2531000000000001E-2</v>
      </c>
      <c r="N381" s="1666">
        <v>1.1402507988418549</v>
      </c>
      <c r="O381" s="1666">
        <v>1.1402507988418549</v>
      </c>
    </row>
    <row r="382" spans="2:15">
      <c r="B382" s="1546">
        <v>44044</v>
      </c>
      <c r="C382" s="1547">
        <v>832.31299999999999</v>
      </c>
      <c r="D382" s="1547">
        <v>5357.46</v>
      </c>
      <c r="E382" s="1547">
        <v>1.0015988959789295</v>
      </c>
      <c r="F382" s="1547">
        <v>60.13902446980282</v>
      </c>
      <c r="K382" s="1663">
        <v>42439</v>
      </c>
      <c r="L382" s="1664" t="s">
        <v>2293</v>
      </c>
      <c r="M382" s="1665">
        <v>5.2531000000000001E-2</v>
      </c>
      <c r="N382" s="1666">
        <v>1.1408497839889944</v>
      </c>
      <c r="O382" s="1666">
        <v>1.1408497839889944</v>
      </c>
    </row>
    <row r="383" spans="2:15">
      <c r="B383" s="1546">
        <v>44075</v>
      </c>
      <c r="C383" s="1547">
        <v>868.44200000000001</v>
      </c>
      <c r="D383" s="1547">
        <v>5391.75</v>
      </c>
      <c r="E383" s="1547">
        <v>1.0015696620595307</v>
      </c>
      <c r="F383" s="1547">
        <v>60.233422414810256</v>
      </c>
      <c r="K383" s="1663">
        <v>42440</v>
      </c>
      <c r="L383" s="1664" t="s">
        <v>2293</v>
      </c>
      <c r="M383" s="1665">
        <v>5.2531000000000001E-2</v>
      </c>
      <c r="N383" s="1666">
        <v>1.1414490837890217</v>
      </c>
      <c r="O383" s="1666">
        <v>1.1414490837890217</v>
      </c>
    </row>
    <row r="384" spans="2:15">
      <c r="B384" s="1546">
        <v>44105</v>
      </c>
      <c r="C384" s="1547">
        <v>896.505</v>
      </c>
      <c r="D384" s="1547">
        <v>5438.12</v>
      </c>
      <c r="E384" s="1547">
        <v>1.00156966205953</v>
      </c>
      <c r="F384" s="1547">
        <v>60.327968532690427</v>
      </c>
      <c r="K384" s="1663">
        <v>42441</v>
      </c>
      <c r="L384" s="1664"/>
      <c r="M384" s="1665">
        <v>0</v>
      </c>
      <c r="N384" s="1666">
        <v>1.1414490837890217</v>
      </c>
      <c r="O384" s="1666">
        <v>1.1414490837890217</v>
      </c>
    </row>
    <row r="385" spans="2:15">
      <c r="B385" s="1546">
        <v>44136</v>
      </c>
      <c r="C385" s="1547">
        <v>925.88699999999994</v>
      </c>
      <c r="D385" s="1547">
        <v>5486.52</v>
      </c>
      <c r="E385" s="1547">
        <v>1.0014948604084073</v>
      </c>
      <c r="F385" s="1547">
        <v>60.418150424369585</v>
      </c>
      <c r="K385" s="1663">
        <v>42442</v>
      </c>
      <c r="L385" s="1664"/>
      <c r="M385" s="1665">
        <v>0</v>
      </c>
      <c r="N385" s="1666">
        <v>1.1414490837890217</v>
      </c>
      <c r="O385" s="1666">
        <v>1.1414490837890217</v>
      </c>
    </row>
    <row r="386" spans="2:15">
      <c r="B386" s="1546">
        <v>44166</v>
      </c>
      <c r="C386" s="1547">
        <v>934.75800000000004</v>
      </c>
      <c r="D386" s="1547">
        <v>5560.59</v>
      </c>
      <c r="E386" s="1547">
        <v>1.0016444692975899</v>
      </c>
      <c r="F386" s="1547">
        <v>60.517506217759632</v>
      </c>
      <c r="K386" s="1663">
        <v>42443</v>
      </c>
      <c r="L386" s="1664" t="s">
        <v>2293</v>
      </c>
      <c r="M386" s="1665">
        <v>5.2531000000000001E-2</v>
      </c>
      <c r="N386" s="1666">
        <v>1.1420486984072269</v>
      </c>
      <c r="O386" s="1666">
        <v>1.1420486984072269</v>
      </c>
    </row>
    <row r="387" spans="2:15">
      <c r="B387" s="1546">
        <v>44197</v>
      </c>
      <c r="C387" s="1547">
        <v>958.84400000000005</v>
      </c>
      <c r="D387" s="1547">
        <v>5574.49</v>
      </c>
      <c r="E387" s="1547">
        <v>1.0014948604084077</v>
      </c>
      <c r="F387" s="1547">
        <v>60.607971441820126</v>
      </c>
      <c r="K387" s="1663">
        <v>42444</v>
      </c>
      <c r="L387" s="1664" t="s">
        <v>2293</v>
      </c>
      <c r="M387" s="1665">
        <v>5.2531000000000001E-2</v>
      </c>
      <c r="N387" s="1666">
        <v>1.1426486280089871</v>
      </c>
      <c r="O387" s="1666">
        <v>1.1426486280089871</v>
      </c>
    </row>
    <row r="388" spans="2:15">
      <c r="B388" s="1546">
        <v>44228</v>
      </c>
      <c r="C388" s="1547">
        <v>983.06299999999999</v>
      </c>
      <c r="D388" s="1547">
        <v>5622.43</v>
      </c>
      <c r="E388" s="1547">
        <v>1.0013452738652961</v>
      </c>
      <c r="F388" s="1547">
        <v>60.689505761829423</v>
      </c>
      <c r="K388" s="1663">
        <v>42445</v>
      </c>
      <c r="L388" s="1664" t="s">
        <v>2293</v>
      </c>
      <c r="M388" s="1665">
        <v>5.2531000000000001E-2</v>
      </c>
      <c r="N388" s="1666">
        <v>1.1432488727597665</v>
      </c>
      <c r="O388" s="1666">
        <v>1.1432488727597665</v>
      </c>
    </row>
    <row r="389" spans="2:15">
      <c r="B389" s="1546">
        <v>44256</v>
      </c>
      <c r="C389" s="1547">
        <v>1011.948</v>
      </c>
      <c r="D389" s="1547">
        <v>5674.72</v>
      </c>
      <c r="E389" s="1547">
        <v>1.0020107988327946</v>
      </c>
      <c r="F389" s="1547">
        <v>60.811540149178192</v>
      </c>
      <c r="K389" s="1663">
        <v>42446</v>
      </c>
      <c r="L389" s="1664" t="s">
        <v>2293</v>
      </c>
      <c r="M389" s="1665">
        <v>5.2531000000000001E-2</v>
      </c>
      <c r="N389" s="1666">
        <v>1.1438494328251159</v>
      </c>
      <c r="O389" s="1666">
        <v>1.1438494328251159</v>
      </c>
    </row>
    <row r="390" spans="2:15">
      <c r="B390" s="1546">
        <v>44287</v>
      </c>
      <c r="C390" s="1547">
        <v>1027.211</v>
      </c>
      <c r="D390" s="1547">
        <v>5692.31</v>
      </c>
      <c r="E390" s="1547">
        <v>1.0020778480243349</v>
      </c>
      <c r="F390" s="1547">
        <v>60.937897287733925</v>
      </c>
      <c r="K390" s="1663">
        <v>42447</v>
      </c>
      <c r="L390" s="1664" t="s">
        <v>2293</v>
      </c>
      <c r="M390" s="1665">
        <v>5.2531000000000001E-2</v>
      </c>
      <c r="N390" s="1666">
        <v>1.1444503083706732</v>
      </c>
      <c r="O390" s="1666">
        <v>1.1444503083706732</v>
      </c>
    </row>
    <row r="391" spans="2:15">
      <c r="B391" s="1546">
        <v>44317</v>
      </c>
      <c r="C391" s="1547">
        <v>1069.289</v>
      </c>
      <c r="D391" s="1547">
        <v>5739.56</v>
      </c>
      <c r="E391" s="1547">
        <v>1.0027032626398216</v>
      </c>
      <c r="F391" s="1547">
        <v>61.102628428821141</v>
      </c>
      <c r="K391" s="1663">
        <v>42448</v>
      </c>
      <c r="L391" s="1664"/>
      <c r="M391" s="1665">
        <v>0</v>
      </c>
      <c r="N391" s="1666">
        <v>1.1444503083706732</v>
      </c>
      <c r="O391" s="1666">
        <v>1.1444503083706732</v>
      </c>
    </row>
    <row r="392" spans="2:15">
      <c r="B392" s="1546">
        <v>44348</v>
      </c>
      <c r="C392" s="1547">
        <v>1075.7329999999999</v>
      </c>
      <c r="D392" s="1547">
        <v>5769.98</v>
      </c>
      <c r="E392" s="1547">
        <v>1.0030777896833167</v>
      </c>
      <c r="F392" s="1547">
        <v>61.290689468222901</v>
      </c>
      <c r="K392" s="1663">
        <v>42449</v>
      </c>
      <c r="L392" s="1664"/>
      <c r="M392" s="1665">
        <v>0</v>
      </c>
      <c r="N392" s="1666">
        <v>1.1444503083706732</v>
      </c>
      <c r="O392" s="1666">
        <v>1.1444503083706732</v>
      </c>
    </row>
    <row r="393" spans="2:15">
      <c r="B393" s="1546">
        <v>44378</v>
      </c>
      <c r="C393" s="1547">
        <v>1084.095</v>
      </c>
      <c r="D393" s="1547">
        <v>5825.37</v>
      </c>
      <c r="E393" s="1547">
        <v>1.003556161780192</v>
      </c>
      <c r="F393" s="1547">
        <v>61.508649075591414</v>
      </c>
      <c r="K393" s="1663">
        <v>42450</v>
      </c>
      <c r="L393" s="1664" t="s">
        <v>2293</v>
      </c>
      <c r="M393" s="1665">
        <v>5.2531000000000001E-2</v>
      </c>
      <c r="N393" s="1666">
        <v>1.1450514995621635</v>
      </c>
      <c r="O393" s="1666">
        <v>1.1450514995621635</v>
      </c>
    </row>
    <row r="394" spans="2:15">
      <c r="B394" s="1546">
        <v>44409</v>
      </c>
      <c r="C394" s="1547">
        <v>1091.29</v>
      </c>
      <c r="D394" s="1547">
        <v>5876.05</v>
      </c>
      <c r="E394" s="1547">
        <v>1.0042795247734253</v>
      </c>
      <c r="F394" s="1547">
        <v>61.771876863090334</v>
      </c>
      <c r="K394" s="1663">
        <v>42451</v>
      </c>
      <c r="L394" s="1664" t="s">
        <v>2293</v>
      </c>
      <c r="M394" s="1665">
        <v>5.2531000000000001E-2</v>
      </c>
      <c r="N394" s="1666">
        <v>1.1456530065653985</v>
      </c>
      <c r="O394" s="1666">
        <v>1.1456530065653985</v>
      </c>
    </row>
    <row r="395" spans="2:15">
      <c r="B395" s="1546">
        <v>44440</v>
      </c>
      <c r="C395" s="1547">
        <v>1084.3119999999999</v>
      </c>
      <c r="D395" s="1547">
        <v>5944.21</v>
      </c>
      <c r="E395" s="1547">
        <v>1.0044199933223523</v>
      </c>
      <c r="F395" s="1547">
        <v>62.044908146334365</v>
      </c>
      <c r="K395" s="1663">
        <v>42452</v>
      </c>
      <c r="L395" s="1664" t="s">
        <v>2293</v>
      </c>
      <c r="M395" s="1665">
        <v>5.2531000000000001E-2</v>
      </c>
      <c r="N395" s="1666">
        <v>1.1462548295462773</v>
      </c>
      <c r="O395" s="1666">
        <v>1.1462548295462773</v>
      </c>
    </row>
    <row r="396" spans="2:15">
      <c r="B396" s="1546">
        <v>44470</v>
      </c>
      <c r="C396" s="1547">
        <v>1091.2829999999999</v>
      </c>
      <c r="D396" s="1547">
        <v>6018.51</v>
      </c>
      <c r="E396" s="1547">
        <v>1.0048599610251685</v>
      </c>
      <c r="F396" s="1547">
        <v>62.34644398173571</v>
      </c>
      <c r="K396" s="1663">
        <v>42453</v>
      </c>
      <c r="L396" s="1664" t="s">
        <v>2293</v>
      </c>
      <c r="M396" s="1665">
        <v>5.2531000000000001E-2</v>
      </c>
      <c r="N396" s="1666">
        <v>1.1468569686707863</v>
      </c>
      <c r="O396" s="1666">
        <v>1.1468569686707863</v>
      </c>
    </row>
    <row r="397" spans="2:15">
      <c r="B397" s="1546">
        <v>44501</v>
      </c>
      <c r="C397" s="1547">
        <v>1091.4829999999999</v>
      </c>
      <c r="D397" s="1547">
        <v>6075.69</v>
      </c>
      <c r="E397" s="1547">
        <v>1.0058674909390046</v>
      </c>
      <c r="F397" s="1547">
        <v>62.712261176877703</v>
      </c>
      <c r="K397" s="1663">
        <v>42454</v>
      </c>
      <c r="L397" s="1664"/>
      <c r="M397" s="1665">
        <v>0</v>
      </c>
      <c r="N397" s="1666">
        <v>1.1468569686707863</v>
      </c>
      <c r="O397" s="1666">
        <v>1.1468569686707863</v>
      </c>
    </row>
    <row r="398" spans="2:15">
      <c r="B398" s="1546">
        <v>44531</v>
      </c>
      <c r="C398" s="1547">
        <v>1100.9880000000001</v>
      </c>
      <c r="D398" s="1547">
        <v>6120.04</v>
      </c>
      <c r="E398" s="1547">
        <v>1.0076908308186336</v>
      </c>
      <c r="F398" s="1547">
        <v>63.194570567843037</v>
      </c>
      <c r="K398" s="1663">
        <v>42455</v>
      </c>
      <c r="L398" s="1664"/>
      <c r="M398" s="1665">
        <v>0</v>
      </c>
      <c r="N398" s="1666">
        <v>1.1468569686707863</v>
      </c>
      <c r="O398" s="1666">
        <v>1.1468569686707863</v>
      </c>
    </row>
    <row r="399" spans="2:15">
      <c r="B399" s="1546">
        <v>44562</v>
      </c>
      <c r="C399" s="1547">
        <v>1120.999</v>
      </c>
      <c r="D399" s="1547">
        <v>6153.09</v>
      </c>
      <c r="E399" s="1547">
        <v>1.0073227032460901</v>
      </c>
      <c r="F399" s="1547">
        <v>63.65732565487545</v>
      </c>
      <c r="K399" s="1663">
        <v>42456</v>
      </c>
      <c r="L399" s="1664"/>
      <c r="M399" s="1665">
        <v>0</v>
      </c>
      <c r="N399" s="1666">
        <v>1.1468569686707863</v>
      </c>
      <c r="O399" s="1666">
        <v>1.1468569686707863</v>
      </c>
    </row>
    <row r="400" spans="2:15">
      <c r="B400" s="1546">
        <v>44593</v>
      </c>
      <c r="C400" s="1547">
        <v>1141.546</v>
      </c>
      <c r="D400" s="1547">
        <v>6215.24</v>
      </c>
      <c r="E400" s="1547">
        <v>1.0075504098703885</v>
      </c>
      <c r="F400" s="1547">
        <v>64.13796455482256</v>
      </c>
      <c r="K400" s="1663">
        <v>42457</v>
      </c>
      <c r="L400" s="1664" t="s">
        <v>2293</v>
      </c>
      <c r="M400" s="1665">
        <v>5.2531000000000001E-2</v>
      </c>
      <c r="N400" s="1666">
        <v>1.1474594241049989</v>
      </c>
      <c r="O400" s="1666">
        <v>1.1474594241049989</v>
      </c>
    </row>
    <row r="401" spans="2:15">
      <c r="B401" s="1546">
        <v>44621</v>
      </c>
      <c r="C401" s="1547">
        <v>1161.4179999999999</v>
      </c>
      <c r="D401" s="1547">
        <v>6315.93</v>
      </c>
      <c r="E401" s="1547">
        <v>1.0092705386289318</v>
      </c>
      <c r="F401" s="1547">
        <v>64.732558032809095</v>
      </c>
      <c r="K401" s="1663">
        <v>42458</v>
      </c>
      <c r="L401" s="1664" t="s">
        <v>2293</v>
      </c>
      <c r="M401" s="1665">
        <v>5.2531000000000001E-2</v>
      </c>
      <c r="N401" s="1666">
        <v>1.1480621960150754</v>
      </c>
      <c r="O401" s="1666">
        <v>1.1480621960150754</v>
      </c>
    </row>
    <row r="402" spans="2:15">
      <c r="B402" s="1546">
        <v>44652</v>
      </c>
      <c r="C402" s="1547">
        <v>1177.809</v>
      </c>
      <c r="D402" s="1547">
        <v>6382.88</v>
      </c>
      <c r="E402" s="1547">
        <v>1.0083432052372134</v>
      </c>
      <c r="F402" s="1547">
        <v>65.272635050006656</v>
      </c>
      <c r="K402" s="1663">
        <v>42459</v>
      </c>
      <c r="L402" s="1664" t="s">
        <v>2293</v>
      </c>
      <c r="M402" s="1665">
        <v>5.2531000000000001E-2</v>
      </c>
      <c r="N402" s="1666">
        <v>1.148665284567264</v>
      </c>
      <c r="O402" s="1666">
        <v>1.148665284567264</v>
      </c>
    </row>
    <row r="403" spans="2:15">
      <c r="B403" s="1546">
        <v>44682</v>
      </c>
      <c r="C403" s="1547">
        <v>1183.953</v>
      </c>
      <c r="D403" s="1547">
        <v>6412.88</v>
      </c>
      <c r="E403" s="1547">
        <v>1.0103459230153136</v>
      </c>
      <c r="F403" s="1547">
        <v>65.947940707240676</v>
      </c>
      <c r="K403" s="1663">
        <v>42460</v>
      </c>
      <c r="L403" s="1664" t="s">
        <v>2293</v>
      </c>
      <c r="M403" s="1665">
        <v>5.2531000000000001E-2</v>
      </c>
      <c r="N403" s="1666">
        <v>1.1492686899279001</v>
      </c>
      <c r="O403" s="1666">
        <v>1.1492686899279001</v>
      </c>
    </row>
    <row r="404" spans="2:15">
      <c r="B404" s="1546">
        <v>44713</v>
      </c>
      <c r="C404" s="1547">
        <v>1190.8820000000001</v>
      </c>
      <c r="D404" s="1547">
        <v>6455.85</v>
      </c>
      <c r="E404" s="1547">
        <v>1.0101531560893695</v>
      </c>
      <c r="F404" s="1547">
        <v>66.617520443013774</v>
      </c>
      <c r="K404" s="1663">
        <v>42461</v>
      </c>
      <c r="L404" s="1664" t="s">
        <v>2293</v>
      </c>
      <c r="M404" s="1665">
        <v>5.2531000000000001E-2</v>
      </c>
      <c r="N404" s="1666">
        <v>1.1498724122634061</v>
      </c>
      <c r="O404" s="1666">
        <v>1.1498724122634061</v>
      </c>
    </row>
    <row r="405" spans="2:15">
      <c r="B405" s="1546">
        <v>44743</v>
      </c>
      <c r="C405" s="1547">
        <v>1197.0638684620001</v>
      </c>
      <c r="D405" s="1547">
        <v>6491.3184399000011</v>
      </c>
      <c r="E405" s="1547">
        <v>1.0103484243492924</v>
      </c>
      <c r="F405" s="1547">
        <v>67.306906813655743</v>
      </c>
      <c r="K405" s="1663">
        <v>42462</v>
      </c>
      <c r="L405" s="1664"/>
      <c r="M405" s="1665">
        <v>0</v>
      </c>
      <c r="N405" s="1666">
        <v>1.1498724122634061</v>
      </c>
      <c r="O405" s="1666">
        <v>1.1498724122634061</v>
      </c>
    </row>
    <row r="406" spans="2:15">
      <c r="B406" s="1546">
        <v>44774</v>
      </c>
      <c r="C406" s="1547">
        <v>1203.249097470343</v>
      </c>
      <c r="D406" s="1547">
        <v>6514.7391168311606</v>
      </c>
      <c r="E406" s="1547">
        <v>1.0113395564141356</v>
      </c>
      <c r="F406" s="1547">
        <v>68.070137280530162</v>
      </c>
      <c r="K406" s="1663">
        <v>42463</v>
      </c>
      <c r="L406" s="1664"/>
      <c r="M406" s="1665">
        <v>0</v>
      </c>
      <c r="N406" s="1666">
        <v>1.1498724122634061</v>
      </c>
      <c r="O406" s="1666">
        <v>1.1498724122634061</v>
      </c>
    </row>
    <row r="407" spans="2:15">
      <c r="B407" s="1546">
        <v>44805</v>
      </c>
      <c r="C407" s="1547">
        <v>1210.3554866400029</v>
      </c>
      <c r="D407" s="1547">
        <v>6541.5407535578033</v>
      </c>
      <c r="E407" s="1547">
        <v>1.0103484243492922</v>
      </c>
      <c r="F407" s="1547">
        <v>68.774555946623664</v>
      </c>
      <c r="K407" s="1663">
        <v>42464</v>
      </c>
      <c r="L407" s="1664" t="s">
        <v>2293</v>
      </c>
      <c r="M407" s="1665">
        <v>5.2531000000000001E-2</v>
      </c>
      <c r="N407" s="1666">
        <v>1.1504764517402921</v>
      </c>
      <c r="O407" s="1666">
        <v>1.1504764517402921</v>
      </c>
    </row>
    <row r="408" spans="2:15">
      <c r="B408" s="1546">
        <v>44835</v>
      </c>
      <c r="C408" s="1547">
        <v>1217.5885710281636</v>
      </c>
      <c r="D408" s="1547">
        <v>6571.7430472169799</v>
      </c>
      <c r="E408" s="1547">
        <v>1.0098532226245143</v>
      </c>
      <c r="F408" s="1547">
        <v>69.452206957267862</v>
      </c>
      <c r="K408" s="1663">
        <v>42465</v>
      </c>
      <c r="L408" s="1664" t="s">
        <v>2293</v>
      </c>
      <c r="M408" s="1665">
        <v>5.2531000000000001E-2</v>
      </c>
      <c r="N408" s="1666">
        <v>1.1510808085251558</v>
      </c>
      <c r="O408" s="1666">
        <v>1.1510808085251558</v>
      </c>
    </row>
    <row r="409" spans="2:15">
      <c r="B409" s="1546">
        <v>44866</v>
      </c>
      <c r="C409" s="1547">
        <v>1224.992727128586</v>
      </c>
      <c r="D409" s="1547">
        <v>6602.2359349560666</v>
      </c>
      <c r="E409" s="1547">
        <v>1.0098532226245134</v>
      </c>
      <c r="F409" s="1547">
        <v>70.136535014181604</v>
      </c>
      <c r="K409" s="1663">
        <v>42466</v>
      </c>
      <c r="L409" s="1664" t="s">
        <v>2293</v>
      </c>
      <c r="M409" s="1665">
        <v>5.2531000000000001E-2</v>
      </c>
      <c r="N409" s="1666">
        <v>1.1516854827846821</v>
      </c>
      <c r="O409" s="1666">
        <v>1.1516854827846821</v>
      </c>
    </row>
    <row r="410" spans="2:15">
      <c r="B410" s="1546">
        <v>44896</v>
      </c>
      <c r="C410" s="1547">
        <v>1232.3194086295421</v>
      </c>
      <c r="D410" s="1547">
        <v>6643.9422593571835</v>
      </c>
      <c r="E410" s="1547">
        <v>1.0108438689061403</v>
      </c>
      <c r="F410" s="1547">
        <v>70.897086405406313</v>
      </c>
      <c r="K410" s="1663">
        <v>42467</v>
      </c>
      <c r="L410" s="1664" t="s">
        <v>2293</v>
      </c>
      <c r="M410" s="1665">
        <v>5.2531000000000001E-2</v>
      </c>
      <c r="N410" s="1666">
        <v>1.1522904746856437</v>
      </c>
      <c r="O410" s="1666">
        <v>1.1522904746856437</v>
      </c>
    </row>
    <row r="411" spans="2:15">
      <c r="B411" s="1546">
        <v>44927</v>
      </c>
      <c r="C411" s="1547">
        <v>1238.1470471129512</v>
      </c>
      <c r="D411" s="1547">
        <v>6675.3880380707214</v>
      </c>
      <c r="E411" s="1547">
        <v>1.0108438689061405</v>
      </c>
      <c r="F411" s="1547">
        <v>71.665885116213857</v>
      </c>
      <c r="K411" s="1663">
        <v>42468</v>
      </c>
      <c r="L411" s="1664" t="s">
        <v>2293</v>
      </c>
      <c r="M411" s="1665">
        <v>5.2531000000000001E-2</v>
      </c>
      <c r="N411" s="1666">
        <v>1.1528957843949008</v>
      </c>
      <c r="O411" s="1666">
        <v>1.1528957843949008</v>
      </c>
    </row>
    <row r="412" spans="2:15">
      <c r="B412" s="1546">
        <v>44958</v>
      </c>
      <c r="C412" s="1547">
        <v>1242.8891503033938</v>
      </c>
      <c r="D412" s="1547">
        <v>6708.8651090816456</v>
      </c>
      <c r="E412" s="1547">
        <v>1.0088635471951473</v>
      </c>
      <c r="F412" s="1547">
        <v>72.301099071223419</v>
      </c>
      <c r="K412" s="1663">
        <v>42469</v>
      </c>
      <c r="L412" s="1664"/>
      <c r="M412" s="1665">
        <v>0</v>
      </c>
      <c r="N412" s="1666">
        <v>1.1528957843949008</v>
      </c>
      <c r="O412" s="1666">
        <v>1.1528957843949008</v>
      </c>
    </row>
    <row r="413" spans="2:15">
      <c r="B413" s="1546">
        <v>44986</v>
      </c>
      <c r="C413" s="1547">
        <v>1247.4530392633078</v>
      </c>
      <c r="D413" s="1547">
        <v>6733.7617075014477</v>
      </c>
      <c r="E413" s="1547">
        <v>1.0113395564141363</v>
      </c>
      <c r="F413" s="1547">
        <v>73.120961462945615</v>
      </c>
      <c r="K413" s="1663">
        <v>42470</v>
      </c>
      <c r="L413" s="1664"/>
      <c r="M413" s="1665">
        <v>0</v>
      </c>
      <c r="N413" s="1666">
        <v>1.1528957843949008</v>
      </c>
      <c r="O413" s="1666">
        <v>1.1528957843949008</v>
      </c>
    </row>
    <row r="414" spans="2:15">
      <c r="B414" s="1546">
        <v>45017</v>
      </c>
      <c r="C414" s="1547">
        <v>1251.4698380497357</v>
      </c>
      <c r="D414" s="1547">
        <v>6758.8113010533525</v>
      </c>
      <c r="E414" s="1547">
        <v>1.0088635471951479</v>
      </c>
      <c r="F414" s="1547">
        <v>73.769072555827023</v>
      </c>
      <c r="K414" s="1663">
        <v>42471</v>
      </c>
      <c r="L414" s="1664" t="s">
        <v>2293</v>
      </c>
      <c r="M414" s="1665">
        <v>5.2531000000000001E-2</v>
      </c>
      <c r="N414" s="1666">
        <v>1.1535014120794014</v>
      </c>
      <c r="O414" s="1666">
        <v>1.1535014120794014</v>
      </c>
    </row>
    <row r="415" spans="2:15">
      <c r="B415" s="1546">
        <v>45047</v>
      </c>
      <c r="C415" s="1547">
        <v>1255.0803285325092</v>
      </c>
      <c r="D415" s="1547">
        <v>6776.8505684158645</v>
      </c>
      <c r="E415" s="1547">
        <v>1.0108438689061405</v>
      </c>
      <c r="F415" s="1547">
        <v>74.569014707949975</v>
      </c>
      <c r="K415" s="1663">
        <v>42472</v>
      </c>
      <c r="L415" s="1664" t="s">
        <v>2293</v>
      </c>
      <c r="M415" s="1665">
        <v>5.2531000000000001E-2</v>
      </c>
      <c r="N415" s="1666">
        <v>1.1541073579061809</v>
      </c>
      <c r="O415" s="1666">
        <v>1.1541073579061809</v>
      </c>
    </row>
    <row r="416" spans="2:15">
      <c r="B416" s="1546">
        <v>45078</v>
      </c>
      <c r="C416" s="1547">
        <v>1259.3250102036061</v>
      </c>
      <c r="D416" s="1547">
        <v>6793.2031088374515</v>
      </c>
      <c r="E416" s="1547">
        <v>1.010348424349292</v>
      </c>
      <c r="F416" s="1547">
        <v>75.34068651545644</v>
      </c>
      <c r="K416" s="1663">
        <v>42473</v>
      </c>
      <c r="L416" s="1664" t="s">
        <v>2293</v>
      </c>
      <c r="M416" s="1665">
        <v>5.2531000000000001E-2</v>
      </c>
      <c r="N416" s="1666">
        <v>1.1547136220423626</v>
      </c>
      <c r="O416" s="1666">
        <v>1.1547136220423626</v>
      </c>
    </row>
    <row r="417" spans="2:15">
      <c r="B417" s="1546">
        <v>45108</v>
      </c>
      <c r="C417" s="1547" t="e">
        <v>#N/A</v>
      </c>
      <c r="D417" s="1547" t="e">
        <v>#N/A</v>
      </c>
      <c r="E417" s="1547" t="e">
        <v>#N/A</v>
      </c>
      <c r="F417" s="1547" t="e">
        <f t="shared" ref="F417:F419" si="0">F416*E417</f>
        <v>#N/A</v>
      </c>
      <c r="K417" s="1663">
        <v>42474</v>
      </c>
      <c r="L417" s="1664" t="s">
        <v>2293</v>
      </c>
      <c r="M417" s="1665">
        <v>5.2531000000000001E-2</v>
      </c>
      <c r="N417" s="1666">
        <v>1.1553202046551576</v>
      </c>
      <c r="O417" s="1666">
        <v>1.1553202046551576</v>
      </c>
    </row>
    <row r="418" spans="2:15">
      <c r="B418" s="1546">
        <v>45139</v>
      </c>
      <c r="C418" s="1547" t="e">
        <v>#N/A</v>
      </c>
      <c r="D418" s="1547" t="e">
        <v>#N/A</v>
      </c>
      <c r="E418" s="1547" t="e">
        <v>#N/A</v>
      </c>
      <c r="F418" s="1547" t="e">
        <f t="shared" si="0"/>
        <v>#N/A</v>
      </c>
      <c r="K418" s="1663">
        <v>42475</v>
      </c>
      <c r="L418" s="1664" t="s">
        <v>2293</v>
      </c>
      <c r="M418" s="1665">
        <v>5.2531000000000001E-2</v>
      </c>
      <c r="N418" s="1666">
        <v>1.155927105911865</v>
      </c>
      <c r="O418" s="1666">
        <v>1.155927105911865</v>
      </c>
    </row>
    <row r="419" spans="2:15">
      <c r="B419" s="1546">
        <v>45170</v>
      </c>
      <c r="C419" s="1547" t="e">
        <v>#N/A</v>
      </c>
      <c r="D419" s="1547" t="e">
        <v>#N/A</v>
      </c>
      <c r="E419" s="1547" t="e">
        <v>#N/A</v>
      </c>
      <c r="F419" s="1547" t="e">
        <f t="shared" si="0"/>
        <v>#N/A</v>
      </c>
      <c r="K419" s="1663">
        <v>42476</v>
      </c>
      <c r="L419" s="1664"/>
      <c r="M419" s="1665">
        <v>0</v>
      </c>
      <c r="N419" s="1666">
        <v>1.155927105911865</v>
      </c>
      <c r="O419" s="1666">
        <v>1.155927105911865</v>
      </c>
    </row>
    <row r="420" spans="2:15">
      <c r="B420" s="1546">
        <v>45200</v>
      </c>
      <c r="C420" s="1547" t="e">
        <v>#N/A</v>
      </c>
      <c r="D420" s="1547" t="e">
        <v>#N/A</v>
      </c>
      <c r="E420" s="1547" t="e">
        <v>#N/A</v>
      </c>
      <c r="F420" s="1547" t="e">
        <f t="shared" ref="F420:F483" si="1">F419*E420</f>
        <v>#N/A</v>
      </c>
      <c r="K420" s="1663">
        <v>42477</v>
      </c>
      <c r="L420" s="1664"/>
      <c r="M420" s="1665">
        <v>0</v>
      </c>
      <c r="N420" s="1666">
        <v>1.155927105911865</v>
      </c>
      <c r="O420" s="1666">
        <v>1.155927105911865</v>
      </c>
    </row>
    <row r="421" spans="2:15">
      <c r="B421" s="1546">
        <v>45231</v>
      </c>
      <c r="C421" s="1547" t="e">
        <v>#N/A</v>
      </c>
      <c r="D421" s="1547" t="e">
        <v>#N/A</v>
      </c>
      <c r="E421" s="1547" t="e">
        <v>#N/A</v>
      </c>
      <c r="F421" s="1547" t="e">
        <f t="shared" si="1"/>
        <v>#N/A</v>
      </c>
      <c r="K421" s="1663">
        <v>42478</v>
      </c>
      <c r="L421" s="1664" t="s">
        <v>2293</v>
      </c>
      <c r="M421" s="1665">
        <v>5.2531000000000001E-2</v>
      </c>
      <c r="N421" s="1666">
        <v>1.1565343259798715</v>
      </c>
      <c r="O421" s="1666">
        <v>1.1565343259798715</v>
      </c>
    </row>
    <row r="422" spans="2:15">
      <c r="B422" s="1546">
        <v>45261</v>
      </c>
      <c r="C422" s="1547" t="e">
        <v>#N/A</v>
      </c>
      <c r="D422" s="1547" t="e">
        <v>#N/A</v>
      </c>
      <c r="E422" s="1547" t="e">
        <v>#N/A</v>
      </c>
      <c r="F422" s="1547" t="e">
        <f t="shared" si="1"/>
        <v>#N/A</v>
      </c>
      <c r="K422" s="1663">
        <v>42479</v>
      </c>
      <c r="L422" s="1664" t="s">
        <v>2293</v>
      </c>
      <c r="M422" s="1665">
        <v>5.2531000000000001E-2</v>
      </c>
      <c r="N422" s="1666">
        <v>1.1571418650266521</v>
      </c>
      <c r="O422" s="1666">
        <v>1.1571418650266521</v>
      </c>
    </row>
    <row r="423" spans="2:15">
      <c r="B423" s="1546">
        <v>45292</v>
      </c>
      <c r="C423" s="1547" t="e">
        <v>#N/A</v>
      </c>
      <c r="D423" s="1547" t="e">
        <v>#N/A</v>
      </c>
      <c r="E423" s="1547" t="e">
        <v>#N/A</v>
      </c>
      <c r="F423" s="1547" t="e">
        <f t="shared" si="1"/>
        <v>#N/A</v>
      </c>
      <c r="K423" s="1663">
        <v>42480</v>
      </c>
      <c r="L423" s="1664" t="s">
        <v>2293</v>
      </c>
      <c r="M423" s="1665">
        <v>5.2531000000000001E-2</v>
      </c>
      <c r="N423" s="1666">
        <v>1.1577497232197693</v>
      </c>
      <c r="O423" s="1666">
        <v>1.1577497232197693</v>
      </c>
    </row>
    <row r="424" spans="2:15">
      <c r="B424" s="1546">
        <v>45323</v>
      </c>
      <c r="C424" s="1547" t="e">
        <v>#N/A</v>
      </c>
      <c r="D424" s="1547" t="e">
        <v>#N/A</v>
      </c>
      <c r="E424" s="1547" t="e">
        <v>#N/A</v>
      </c>
      <c r="F424" s="1547" t="e">
        <f t="shared" si="1"/>
        <v>#N/A</v>
      </c>
      <c r="K424" s="1663">
        <v>42481</v>
      </c>
      <c r="L424" s="1664"/>
      <c r="M424" s="1665">
        <v>0</v>
      </c>
      <c r="N424" s="1666">
        <v>1.1577497232197693</v>
      </c>
      <c r="O424" s="1666">
        <v>1.1577497232197693</v>
      </c>
    </row>
    <row r="425" spans="2:15">
      <c r="B425" s="1546">
        <v>45352</v>
      </c>
      <c r="C425" s="1547" t="e">
        <v>#N/A</v>
      </c>
      <c r="D425" s="1547" t="e">
        <v>#N/A</v>
      </c>
      <c r="E425" s="1547" t="e">
        <v>#N/A</v>
      </c>
      <c r="F425" s="1547" t="e">
        <f t="shared" si="1"/>
        <v>#N/A</v>
      </c>
      <c r="K425" s="1663">
        <v>42482</v>
      </c>
      <c r="L425" s="1664" t="s">
        <v>2293</v>
      </c>
      <c r="M425" s="1665">
        <v>5.2531000000000001E-2</v>
      </c>
      <c r="N425" s="1666">
        <v>1.1583579007268738</v>
      </c>
      <c r="O425" s="1666">
        <v>1.1583579007268738</v>
      </c>
    </row>
    <row r="426" spans="2:15">
      <c r="B426" s="1546">
        <v>45383</v>
      </c>
      <c r="C426" s="1547" t="e">
        <v>#N/A</v>
      </c>
      <c r="D426" s="1547" t="e">
        <v>#N/A</v>
      </c>
      <c r="E426" s="1547" t="e">
        <v>#N/A</v>
      </c>
      <c r="F426" s="1547" t="e">
        <f t="shared" si="1"/>
        <v>#N/A</v>
      </c>
      <c r="K426" s="1663">
        <v>42483</v>
      </c>
      <c r="L426" s="1664"/>
      <c r="M426" s="1665">
        <v>0</v>
      </c>
      <c r="N426" s="1666">
        <v>1.1583579007268738</v>
      </c>
      <c r="O426" s="1666">
        <v>1.1583579007268738</v>
      </c>
    </row>
    <row r="427" spans="2:15">
      <c r="B427" s="1546">
        <v>45413</v>
      </c>
      <c r="C427" s="1547" t="e">
        <v>#N/A</v>
      </c>
      <c r="D427" s="1547" t="e">
        <v>#N/A</v>
      </c>
      <c r="E427" s="1547" t="e">
        <v>#N/A</v>
      </c>
      <c r="F427" s="1547" t="e">
        <f t="shared" si="1"/>
        <v>#N/A</v>
      </c>
      <c r="K427" s="1663">
        <v>42484</v>
      </c>
      <c r="L427" s="1664"/>
      <c r="M427" s="1665">
        <v>0</v>
      </c>
      <c r="N427" s="1666">
        <v>1.1583579007268738</v>
      </c>
      <c r="O427" s="1666">
        <v>1.1583579007268738</v>
      </c>
    </row>
    <row r="428" spans="2:15">
      <c r="B428" s="1546">
        <v>45444</v>
      </c>
      <c r="C428" s="1547" t="e">
        <v>#N/A</v>
      </c>
      <c r="D428" s="1547" t="e">
        <v>#N/A</v>
      </c>
      <c r="E428" s="1547" t="e">
        <v>#N/A</v>
      </c>
      <c r="F428" s="1547" t="e">
        <f t="shared" si="1"/>
        <v>#N/A</v>
      </c>
      <c r="K428" s="1663">
        <v>42485</v>
      </c>
      <c r="L428" s="1664" t="s">
        <v>2293</v>
      </c>
      <c r="M428" s="1665">
        <v>5.2531000000000001E-2</v>
      </c>
      <c r="N428" s="1666">
        <v>1.1589663977157048</v>
      </c>
      <c r="O428" s="1666">
        <v>1.1589663977157048</v>
      </c>
    </row>
    <row r="429" spans="2:15">
      <c r="B429" s="1546">
        <v>45474</v>
      </c>
      <c r="C429" s="1547" t="e">
        <v>#N/A</v>
      </c>
      <c r="D429" s="1547" t="e">
        <v>#N/A</v>
      </c>
      <c r="E429" s="1547" t="e">
        <v>#N/A</v>
      </c>
      <c r="F429" s="1547" t="e">
        <f t="shared" si="1"/>
        <v>#N/A</v>
      </c>
      <c r="K429" s="1663">
        <v>42486</v>
      </c>
      <c r="L429" s="1664" t="s">
        <v>2293</v>
      </c>
      <c r="M429" s="1665">
        <v>5.2531000000000001E-2</v>
      </c>
      <c r="N429" s="1666">
        <v>1.1595752143540887</v>
      </c>
      <c r="O429" s="1666">
        <v>1.1595752143540887</v>
      </c>
    </row>
    <row r="430" spans="2:15">
      <c r="B430" s="1546">
        <v>45505</v>
      </c>
      <c r="C430" s="1547" t="e">
        <v>#N/A</v>
      </c>
      <c r="D430" s="1547" t="e">
        <v>#N/A</v>
      </c>
      <c r="E430" s="1547" t="e">
        <v>#N/A</v>
      </c>
      <c r="F430" s="1547" t="e">
        <f t="shared" si="1"/>
        <v>#N/A</v>
      </c>
      <c r="K430" s="1663">
        <v>42487</v>
      </c>
      <c r="L430" s="1664" t="s">
        <v>2293</v>
      </c>
      <c r="M430" s="1665">
        <v>5.2531000000000001E-2</v>
      </c>
      <c r="N430" s="1666">
        <v>1.160184350809941</v>
      </c>
      <c r="O430" s="1666">
        <v>1.160184350809941</v>
      </c>
    </row>
    <row r="431" spans="2:15">
      <c r="B431" s="1546">
        <v>45536</v>
      </c>
      <c r="C431" s="1547" t="e">
        <v>#N/A</v>
      </c>
      <c r="D431" s="1547" t="e">
        <v>#N/A</v>
      </c>
      <c r="E431" s="1547" t="e">
        <v>#N/A</v>
      </c>
      <c r="F431" s="1547" t="e">
        <f t="shared" si="1"/>
        <v>#N/A</v>
      </c>
      <c r="K431" s="1663">
        <v>42488</v>
      </c>
      <c r="L431" s="1664" t="s">
        <v>2293</v>
      </c>
      <c r="M431" s="1665">
        <v>5.2531000000000001E-2</v>
      </c>
      <c r="N431" s="1666">
        <v>1.1607938072512649</v>
      </c>
      <c r="O431" s="1666">
        <v>1.1607938072512649</v>
      </c>
    </row>
    <row r="432" spans="2:15">
      <c r="B432" s="1546">
        <v>45566</v>
      </c>
      <c r="C432" s="1547" t="e">
        <v>#N/A</v>
      </c>
      <c r="D432" s="1547" t="e">
        <v>#N/A</v>
      </c>
      <c r="E432" s="1547" t="e">
        <v>#N/A</v>
      </c>
      <c r="F432" s="1547" t="e">
        <f t="shared" si="1"/>
        <v>#N/A</v>
      </c>
      <c r="K432" s="1663">
        <v>42489</v>
      </c>
      <c r="L432" s="1664" t="s">
        <v>2293</v>
      </c>
      <c r="M432" s="1665">
        <v>5.2531000000000001E-2</v>
      </c>
      <c r="N432" s="1666">
        <v>1.1614035838461521</v>
      </c>
      <c r="O432" s="1666">
        <v>1.1614035838461521</v>
      </c>
    </row>
    <row r="433" spans="2:15">
      <c r="B433" s="1546">
        <v>45597</v>
      </c>
      <c r="C433" s="1547" t="e">
        <v>#N/A</v>
      </c>
      <c r="D433" s="1547" t="e">
        <v>#N/A</v>
      </c>
      <c r="E433" s="1547" t="e">
        <v>#N/A</v>
      </c>
      <c r="F433" s="1547" t="e">
        <f t="shared" si="1"/>
        <v>#N/A</v>
      </c>
      <c r="K433" s="1663">
        <v>42490</v>
      </c>
      <c r="L433" s="1664"/>
      <c r="M433" s="1665">
        <v>0</v>
      </c>
      <c r="N433" s="1666">
        <v>1.1614035838461521</v>
      </c>
      <c r="O433" s="1666">
        <v>1.1614035838461521</v>
      </c>
    </row>
    <row r="434" spans="2:15">
      <c r="B434" s="1546">
        <v>45627</v>
      </c>
      <c r="C434" s="1547" t="e">
        <v>#N/A</v>
      </c>
      <c r="D434" s="1547" t="e">
        <v>#N/A</v>
      </c>
      <c r="E434" s="1547" t="e">
        <v>#N/A</v>
      </c>
      <c r="F434" s="1547" t="e">
        <f t="shared" si="1"/>
        <v>#N/A</v>
      </c>
      <c r="K434" s="1663">
        <v>42491</v>
      </c>
      <c r="L434" s="1664"/>
      <c r="M434" s="1665">
        <v>0</v>
      </c>
      <c r="N434" s="1666">
        <v>1.1614035838461521</v>
      </c>
      <c r="O434" s="1666">
        <v>1.1614035838461521</v>
      </c>
    </row>
    <row r="435" spans="2:15">
      <c r="B435" s="1546">
        <v>45658</v>
      </c>
      <c r="C435" s="1547" t="e">
        <v>#N/A</v>
      </c>
      <c r="D435" s="1547" t="e">
        <v>#N/A</v>
      </c>
      <c r="E435" s="1547" t="e">
        <v>#N/A</v>
      </c>
      <c r="F435" s="1547" t="e">
        <f t="shared" si="1"/>
        <v>#N/A</v>
      </c>
      <c r="K435" s="1663">
        <v>42492</v>
      </c>
      <c r="L435" s="1664" t="s">
        <v>2293</v>
      </c>
      <c r="M435" s="1665">
        <v>5.2531000000000001E-2</v>
      </c>
      <c r="N435" s="1666">
        <v>1.1620136807627823</v>
      </c>
      <c r="O435" s="1666">
        <v>1.1620136807627823</v>
      </c>
    </row>
    <row r="436" spans="2:15">
      <c r="B436" s="1546">
        <v>45689</v>
      </c>
      <c r="C436" s="1547" t="e">
        <v>#N/A</v>
      </c>
      <c r="D436" s="1547" t="e">
        <v>#N/A</v>
      </c>
      <c r="E436" s="1547" t="e">
        <v>#N/A</v>
      </c>
      <c r="F436" s="1547" t="e">
        <f t="shared" si="1"/>
        <v>#N/A</v>
      </c>
      <c r="K436" s="1663">
        <v>42493</v>
      </c>
      <c r="L436" s="1664" t="s">
        <v>2293</v>
      </c>
      <c r="M436" s="1665">
        <v>5.2531000000000001E-2</v>
      </c>
      <c r="N436" s="1666">
        <v>1.1626240981694238</v>
      </c>
      <c r="O436" s="1666">
        <v>1.1626240981694238</v>
      </c>
    </row>
    <row r="437" spans="2:15">
      <c r="B437" s="1546">
        <v>45717</v>
      </c>
      <c r="C437" s="1547" t="e">
        <v>#N/A</v>
      </c>
      <c r="D437" s="1547" t="e">
        <v>#N/A</v>
      </c>
      <c r="E437" s="1547" t="e">
        <v>#N/A</v>
      </c>
      <c r="F437" s="1547" t="e">
        <f t="shared" si="1"/>
        <v>#N/A</v>
      </c>
      <c r="K437" s="1663">
        <v>42494</v>
      </c>
      <c r="L437" s="1664" t="s">
        <v>2293</v>
      </c>
      <c r="M437" s="1665">
        <v>5.2531000000000001E-2</v>
      </c>
      <c r="N437" s="1666">
        <v>1.1632348362344331</v>
      </c>
      <c r="O437" s="1666">
        <v>1.1632348362344331</v>
      </c>
    </row>
    <row r="438" spans="2:15">
      <c r="B438" s="1546">
        <v>45748</v>
      </c>
      <c r="C438" s="1547" t="e">
        <v>#N/A</v>
      </c>
      <c r="D438" s="1547" t="e">
        <v>#N/A</v>
      </c>
      <c r="E438" s="1547" t="e">
        <v>#N/A</v>
      </c>
      <c r="F438" s="1547" t="e">
        <f t="shared" si="1"/>
        <v>#N/A</v>
      </c>
      <c r="K438" s="1663">
        <v>42495</v>
      </c>
      <c r="L438" s="1664" t="s">
        <v>2293</v>
      </c>
      <c r="M438" s="1665">
        <v>5.2531000000000001E-2</v>
      </c>
      <c r="N438" s="1666">
        <v>1.1638458951262554</v>
      </c>
      <c r="O438" s="1666">
        <v>1.1638458951262554</v>
      </c>
    </row>
    <row r="439" spans="2:15">
      <c r="B439" s="1546">
        <v>45778</v>
      </c>
      <c r="C439" s="1547" t="e">
        <v>#N/A</v>
      </c>
      <c r="D439" s="1547" t="e">
        <v>#N/A</v>
      </c>
      <c r="E439" s="1547" t="e">
        <v>#N/A</v>
      </c>
      <c r="F439" s="1547" t="e">
        <f t="shared" si="1"/>
        <v>#N/A</v>
      </c>
      <c r="K439" s="1663">
        <v>42496</v>
      </c>
      <c r="L439" s="1664" t="s">
        <v>2293</v>
      </c>
      <c r="M439" s="1665">
        <v>5.2531000000000001E-2</v>
      </c>
      <c r="N439" s="1666">
        <v>1.1644572750134241</v>
      </c>
      <c r="O439" s="1666">
        <v>1.1644572750134241</v>
      </c>
    </row>
    <row r="440" spans="2:15">
      <c r="B440" s="1546">
        <v>45809</v>
      </c>
      <c r="C440" s="1547" t="e">
        <v>#N/A</v>
      </c>
      <c r="D440" s="1547" t="e">
        <v>#N/A</v>
      </c>
      <c r="E440" s="1547" t="e">
        <v>#N/A</v>
      </c>
      <c r="F440" s="1547" t="e">
        <f t="shared" si="1"/>
        <v>#N/A</v>
      </c>
      <c r="K440" s="1663">
        <v>42497</v>
      </c>
      <c r="L440" s="1664"/>
      <c r="M440" s="1665">
        <v>0</v>
      </c>
      <c r="N440" s="1666">
        <v>1.1644572750134241</v>
      </c>
      <c r="O440" s="1666">
        <v>1.1644572750134241</v>
      </c>
    </row>
    <row r="441" spans="2:15">
      <c r="B441" s="1546">
        <v>45839</v>
      </c>
      <c r="C441" s="1547" t="e">
        <v>#N/A</v>
      </c>
      <c r="D441" s="1547" t="e">
        <v>#N/A</v>
      </c>
      <c r="E441" s="1547" t="e">
        <v>#N/A</v>
      </c>
      <c r="F441" s="1547" t="e">
        <f t="shared" si="1"/>
        <v>#N/A</v>
      </c>
      <c r="K441" s="1663">
        <v>42498</v>
      </c>
      <c r="L441" s="1664"/>
      <c r="M441" s="1665">
        <v>0</v>
      </c>
      <c r="N441" s="1666">
        <v>1.1644572750134241</v>
      </c>
      <c r="O441" s="1666">
        <v>1.1644572750134241</v>
      </c>
    </row>
    <row r="442" spans="2:15">
      <c r="B442" s="1546">
        <v>45870</v>
      </c>
      <c r="C442" s="1547" t="e">
        <v>#N/A</v>
      </c>
      <c r="D442" s="1547" t="e">
        <v>#N/A</v>
      </c>
      <c r="E442" s="1547" t="e">
        <v>#N/A</v>
      </c>
      <c r="F442" s="1547" t="e">
        <f t="shared" si="1"/>
        <v>#N/A</v>
      </c>
      <c r="K442" s="1663">
        <v>42499</v>
      </c>
      <c r="L442" s="1664" t="s">
        <v>2293</v>
      </c>
      <c r="M442" s="1665">
        <v>5.2531000000000001E-2</v>
      </c>
      <c r="N442" s="1666">
        <v>1.1650689760645614</v>
      </c>
      <c r="O442" s="1666">
        <v>1.1650689760645614</v>
      </c>
    </row>
    <row r="443" spans="2:15">
      <c r="B443" s="1546">
        <v>45901</v>
      </c>
      <c r="C443" s="1547" t="e">
        <v>#N/A</v>
      </c>
      <c r="D443" s="1547" t="e">
        <v>#N/A</v>
      </c>
      <c r="E443" s="1547" t="e">
        <v>#N/A</v>
      </c>
      <c r="F443" s="1547" t="e">
        <f t="shared" si="1"/>
        <v>#N/A</v>
      </c>
      <c r="K443" s="1663">
        <v>42500</v>
      </c>
      <c r="L443" s="1664" t="s">
        <v>2293</v>
      </c>
      <c r="M443" s="1665">
        <v>5.2531000000000001E-2</v>
      </c>
      <c r="N443" s="1666">
        <v>1.1656809984483778</v>
      </c>
      <c r="O443" s="1666">
        <v>1.1656809984483778</v>
      </c>
    </row>
    <row r="444" spans="2:15">
      <c r="B444" s="1546">
        <v>45931</v>
      </c>
      <c r="C444" s="1547" t="e">
        <v>#N/A</v>
      </c>
      <c r="D444" s="1547" t="e">
        <v>#N/A</v>
      </c>
      <c r="E444" s="1547" t="e">
        <v>#N/A</v>
      </c>
      <c r="F444" s="1547" t="e">
        <f t="shared" si="1"/>
        <v>#N/A</v>
      </c>
      <c r="K444" s="1663">
        <v>42501</v>
      </c>
      <c r="L444" s="1664" t="s">
        <v>2293</v>
      </c>
      <c r="M444" s="1665">
        <v>5.2531000000000001E-2</v>
      </c>
      <c r="N444" s="1666">
        <v>1.1662933423336728</v>
      </c>
      <c r="O444" s="1666">
        <v>1.1662933423336728</v>
      </c>
    </row>
    <row r="445" spans="2:15">
      <c r="B445" s="1546">
        <v>45962</v>
      </c>
      <c r="C445" s="1547" t="e">
        <v>#N/A</v>
      </c>
      <c r="D445" s="1547" t="e">
        <v>#N/A</v>
      </c>
      <c r="E445" s="1547" t="e">
        <v>#N/A</v>
      </c>
      <c r="F445" s="1547" t="e">
        <f t="shared" si="1"/>
        <v>#N/A</v>
      </c>
      <c r="K445" s="1663">
        <v>42502</v>
      </c>
      <c r="L445" s="1664" t="s">
        <v>2293</v>
      </c>
      <c r="M445" s="1665">
        <v>5.2531000000000001E-2</v>
      </c>
      <c r="N445" s="1666">
        <v>1.1669060078893341</v>
      </c>
      <c r="O445" s="1666">
        <v>1.1669060078893341</v>
      </c>
    </row>
    <row r="446" spans="2:15">
      <c r="B446" s="1546">
        <v>45992</v>
      </c>
      <c r="C446" s="1547" t="e">
        <v>#N/A</v>
      </c>
      <c r="D446" s="1547" t="e">
        <v>#N/A</v>
      </c>
      <c r="E446" s="1547" t="e">
        <v>#N/A</v>
      </c>
      <c r="F446" s="1547" t="e">
        <f t="shared" si="1"/>
        <v>#N/A</v>
      </c>
      <c r="K446" s="1663">
        <v>42503</v>
      </c>
      <c r="L446" s="1664" t="s">
        <v>2293</v>
      </c>
      <c r="M446" s="1665">
        <v>5.2531000000000001E-2</v>
      </c>
      <c r="N446" s="1666">
        <v>1.1675189952843383</v>
      </c>
      <c r="O446" s="1666">
        <v>1.1675189952843383</v>
      </c>
    </row>
    <row r="447" spans="2:15">
      <c r="B447" s="1546">
        <v>46023</v>
      </c>
      <c r="C447" s="1547" t="e">
        <v>#N/A</v>
      </c>
      <c r="D447" s="1547" t="e">
        <v>#N/A</v>
      </c>
      <c r="E447" s="1547" t="e">
        <v>#N/A</v>
      </c>
      <c r="F447" s="1547" t="e">
        <f t="shared" si="1"/>
        <v>#N/A</v>
      </c>
      <c r="K447" s="1663">
        <v>42504</v>
      </c>
      <c r="L447" s="1664"/>
      <c r="M447" s="1665">
        <v>0</v>
      </c>
      <c r="N447" s="1666">
        <v>1.1675189952843383</v>
      </c>
      <c r="O447" s="1666">
        <v>1.1675189952843383</v>
      </c>
    </row>
    <row r="448" spans="2:15">
      <c r="B448" s="1546">
        <v>46054</v>
      </c>
      <c r="C448" s="1547" t="e">
        <v>#N/A</v>
      </c>
      <c r="D448" s="1547" t="e">
        <v>#N/A</v>
      </c>
      <c r="E448" s="1547" t="e">
        <v>#N/A</v>
      </c>
      <c r="F448" s="1547" t="e">
        <f t="shared" si="1"/>
        <v>#N/A</v>
      </c>
      <c r="K448" s="1663">
        <v>42505</v>
      </c>
      <c r="L448" s="1664"/>
      <c r="M448" s="1665">
        <v>0</v>
      </c>
      <c r="N448" s="1666">
        <v>1.1675189952843383</v>
      </c>
      <c r="O448" s="1666">
        <v>1.1675189952843383</v>
      </c>
    </row>
    <row r="449" spans="2:15">
      <c r="B449" s="1546">
        <v>46082</v>
      </c>
      <c r="C449" s="1547" t="e">
        <v>#N/A</v>
      </c>
      <c r="D449" s="1547" t="e">
        <v>#N/A</v>
      </c>
      <c r="E449" s="1547" t="e">
        <v>#N/A</v>
      </c>
      <c r="F449" s="1547" t="e">
        <f t="shared" si="1"/>
        <v>#N/A</v>
      </c>
      <c r="K449" s="1663">
        <v>42506</v>
      </c>
      <c r="L449" s="1664" t="s">
        <v>2293</v>
      </c>
      <c r="M449" s="1665">
        <v>5.2531000000000001E-2</v>
      </c>
      <c r="N449" s="1666">
        <v>1.1681323046877512</v>
      </c>
      <c r="O449" s="1666">
        <v>1.1681323046877512</v>
      </c>
    </row>
    <row r="450" spans="2:15">
      <c r="B450" s="1546">
        <v>46113</v>
      </c>
      <c r="C450" s="1547" t="e">
        <v>#N/A</v>
      </c>
      <c r="D450" s="1547" t="e">
        <v>#N/A</v>
      </c>
      <c r="E450" s="1547" t="e">
        <v>#N/A</v>
      </c>
      <c r="F450" s="1547" t="e">
        <f t="shared" si="1"/>
        <v>#N/A</v>
      </c>
      <c r="K450" s="1663">
        <v>42507</v>
      </c>
      <c r="L450" s="1664" t="s">
        <v>2293</v>
      </c>
      <c r="M450" s="1665">
        <v>5.2531000000000001E-2</v>
      </c>
      <c r="N450" s="1666">
        <v>1.1687459362687267</v>
      </c>
      <c r="O450" s="1666">
        <v>1.1687459362687267</v>
      </c>
    </row>
    <row r="451" spans="2:15">
      <c r="B451" s="1546">
        <v>46143</v>
      </c>
      <c r="C451" s="1547" t="e">
        <v>#N/A</v>
      </c>
      <c r="D451" s="1547" t="e">
        <v>#N/A</v>
      </c>
      <c r="E451" s="1547" t="e">
        <v>#N/A</v>
      </c>
      <c r="F451" s="1547" t="e">
        <f t="shared" si="1"/>
        <v>#N/A</v>
      </c>
      <c r="K451" s="1663">
        <v>42508</v>
      </c>
      <c r="L451" s="1664" t="s">
        <v>2293</v>
      </c>
      <c r="M451" s="1665">
        <v>5.2531000000000001E-2</v>
      </c>
      <c r="N451" s="1666">
        <v>1.1693598901965081</v>
      </c>
      <c r="O451" s="1666">
        <v>1.1693598901965081</v>
      </c>
    </row>
    <row r="452" spans="2:15">
      <c r="B452" s="1546">
        <v>46174</v>
      </c>
      <c r="C452" s="1547" t="e">
        <v>#N/A</v>
      </c>
      <c r="D452" s="1547" t="e">
        <v>#N/A</v>
      </c>
      <c r="E452" s="1547" t="e">
        <v>#N/A</v>
      </c>
      <c r="F452" s="1547" t="e">
        <f t="shared" si="1"/>
        <v>#N/A</v>
      </c>
      <c r="K452" s="1663">
        <v>42509</v>
      </c>
      <c r="L452" s="1664" t="s">
        <v>2293</v>
      </c>
      <c r="M452" s="1665">
        <v>5.2531000000000001E-2</v>
      </c>
      <c r="N452" s="1666">
        <v>1.1699741666404273</v>
      </c>
      <c r="O452" s="1666">
        <v>1.1699741666404273</v>
      </c>
    </row>
    <row r="453" spans="2:15">
      <c r="B453" s="1546">
        <v>46204</v>
      </c>
      <c r="C453" s="1547" t="e">
        <v>#N/A</v>
      </c>
      <c r="D453" s="1547" t="e">
        <v>#N/A</v>
      </c>
      <c r="E453" s="1547" t="e">
        <v>#N/A</v>
      </c>
      <c r="F453" s="1547" t="e">
        <f t="shared" si="1"/>
        <v>#N/A</v>
      </c>
      <c r="K453" s="1663">
        <v>42510</v>
      </c>
      <c r="L453" s="1664" t="s">
        <v>2293</v>
      </c>
      <c r="M453" s="1665">
        <v>5.2531000000000001E-2</v>
      </c>
      <c r="N453" s="1666">
        <v>1.1705887657699052</v>
      </c>
      <c r="O453" s="1666">
        <v>1.1705887657699052</v>
      </c>
    </row>
    <row r="454" spans="2:15">
      <c r="B454" s="1546">
        <v>46235</v>
      </c>
      <c r="C454" s="1547" t="e">
        <v>#N/A</v>
      </c>
      <c r="D454" s="1547" t="e">
        <v>#N/A</v>
      </c>
      <c r="E454" s="1547" t="e">
        <v>#N/A</v>
      </c>
      <c r="F454" s="1547" t="e">
        <f t="shared" si="1"/>
        <v>#N/A</v>
      </c>
      <c r="K454" s="1663">
        <v>42511</v>
      </c>
      <c r="L454" s="1664"/>
      <c r="M454" s="1665">
        <v>0</v>
      </c>
      <c r="N454" s="1666">
        <v>1.1705887657699052</v>
      </c>
      <c r="O454" s="1666">
        <v>1.1705887657699052</v>
      </c>
    </row>
    <row r="455" spans="2:15">
      <c r="B455" s="1546">
        <v>46266</v>
      </c>
      <c r="C455" s="1547" t="e">
        <v>#N/A</v>
      </c>
      <c r="D455" s="1547" t="e">
        <v>#N/A</v>
      </c>
      <c r="E455" s="1547" t="e">
        <v>#N/A</v>
      </c>
      <c r="F455" s="1547" t="e">
        <f t="shared" si="1"/>
        <v>#N/A</v>
      </c>
      <c r="K455" s="1663">
        <v>42512</v>
      </c>
      <c r="L455" s="1664"/>
      <c r="M455" s="1665">
        <v>0</v>
      </c>
      <c r="N455" s="1666">
        <v>1.1705887657699052</v>
      </c>
      <c r="O455" s="1666">
        <v>1.1705887657699052</v>
      </c>
    </row>
    <row r="456" spans="2:15">
      <c r="B456" s="1546">
        <v>46296</v>
      </c>
      <c r="C456" s="1547" t="e">
        <v>#N/A</v>
      </c>
      <c r="D456" s="1547" t="e">
        <v>#N/A</v>
      </c>
      <c r="E456" s="1547" t="e">
        <v>#N/A</v>
      </c>
      <c r="F456" s="1547" t="e">
        <f t="shared" si="1"/>
        <v>#N/A</v>
      </c>
      <c r="K456" s="1663">
        <v>42513</v>
      </c>
      <c r="L456" s="1664" t="s">
        <v>2293</v>
      </c>
      <c r="M456" s="1665">
        <v>5.2531000000000001E-2</v>
      </c>
      <c r="N456" s="1666">
        <v>1.1712036877544518</v>
      </c>
      <c r="O456" s="1666">
        <v>1.1712036877544518</v>
      </c>
    </row>
    <row r="457" spans="2:15">
      <c r="B457" s="1546">
        <v>46327</v>
      </c>
      <c r="C457" s="1547" t="e">
        <v>#N/A</v>
      </c>
      <c r="D457" s="1547" t="e">
        <v>#N/A</v>
      </c>
      <c r="E457" s="1547" t="e">
        <v>#N/A</v>
      </c>
      <c r="F457" s="1547" t="e">
        <f t="shared" si="1"/>
        <v>#N/A</v>
      </c>
      <c r="K457" s="1663">
        <v>42514</v>
      </c>
      <c r="L457" s="1664" t="s">
        <v>2293</v>
      </c>
      <c r="M457" s="1665">
        <v>5.2531000000000001E-2</v>
      </c>
      <c r="N457" s="1666">
        <v>1.1718189327636661</v>
      </c>
      <c r="O457" s="1666">
        <v>1.1718189327636661</v>
      </c>
    </row>
    <row r="458" spans="2:15">
      <c r="B458" s="1546">
        <v>46357</v>
      </c>
      <c r="C458" s="1547" t="e">
        <v>#N/A</v>
      </c>
      <c r="D458" s="1547" t="e">
        <v>#N/A</v>
      </c>
      <c r="E458" s="1547" t="e">
        <v>#N/A</v>
      </c>
      <c r="F458" s="1547" t="e">
        <f t="shared" si="1"/>
        <v>#N/A</v>
      </c>
      <c r="K458" s="1663">
        <v>42515</v>
      </c>
      <c r="L458" s="1664" t="s">
        <v>2293</v>
      </c>
      <c r="M458" s="1665">
        <v>5.2531000000000001E-2</v>
      </c>
      <c r="N458" s="1666">
        <v>1.1724345009672361</v>
      </c>
      <c r="O458" s="1666">
        <v>1.1724345009672361</v>
      </c>
    </row>
    <row r="459" spans="2:15">
      <c r="B459" s="1546">
        <v>46388</v>
      </c>
      <c r="C459" s="1547" t="e">
        <v>#N/A</v>
      </c>
      <c r="D459" s="1547" t="e">
        <v>#N/A</v>
      </c>
      <c r="E459" s="1547" t="e">
        <v>#N/A</v>
      </c>
      <c r="F459" s="1547" t="e">
        <f t="shared" si="1"/>
        <v>#N/A</v>
      </c>
      <c r="K459" s="1663">
        <v>42516</v>
      </c>
      <c r="L459" s="1664"/>
      <c r="M459" s="1665">
        <v>0</v>
      </c>
      <c r="N459" s="1666">
        <v>1.1724345009672361</v>
      </c>
      <c r="O459" s="1666">
        <v>1.1724345009672361</v>
      </c>
    </row>
    <row r="460" spans="2:15">
      <c r="B460" s="1546">
        <v>46419</v>
      </c>
      <c r="C460" s="1547" t="e">
        <v>#N/A</v>
      </c>
      <c r="D460" s="1547" t="e">
        <v>#N/A</v>
      </c>
      <c r="E460" s="1547" t="e">
        <v>#N/A</v>
      </c>
      <c r="F460" s="1547" t="e">
        <f t="shared" si="1"/>
        <v>#N/A</v>
      </c>
      <c r="K460" s="1663">
        <v>42517</v>
      </c>
      <c r="L460" s="1664" t="s">
        <v>2293</v>
      </c>
      <c r="M460" s="1665">
        <v>5.2531000000000001E-2</v>
      </c>
      <c r="N460" s="1666">
        <v>1.1730503925349391</v>
      </c>
      <c r="O460" s="1666">
        <v>1.1730503925349391</v>
      </c>
    </row>
    <row r="461" spans="2:15">
      <c r="B461" s="1546">
        <v>46447</v>
      </c>
      <c r="C461" s="1547" t="e">
        <v>#N/A</v>
      </c>
      <c r="D461" s="1547" t="e">
        <v>#N/A</v>
      </c>
      <c r="E461" s="1547" t="e">
        <v>#N/A</v>
      </c>
      <c r="F461" s="1547" t="e">
        <f t="shared" si="1"/>
        <v>#N/A</v>
      </c>
      <c r="K461" s="1663">
        <v>42518</v>
      </c>
      <c r="L461" s="1664"/>
      <c r="M461" s="1665">
        <v>0</v>
      </c>
      <c r="N461" s="1666">
        <v>1.1730503925349391</v>
      </c>
      <c r="O461" s="1666">
        <v>1.1730503925349391</v>
      </c>
    </row>
    <row r="462" spans="2:15">
      <c r="B462" s="1546">
        <v>46478</v>
      </c>
      <c r="C462" s="1547" t="e">
        <v>#N/A</v>
      </c>
      <c r="D462" s="1547" t="e">
        <v>#N/A</v>
      </c>
      <c r="E462" s="1547" t="e">
        <v>#N/A</v>
      </c>
      <c r="F462" s="1547" t="e">
        <f t="shared" si="1"/>
        <v>#N/A</v>
      </c>
      <c r="K462" s="1663">
        <v>42519</v>
      </c>
      <c r="L462" s="1664"/>
      <c r="M462" s="1665">
        <v>0</v>
      </c>
      <c r="N462" s="1666">
        <v>1.1730503925349391</v>
      </c>
      <c r="O462" s="1666">
        <v>1.1730503925349391</v>
      </c>
    </row>
    <row r="463" spans="2:15">
      <c r="B463" s="1546">
        <v>46508</v>
      </c>
      <c r="C463" s="1547" t="e">
        <v>#N/A</v>
      </c>
      <c r="D463" s="1547" t="e">
        <v>#N/A</v>
      </c>
      <c r="E463" s="1547" t="e">
        <v>#N/A</v>
      </c>
      <c r="F463" s="1547" t="e">
        <f t="shared" si="1"/>
        <v>#N/A</v>
      </c>
      <c r="K463" s="1663">
        <v>42520</v>
      </c>
      <c r="L463" s="1664" t="s">
        <v>2293</v>
      </c>
      <c r="M463" s="1665">
        <v>5.2531000000000001E-2</v>
      </c>
      <c r="N463" s="1666">
        <v>1.1736666076366418</v>
      </c>
      <c r="O463" s="1666">
        <v>1.1736666076366418</v>
      </c>
    </row>
    <row r="464" spans="2:15">
      <c r="B464" s="1546">
        <v>46539</v>
      </c>
      <c r="C464" s="1547" t="e">
        <v>#N/A</v>
      </c>
      <c r="D464" s="1547" t="e">
        <v>#N/A</v>
      </c>
      <c r="E464" s="1547" t="e">
        <v>#N/A</v>
      </c>
      <c r="F464" s="1547" t="e">
        <f t="shared" si="1"/>
        <v>#N/A</v>
      </c>
      <c r="K464" s="1663">
        <v>42521</v>
      </c>
      <c r="L464" s="1664" t="s">
        <v>2293</v>
      </c>
      <c r="M464" s="1665">
        <v>5.2531000000000001E-2</v>
      </c>
      <c r="N464" s="1666">
        <v>1.1742831464422994</v>
      </c>
      <c r="O464" s="1666">
        <v>1.1742831464422994</v>
      </c>
    </row>
    <row r="465" spans="2:15">
      <c r="B465" s="1546">
        <v>46569</v>
      </c>
      <c r="C465" s="1547" t="e">
        <v>#N/A</v>
      </c>
      <c r="D465" s="1547" t="e">
        <v>#N/A</v>
      </c>
      <c r="E465" s="1547" t="e">
        <v>#N/A</v>
      </c>
      <c r="F465" s="1547" t="e">
        <f t="shared" si="1"/>
        <v>#N/A</v>
      </c>
      <c r="K465" s="1663">
        <v>42522</v>
      </c>
      <c r="L465" s="1664" t="s">
        <v>2293</v>
      </c>
      <c r="M465" s="1665">
        <v>5.2531000000000001E-2</v>
      </c>
      <c r="N465" s="1666">
        <v>1.174900009121957</v>
      </c>
      <c r="O465" s="1666">
        <v>1.174900009121957</v>
      </c>
    </row>
    <row r="466" spans="2:15">
      <c r="B466" s="1546">
        <v>46600</v>
      </c>
      <c r="C466" s="1547" t="e">
        <v>#N/A</v>
      </c>
      <c r="D466" s="1547" t="e">
        <v>#N/A</v>
      </c>
      <c r="E466" s="1547" t="e">
        <v>#N/A</v>
      </c>
      <c r="F466" s="1547" t="e">
        <f t="shared" si="1"/>
        <v>#N/A</v>
      </c>
      <c r="K466" s="1663">
        <v>42523</v>
      </c>
      <c r="L466" s="1664" t="s">
        <v>2293</v>
      </c>
      <c r="M466" s="1665">
        <v>5.2531000000000001E-2</v>
      </c>
      <c r="N466" s="1666">
        <v>1.1755171958457489</v>
      </c>
      <c r="O466" s="1666">
        <v>1.1755171958457489</v>
      </c>
    </row>
    <row r="467" spans="2:15">
      <c r="B467" s="1546">
        <v>46631</v>
      </c>
      <c r="C467" s="1547" t="e">
        <v>#N/A</v>
      </c>
      <c r="D467" s="1547" t="e">
        <v>#N/A</v>
      </c>
      <c r="E467" s="1547" t="e">
        <v>#N/A</v>
      </c>
      <c r="F467" s="1547" t="e">
        <f t="shared" si="1"/>
        <v>#N/A</v>
      </c>
      <c r="K467" s="1663">
        <v>42524</v>
      </c>
      <c r="L467" s="1664" t="s">
        <v>2293</v>
      </c>
      <c r="M467" s="1665">
        <v>5.2531000000000001E-2</v>
      </c>
      <c r="N467" s="1666">
        <v>1.1761347067838985</v>
      </c>
      <c r="O467" s="1666">
        <v>1.1761347067838985</v>
      </c>
    </row>
    <row r="468" spans="2:15">
      <c r="B468" s="1546">
        <v>46661</v>
      </c>
      <c r="C468" s="1547" t="e">
        <v>#N/A</v>
      </c>
      <c r="D468" s="1547" t="e">
        <v>#N/A</v>
      </c>
      <c r="E468" s="1547" t="e">
        <v>#N/A</v>
      </c>
      <c r="F468" s="1547" t="e">
        <f t="shared" si="1"/>
        <v>#N/A</v>
      </c>
      <c r="K468" s="1663">
        <v>42525</v>
      </c>
      <c r="L468" s="1664"/>
      <c r="M468" s="1665">
        <v>0</v>
      </c>
      <c r="N468" s="1666">
        <v>1.1761347067838985</v>
      </c>
      <c r="O468" s="1666">
        <v>1.1761347067838985</v>
      </c>
    </row>
    <row r="469" spans="2:15">
      <c r="B469" s="1546">
        <v>46692</v>
      </c>
      <c r="C469" s="1547" t="e">
        <v>#N/A</v>
      </c>
      <c r="D469" s="1547" t="e">
        <v>#N/A</v>
      </c>
      <c r="E469" s="1547" t="e">
        <v>#N/A</v>
      </c>
      <c r="F469" s="1547" t="e">
        <f t="shared" si="1"/>
        <v>#N/A</v>
      </c>
      <c r="K469" s="1663">
        <v>42526</v>
      </c>
      <c r="L469" s="1664"/>
      <c r="M469" s="1665">
        <v>0</v>
      </c>
      <c r="N469" s="1666">
        <v>1.1761347067838985</v>
      </c>
      <c r="O469" s="1666">
        <v>1.1761347067838985</v>
      </c>
    </row>
    <row r="470" spans="2:15">
      <c r="B470" s="1546">
        <v>46722</v>
      </c>
      <c r="C470" s="1547" t="e">
        <v>#N/A</v>
      </c>
      <c r="D470" s="1547" t="e">
        <v>#N/A</v>
      </c>
      <c r="E470" s="1547" t="e">
        <v>#N/A</v>
      </c>
      <c r="F470" s="1547" t="e">
        <f t="shared" si="1"/>
        <v>#N/A</v>
      </c>
      <c r="K470" s="1663">
        <v>42527</v>
      </c>
      <c r="L470" s="1664" t="s">
        <v>2293</v>
      </c>
      <c r="M470" s="1665">
        <v>5.2531000000000001E-2</v>
      </c>
      <c r="N470" s="1666">
        <v>1.1767525421067191</v>
      </c>
      <c r="O470" s="1666">
        <v>1.1767525421067191</v>
      </c>
    </row>
    <row r="471" spans="2:15">
      <c r="B471" s="1546">
        <v>46753</v>
      </c>
      <c r="C471" s="1547" t="e">
        <v>#N/A</v>
      </c>
      <c r="D471" s="1547" t="e">
        <v>#N/A</v>
      </c>
      <c r="E471" s="1547" t="e">
        <v>#N/A</v>
      </c>
      <c r="F471" s="1547" t="e">
        <f t="shared" si="1"/>
        <v>#N/A</v>
      </c>
      <c r="K471" s="1663">
        <v>42528</v>
      </c>
      <c r="L471" s="1664" t="s">
        <v>2293</v>
      </c>
      <c r="M471" s="1665">
        <v>5.2531000000000001E-2</v>
      </c>
      <c r="N471" s="1666">
        <v>1.1773707019846131</v>
      </c>
      <c r="O471" s="1666">
        <v>1.1773707019846131</v>
      </c>
    </row>
    <row r="472" spans="2:15">
      <c r="B472" s="1546">
        <v>46784</v>
      </c>
      <c r="C472" s="1547" t="e">
        <v>#N/A</v>
      </c>
      <c r="D472" s="1547" t="e">
        <v>#N/A</v>
      </c>
      <c r="E472" s="1547" t="e">
        <v>#N/A</v>
      </c>
      <c r="F472" s="1547" t="e">
        <f t="shared" si="1"/>
        <v>#N/A</v>
      </c>
      <c r="K472" s="1663">
        <v>42529</v>
      </c>
      <c r="L472" s="1664" t="s">
        <v>2293</v>
      </c>
      <c r="M472" s="1665">
        <v>5.2531000000000001E-2</v>
      </c>
      <c r="N472" s="1666">
        <v>1.1779891865880727</v>
      </c>
      <c r="O472" s="1666">
        <v>1.1779891865880727</v>
      </c>
    </row>
    <row r="473" spans="2:15">
      <c r="B473" s="1546">
        <v>46813</v>
      </c>
      <c r="C473" s="1547" t="e">
        <v>#N/A</v>
      </c>
      <c r="D473" s="1547" t="e">
        <v>#N/A</v>
      </c>
      <c r="E473" s="1547" t="e">
        <v>#N/A</v>
      </c>
      <c r="F473" s="1547" t="e">
        <f t="shared" si="1"/>
        <v>#N/A</v>
      </c>
      <c r="K473" s="1663">
        <v>42530</v>
      </c>
      <c r="L473" s="1664" t="s">
        <v>2293</v>
      </c>
      <c r="M473" s="1665">
        <v>5.2531000000000001E-2</v>
      </c>
      <c r="N473" s="1666">
        <v>1.1786079960876794</v>
      </c>
      <c r="O473" s="1666">
        <v>1.1786079960876794</v>
      </c>
    </row>
    <row r="474" spans="2:15">
      <c r="B474" s="1546">
        <v>46844</v>
      </c>
      <c r="C474" s="1547" t="e">
        <v>#N/A</v>
      </c>
      <c r="D474" s="1547" t="e">
        <v>#N/A</v>
      </c>
      <c r="E474" s="1547" t="e">
        <v>#N/A</v>
      </c>
      <c r="F474" s="1547" t="e">
        <f t="shared" si="1"/>
        <v>#N/A</v>
      </c>
      <c r="K474" s="1663">
        <v>42531</v>
      </c>
      <c r="L474" s="1664" t="s">
        <v>2293</v>
      </c>
      <c r="M474" s="1665">
        <v>5.2531000000000001E-2</v>
      </c>
      <c r="N474" s="1666">
        <v>1.1792271306541042</v>
      </c>
      <c r="O474" s="1666">
        <v>1.1792271306541042</v>
      </c>
    </row>
    <row r="475" spans="2:15">
      <c r="B475" s="1546">
        <v>46874</v>
      </c>
      <c r="C475" s="1547" t="e">
        <v>#N/A</v>
      </c>
      <c r="D475" s="1547" t="e">
        <v>#N/A</v>
      </c>
      <c r="E475" s="1547" t="e">
        <v>#N/A</v>
      </c>
      <c r="F475" s="1547" t="e">
        <f t="shared" si="1"/>
        <v>#N/A</v>
      </c>
      <c r="K475" s="1663">
        <v>42532</v>
      </c>
      <c r="L475" s="1664"/>
      <c r="M475" s="1665">
        <v>0</v>
      </c>
      <c r="N475" s="1666">
        <v>1.1792271306541042</v>
      </c>
      <c r="O475" s="1666">
        <v>1.1792271306541042</v>
      </c>
    </row>
    <row r="476" spans="2:15">
      <c r="B476" s="1546">
        <v>46905</v>
      </c>
      <c r="C476" s="1547" t="e">
        <v>#N/A</v>
      </c>
      <c r="D476" s="1547" t="e">
        <v>#N/A</v>
      </c>
      <c r="E476" s="1547" t="e">
        <v>#N/A</v>
      </c>
      <c r="F476" s="1547" t="e">
        <f t="shared" si="1"/>
        <v>#N/A</v>
      </c>
      <c r="K476" s="1663">
        <v>42533</v>
      </c>
      <c r="L476" s="1664"/>
      <c r="M476" s="1665">
        <v>0</v>
      </c>
      <c r="N476" s="1666">
        <v>1.1792271306541042</v>
      </c>
      <c r="O476" s="1666">
        <v>1.1792271306541042</v>
      </c>
    </row>
    <row r="477" spans="2:15">
      <c r="B477" s="1546">
        <v>46935</v>
      </c>
      <c r="C477" s="1547" t="e">
        <v>#N/A</v>
      </c>
      <c r="D477" s="1547" t="e">
        <v>#N/A</v>
      </c>
      <c r="E477" s="1547" t="e">
        <v>#N/A</v>
      </c>
      <c r="F477" s="1547" t="e">
        <f t="shared" si="1"/>
        <v>#N/A</v>
      </c>
      <c r="K477" s="1663">
        <v>42534</v>
      </c>
      <c r="L477" s="1664" t="s">
        <v>2293</v>
      </c>
      <c r="M477" s="1665">
        <v>5.2531000000000001E-2</v>
      </c>
      <c r="N477" s="1666">
        <v>1.1798465904581081</v>
      </c>
      <c r="O477" s="1666">
        <v>1.1798465904581081</v>
      </c>
    </row>
    <row r="478" spans="2:15">
      <c r="B478" s="1546">
        <v>46966</v>
      </c>
      <c r="C478" s="1547" t="e">
        <v>#N/A</v>
      </c>
      <c r="D478" s="1547" t="e">
        <v>#N/A</v>
      </c>
      <c r="E478" s="1547" t="e">
        <v>#N/A</v>
      </c>
      <c r="F478" s="1547" t="e">
        <f t="shared" si="1"/>
        <v>#N/A</v>
      </c>
      <c r="K478" s="1663">
        <v>42535</v>
      </c>
      <c r="L478" s="1664" t="s">
        <v>2293</v>
      </c>
      <c r="M478" s="1665">
        <v>5.2531000000000001E-2</v>
      </c>
      <c r="N478" s="1666">
        <v>1.1804663756705416</v>
      </c>
      <c r="O478" s="1666">
        <v>1.1804663756705416</v>
      </c>
    </row>
    <row r="479" spans="2:15">
      <c r="B479" s="1546">
        <v>46997</v>
      </c>
      <c r="C479" s="1547" t="e">
        <v>#N/A</v>
      </c>
      <c r="D479" s="1547" t="e">
        <v>#N/A</v>
      </c>
      <c r="E479" s="1547" t="e">
        <v>#N/A</v>
      </c>
      <c r="F479" s="1547" t="e">
        <f t="shared" si="1"/>
        <v>#N/A</v>
      </c>
      <c r="K479" s="1663">
        <v>42536</v>
      </c>
      <c r="L479" s="1664" t="s">
        <v>2293</v>
      </c>
      <c r="M479" s="1665">
        <v>5.2531000000000001E-2</v>
      </c>
      <c r="N479" s="1666">
        <v>1.1810864864623452</v>
      </c>
      <c r="O479" s="1666">
        <v>1.1810864864623452</v>
      </c>
    </row>
    <row r="480" spans="2:15">
      <c r="B480" s="1546">
        <v>47027</v>
      </c>
      <c r="C480" s="1547" t="e">
        <v>#N/A</v>
      </c>
      <c r="D480" s="1547" t="e">
        <v>#N/A</v>
      </c>
      <c r="E480" s="1547" t="e">
        <v>#N/A</v>
      </c>
      <c r="F480" s="1547" t="e">
        <f t="shared" si="1"/>
        <v>#N/A</v>
      </c>
      <c r="K480" s="1663">
        <v>42537</v>
      </c>
      <c r="L480" s="1664" t="s">
        <v>2293</v>
      </c>
      <c r="M480" s="1665">
        <v>5.2531000000000001E-2</v>
      </c>
      <c r="N480" s="1666">
        <v>1.1817069230045487</v>
      </c>
      <c r="O480" s="1666">
        <v>1.1817069230045487</v>
      </c>
    </row>
    <row r="481" spans="2:15">
      <c r="B481" s="1546">
        <v>47058</v>
      </c>
      <c r="C481" s="1547" t="e">
        <v>#N/A</v>
      </c>
      <c r="D481" s="1547" t="e">
        <v>#N/A</v>
      </c>
      <c r="E481" s="1547" t="e">
        <v>#N/A</v>
      </c>
      <c r="F481" s="1547" t="e">
        <f t="shared" si="1"/>
        <v>#N/A</v>
      </c>
      <c r="K481" s="1663">
        <v>42538</v>
      </c>
      <c r="L481" s="1664" t="s">
        <v>2293</v>
      </c>
      <c r="M481" s="1665">
        <v>5.2531000000000001E-2</v>
      </c>
      <c r="N481" s="1666">
        <v>1.1823276854682723</v>
      </c>
      <c r="O481" s="1666">
        <v>1.1823276854682723</v>
      </c>
    </row>
    <row r="482" spans="2:15">
      <c r="B482" s="1546">
        <v>47088</v>
      </c>
      <c r="C482" s="1547" t="e">
        <v>#N/A</v>
      </c>
      <c r="D482" s="1547" t="e">
        <v>#N/A</v>
      </c>
      <c r="E482" s="1547" t="e">
        <v>#N/A</v>
      </c>
      <c r="F482" s="1547" t="e">
        <f t="shared" si="1"/>
        <v>#N/A</v>
      </c>
      <c r="K482" s="1663">
        <v>42539</v>
      </c>
      <c r="L482" s="1664"/>
      <c r="M482" s="1665">
        <v>0</v>
      </c>
      <c r="N482" s="1666">
        <v>1.1823276854682723</v>
      </c>
      <c r="O482" s="1666">
        <v>1.1823276854682723</v>
      </c>
    </row>
    <row r="483" spans="2:15">
      <c r="B483" s="1546">
        <v>47119</v>
      </c>
      <c r="C483" s="1547" t="e">
        <v>#N/A</v>
      </c>
      <c r="D483" s="1547" t="e">
        <v>#N/A</v>
      </c>
      <c r="E483" s="1547" t="e">
        <v>#N/A</v>
      </c>
      <c r="F483" s="1547" t="e">
        <f t="shared" si="1"/>
        <v>#N/A</v>
      </c>
      <c r="K483" s="1663">
        <v>42540</v>
      </c>
      <c r="L483" s="1664"/>
      <c r="M483" s="1665">
        <v>0</v>
      </c>
      <c r="N483" s="1666">
        <v>1.1823276854682723</v>
      </c>
      <c r="O483" s="1666">
        <v>1.1823276854682723</v>
      </c>
    </row>
    <row r="484" spans="2:15">
      <c r="B484" s="1546">
        <v>47150</v>
      </c>
      <c r="C484" s="1547" t="e">
        <v>#N/A</v>
      </c>
      <c r="D484" s="1547" t="e">
        <v>#N/A</v>
      </c>
      <c r="E484" s="1547" t="e">
        <v>#N/A</v>
      </c>
      <c r="F484" s="1547" t="e">
        <f t="shared" ref="F484:F500" si="2">F483*E484</f>
        <v>#N/A</v>
      </c>
      <c r="K484" s="1663">
        <v>42541</v>
      </c>
      <c r="L484" s="1664" t="s">
        <v>2293</v>
      </c>
      <c r="M484" s="1665">
        <v>5.2531000000000001E-2</v>
      </c>
      <c r="N484" s="1666">
        <v>1.1829487740247255</v>
      </c>
      <c r="O484" s="1666">
        <v>1.1829487740247255</v>
      </c>
    </row>
    <row r="485" spans="2:15">
      <c r="B485" s="1546">
        <v>47178</v>
      </c>
      <c r="C485" s="1547" t="e">
        <v>#N/A</v>
      </c>
      <c r="D485" s="1547" t="e">
        <v>#N/A</v>
      </c>
      <c r="E485" s="1547" t="e">
        <v>#N/A</v>
      </c>
      <c r="F485" s="1547" t="e">
        <f t="shared" si="2"/>
        <v>#N/A</v>
      </c>
      <c r="K485" s="1663">
        <v>42542</v>
      </c>
      <c r="L485" s="1664" t="s">
        <v>2293</v>
      </c>
      <c r="M485" s="1665">
        <v>5.2531000000000001E-2</v>
      </c>
      <c r="N485" s="1666">
        <v>1.1835701888452084</v>
      </c>
      <c r="O485" s="1666">
        <v>1.1835701888452084</v>
      </c>
    </row>
    <row r="486" spans="2:15">
      <c r="B486" s="1546">
        <v>47209</v>
      </c>
      <c r="C486" s="1547" t="e">
        <v>#N/A</v>
      </c>
      <c r="D486" s="1547" t="e">
        <v>#N/A</v>
      </c>
      <c r="E486" s="1547" t="e">
        <v>#N/A</v>
      </c>
      <c r="F486" s="1547" t="e">
        <f t="shared" si="2"/>
        <v>#N/A</v>
      </c>
      <c r="K486" s="1663">
        <v>42543</v>
      </c>
      <c r="L486" s="1664" t="s">
        <v>2293</v>
      </c>
      <c r="M486" s="1665">
        <v>5.2531000000000001E-2</v>
      </c>
      <c r="N486" s="1666">
        <v>1.1841919301011106</v>
      </c>
      <c r="O486" s="1666">
        <v>1.1841919301011106</v>
      </c>
    </row>
    <row r="487" spans="2:15">
      <c r="B487" s="1546">
        <v>47239</v>
      </c>
      <c r="C487" s="1547" t="e">
        <v>#N/A</v>
      </c>
      <c r="D487" s="1547" t="e">
        <v>#N/A</v>
      </c>
      <c r="E487" s="1547" t="e">
        <v>#N/A</v>
      </c>
      <c r="F487" s="1547" t="e">
        <f t="shared" si="2"/>
        <v>#N/A</v>
      </c>
      <c r="K487" s="1663">
        <v>42544</v>
      </c>
      <c r="L487" s="1664" t="s">
        <v>2293</v>
      </c>
      <c r="M487" s="1665">
        <v>5.2531000000000001E-2</v>
      </c>
      <c r="N487" s="1666">
        <v>1.1848139979639121</v>
      </c>
      <c r="O487" s="1666">
        <v>1.1848139979639121</v>
      </c>
    </row>
    <row r="488" spans="2:15">
      <c r="B488" s="1546">
        <v>47270</v>
      </c>
      <c r="C488" s="1547" t="e">
        <v>#N/A</v>
      </c>
      <c r="D488" s="1547" t="e">
        <v>#N/A</v>
      </c>
      <c r="E488" s="1547" t="e">
        <v>#N/A</v>
      </c>
      <c r="F488" s="1547" t="e">
        <f t="shared" si="2"/>
        <v>#N/A</v>
      </c>
      <c r="K488" s="1663">
        <v>42545</v>
      </c>
      <c r="L488" s="1664" t="s">
        <v>2293</v>
      </c>
      <c r="M488" s="1665">
        <v>5.2531000000000001E-2</v>
      </c>
      <c r="N488" s="1666">
        <v>1.1854363926051825</v>
      </c>
      <c r="O488" s="1666">
        <v>1.1854363926051825</v>
      </c>
    </row>
    <row r="489" spans="2:15">
      <c r="B489" s="1546">
        <v>47300</v>
      </c>
      <c r="C489" s="1547" t="e">
        <v>#N/A</v>
      </c>
      <c r="D489" s="1547" t="e">
        <v>#N/A</v>
      </c>
      <c r="E489" s="1547" t="e">
        <v>#N/A</v>
      </c>
      <c r="F489" s="1547" t="e">
        <f t="shared" si="2"/>
        <v>#N/A</v>
      </c>
      <c r="K489" s="1663">
        <v>42546</v>
      </c>
      <c r="L489" s="1664"/>
      <c r="M489" s="1665">
        <v>0</v>
      </c>
      <c r="N489" s="1666">
        <v>1.1854363926051825</v>
      </c>
      <c r="O489" s="1666">
        <v>1.1854363926051825</v>
      </c>
    </row>
    <row r="490" spans="2:15">
      <c r="B490" s="1546">
        <v>47331</v>
      </c>
      <c r="C490" s="1547" t="e">
        <v>#N/A</v>
      </c>
      <c r="D490" s="1547" t="e">
        <v>#N/A</v>
      </c>
      <c r="E490" s="1547" t="e">
        <v>#N/A</v>
      </c>
      <c r="F490" s="1547" t="e">
        <f t="shared" si="2"/>
        <v>#N/A</v>
      </c>
      <c r="K490" s="1663">
        <v>42547</v>
      </c>
      <c r="L490" s="1664"/>
      <c r="M490" s="1665">
        <v>0</v>
      </c>
      <c r="N490" s="1666">
        <v>1.1854363926051825</v>
      </c>
      <c r="O490" s="1666">
        <v>1.1854363926051825</v>
      </c>
    </row>
    <row r="491" spans="2:15">
      <c r="B491" s="1546">
        <v>47362</v>
      </c>
      <c r="C491" s="1547" t="e">
        <v>#N/A</v>
      </c>
      <c r="D491" s="1547" t="e">
        <v>#N/A</v>
      </c>
      <c r="E491" s="1547" t="e">
        <v>#N/A</v>
      </c>
      <c r="F491" s="1547" t="e">
        <f t="shared" si="2"/>
        <v>#N/A</v>
      </c>
      <c r="K491" s="1663">
        <v>42548</v>
      </c>
      <c r="L491" s="1664" t="s">
        <v>2293</v>
      </c>
      <c r="M491" s="1665">
        <v>5.2531000000000001E-2</v>
      </c>
      <c r="N491" s="1666">
        <v>1.1860591141965819</v>
      </c>
      <c r="O491" s="1666">
        <v>1.1860591141965819</v>
      </c>
    </row>
    <row r="492" spans="2:15">
      <c r="B492" s="1546">
        <v>47392</v>
      </c>
      <c r="C492" s="1547" t="e">
        <v>#N/A</v>
      </c>
      <c r="D492" s="1547" t="e">
        <v>#N/A</v>
      </c>
      <c r="E492" s="1547" t="e">
        <v>#N/A</v>
      </c>
      <c r="F492" s="1547" t="e">
        <f t="shared" si="2"/>
        <v>#N/A</v>
      </c>
      <c r="K492" s="1663">
        <v>42549</v>
      </c>
      <c r="L492" s="1664" t="s">
        <v>2293</v>
      </c>
      <c r="M492" s="1665">
        <v>5.2531000000000001E-2</v>
      </c>
      <c r="N492" s="1666">
        <v>1.1866821629098605</v>
      </c>
      <c r="O492" s="1666">
        <v>1.1866821629098605</v>
      </c>
    </row>
    <row r="493" spans="2:15">
      <c r="B493" s="1546">
        <v>47423</v>
      </c>
      <c r="C493" s="1547" t="e">
        <v>#N/A</v>
      </c>
      <c r="D493" s="1547" t="e">
        <v>#N/A</v>
      </c>
      <c r="E493" s="1547" t="e">
        <v>#N/A</v>
      </c>
      <c r="F493" s="1547" t="e">
        <f t="shared" si="2"/>
        <v>#N/A</v>
      </c>
      <c r="K493" s="1663">
        <v>42550</v>
      </c>
      <c r="L493" s="1664" t="s">
        <v>2293</v>
      </c>
      <c r="M493" s="1665">
        <v>5.2531000000000001E-2</v>
      </c>
      <c r="N493" s="1666">
        <v>1.1873055389168587</v>
      </c>
      <c r="O493" s="1666">
        <v>1.1873055389168587</v>
      </c>
    </row>
    <row r="494" spans="2:15">
      <c r="B494" s="1546">
        <v>47453</v>
      </c>
      <c r="C494" s="1547" t="e">
        <v>#N/A</v>
      </c>
      <c r="D494" s="1547" t="e">
        <v>#N/A</v>
      </c>
      <c r="E494" s="1547" t="e">
        <v>#N/A</v>
      </c>
      <c r="F494" s="1547" t="e">
        <f t="shared" si="2"/>
        <v>#N/A</v>
      </c>
      <c r="K494" s="1663">
        <v>42551</v>
      </c>
      <c r="L494" s="1664" t="s">
        <v>2293</v>
      </c>
      <c r="M494" s="1665">
        <v>5.2531000000000001E-2</v>
      </c>
      <c r="N494" s="1666">
        <v>1.1879292423895071</v>
      </c>
      <c r="O494" s="1666">
        <v>1.1879292423895071</v>
      </c>
    </row>
    <row r="495" spans="2:15">
      <c r="B495" s="1546">
        <v>47484</v>
      </c>
      <c r="C495" s="1547" t="e">
        <v>#N/A</v>
      </c>
      <c r="D495" s="1547" t="e">
        <v>#N/A</v>
      </c>
      <c r="E495" s="1547" t="e">
        <v>#N/A</v>
      </c>
      <c r="F495" s="1547" t="e">
        <f t="shared" si="2"/>
        <v>#N/A</v>
      </c>
      <c r="K495" s="1663">
        <v>42552</v>
      </c>
      <c r="L495" s="1664" t="s">
        <v>2293</v>
      </c>
      <c r="M495" s="1665">
        <v>5.2531000000000001E-2</v>
      </c>
      <c r="N495" s="1666">
        <v>1.1885532734998268</v>
      </c>
      <c r="O495" s="1666">
        <v>1.1885532734998268</v>
      </c>
    </row>
    <row r="496" spans="2:15">
      <c r="B496" s="1546">
        <v>47515</v>
      </c>
      <c r="C496" s="1547" t="e">
        <v>#N/A</v>
      </c>
      <c r="D496" s="1547" t="e">
        <v>#N/A</v>
      </c>
      <c r="E496" s="1547" t="e">
        <v>#N/A</v>
      </c>
      <c r="F496" s="1547" t="e">
        <f t="shared" si="2"/>
        <v>#N/A</v>
      </c>
      <c r="K496" s="1663">
        <v>42553</v>
      </c>
      <c r="L496" s="1664"/>
      <c r="M496" s="1665">
        <v>0</v>
      </c>
      <c r="N496" s="1666">
        <v>1.1885532734998268</v>
      </c>
      <c r="O496" s="1666">
        <v>1.1885532734998268</v>
      </c>
    </row>
    <row r="497" spans="2:15">
      <c r="B497" s="1546">
        <v>47543</v>
      </c>
      <c r="C497" s="1547" t="e">
        <v>#N/A</v>
      </c>
      <c r="D497" s="1547" t="e">
        <v>#N/A</v>
      </c>
      <c r="E497" s="1547" t="e">
        <v>#N/A</v>
      </c>
      <c r="F497" s="1547" t="e">
        <f t="shared" si="2"/>
        <v>#N/A</v>
      </c>
      <c r="K497" s="1663">
        <v>42554</v>
      </c>
      <c r="L497" s="1664"/>
      <c r="M497" s="1665">
        <v>0</v>
      </c>
      <c r="N497" s="1666">
        <v>1.1885532734998268</v>
      </c>
      <c r="O497" s="1666">
        <v>1.1885532734998268</v>
      </c>
    </row>
    <row r="498" spans="2:15">
      <c r="B498" s="1546">
        <v>47574</v>
      </c>
      <c r="C498" s="1547" t="e">
        <v>#N/A</v>
      </c>
      <c r="D498" s="1547" t="e">
        <v>#N/A</v>
      </c>
      <c r="E498" s="1547" t="e">
        <v>#N/A</v>
      </c>
      <c r="F498" s="1547" t="e">
        <f t="shared" si="2"/>
        <v>#N/A</v>
      </c>
      <c r="K498" s="1663">
        <v>42555</v>
      </c>
      <c r="L498" s="1664" t="s">
        <v>2293</v>
      </c>
      <c r="M498" s="1665">
        <v>5.2531000000000001E-2</v>
      </c>
      <c r="N498" s="1666">
        <v>1.189177632419929</v>
      </c>
      <c r="O498" s="1666">
        <v>1.189177632419929</v>
      </c>
    </row>
    <row r="499" spans="2:15">
      <c r="B499" s="1546">
        <v>47604</v>
      </c>
      <c r="C499" s="1547" t="e">
        <v>#N/A</v>
      </c>
      <c r="D499" s="1547" t="e">
        <v>#N/A</v>
      </c>
      <c r="E499" s="1547" t="e">
        <v>#N/A</v>
      </c>
      <c r="F499" s="1547" t="e">
        <f t="shared" si="2"/>
        <v>#N/A</v>
      </c>
      <c r="K499" s="1663">
        <v>42556</v>
      </c>
      <c r="L499" s="1664" t="s">
        <v>2293</v>
      </c>
      <c r="M499" s="1665">
        <v>5.2531000000000001E-2</v>
      </c>
      <c r="N499" s="1666">
        <v>1.1898023193220155</v>
      </c>
      <c r="O499" s="1666">
        <v>1.1898023193220155</v>
      </c>
    </row>
    <row r="500" spans="2:15">
      <c r="B500" s="1546">
        <v>47635</v>
      </c>
      <c r="C500" s="1547" t="e">
        <v>#N/A</v>
      </c>
      <c r="D500" s="1547" t="e">
        <v>#N/A</v>
      </c>
      <c r="E500" s="1547" t="e">
        <v>#N/A</v>
      </c>
      <c r="F500" s="1547" t="e">
        <f t="shared" si="2"/>
        <v>#N/A</v>
      </c>
      <c r="K500" s="1663">
        <v>42557</v>
      </c>
      <c r="L500" s="1664" t="s">
        <v>2293</v>
      </c>
      <c r="M500" s="1665">
        <v>5.2531000000000001E-2</v>
      </c>
      <c r="N500" s="1666">
        <v>1.1904273343783787</v>
      </c>
      <c r="O500" s="1666">
        <v>1.1904273343783787</v>
      </c>
    </row>
    <row r="501" spans="2:15">
      <c r="K501" s="1663">
        <v>42558</v>
      </c>
      <c r="L501" s="1664" t="s">
        <v>2293</v>
      </c>
      <c r="M501" s="1665">
        <v>5.2531000000000001E-2</v>
      </c>
      <c r="N501" s="1666">
        <v>1.191052677761401</v>
      </c>
      <c r="O501" s="1666">
        <v>1.191052677761401</v>
      </c>
    </row>
    <row r="502" spans="2:15">
      <c r="K502" s="1663">
        <v>42559</v>
      </c>
      <c r="L502" s="1664" t="s">
        <v>2293</v>
      </c>
      <c r="M502" s="1665">
        <v>5.2531000000000001E-2</v>
      </c>
      <c r="N502" s="1666">
        <v>1.1916783496435559</v>
      </c>
      <c r="O502" s="1666">
        <v>1.1916783496435559</v>
      </c>
    </row>
    <row r="503" spans="2:15">
      <c r="K503" s="1663">
        <v>42560</v>
      </c>
      <c r="L503" s="1664"/>
      <c r="M503" s="1665">
        <v>0</v>
      </c>
      <c r="N503" s="1666">
        <v>1.1916783496435559</v>
      </c>
      <c r="O503" s="1666">
        <v>1.1916783496435559</v>
      </c>
    </row>
    <row r="504" spans="2:15">
      <c r="K504" s="1663">
        <v>42561</v>
      </c>
      <c r="L504" s="1664"/>
      <c r="M504" s="1665">
        <v>0</v>
      </c>
      <c r="N504" s="1666">
        <v>1.1916783496435559</v>
      </c>
      <c r="O504" s="1666">
        <v>1.1916783496435559</v>
      </c>
    </row>
    <row r="505" spans="2:15">
      <c r="K505" s="1663">
        <v>42562</v>
      </c>
      <c r="L505" s="1664" t="s">
        <v>2293</v>
      </c>
      <c r="M505" s="1665">
        <v>5.2531000000000001E-2</v>
      </c>
      <c r="N505" s="1666">
        <v>1.1923043501974071</v>
      </c>
      <c r="O505" s="1666">
        <v>1.1923043501974071</v>
      </c>
    </row>
    <row r="506" spans="2:15">
      <c r="K506" s="1663">
        <v>42563</v>
      </c>
      <c r="L506" s="1664" t="s">
        <v>2293</v>
      </c>
      <c r="M506" s="1665">
        <v>5.2531000000000001E-2</v>
      </c>
      <c r="N506" s="1666">
        <v>1.1929306795956094</v>
      </c>
      <c r="O506" s="1666">
        <v>1.1929306795956094</v>
      </c>
    </row>
    <row r="507" spans="2:15">
      <c r="K507" s="1663">
        <v>42564</v>
      </c>
      <c r="L507" s="1664" t="s">
        <v>2293</v>
      </c>
      <c r="M507" s="1665">
        <v>5.2531000000000001E-2</v>
      </c>
      <c r="N507" s="1666">
        <v>1.1935573380109077</v>
      </c>
      <c r="O507" s="1666">
        <v>1.1935573380109077</v>
      </c>
    </row>
    <row r="508" spans="2:15">
      <c r="K508" s="1663">
        <v>42565</v>
      </c>
      <c r="L508" s="1664" t="s">
        <v>2293</v>
      </c>
      <c r="M508" s="1665">
        <v>5.2531000000000001E-2</v>
      </c>
      <c r="N508" s="1666">
        <v>1.1941843256161382</v>
      </c>
      <c r="O508" s="1666">
        <v>1.1941843256161382</v>
      </c>
    </row>
    <row r="509" spans="2:15">
      <c r="K509" s="1663">
        <v>42566</v>
      </c>
      <c r="L509" s="1664" t="s">
        <v>2293</v>
      </c>
      <c r="M509" s="1665">
        <v>5.2531000000000001E-2</v>
      </c>
      <c r="N509" s="1666">
        <v>1.1948116425842277</v>
      </c>
      <c r="O509" s="1666">
        <v>1.1948116425842277</v>
      </c>
    </row>
    <row r="510" spans="2:15">
      <c r="K510" s="1663">
        <v>42567</v>
      </c>
      <c r="L510" s="1664"/>
      <c r="M510" s="1665">
        <v>0</v>
      </c>
      <c r="N510" s="1666">
        <v>1.1948116425842277</v>
      </c>
      <c r="O510" s="1666">
        <v>1.1948116425842277</v>
      </c>
    </row>
    <row r="511" spans="2:15">
      <c r="K511" s="1663">
        <v>42568</v>
      </c>
      <c r="L511" s="1664"/>
      <c r="M511" s="1665">
        <v>0</v>
      </c>
      <c r="N511" s="1666">
        <v>1.1948116425842277</v>
      </c>
      <c r="O511" s="1666">
        <v>1.1948116425842277</v>
      </c>
    </row>
    <row r="512" spans="2:15">
      <c r="K512" s="1663">
        <v>42569</v>
      </c>
      <c r="L512" s="1664" t="s">
        <v>2293</v>
      </c>
      <c r="M512" s="1665">
        <v>5.2531000000000001E-2</v>
      </c>
      <c r="N512" s="1666">
        <v>1.1954392890881935</v>
      </c>
      <c r="O512" s="1666">
        <v>1.1954392890881935</v>
      </c>
    </row>
    <row r="513" spans="11:15">
      <c r="K513" s="1663">
        <v>42570</v>
      </c>
      <c r="L513" s="1664" t="s">
        <v>2293</v>
      </c>
      <c r="M513" s="1665">
        <v>5.2531000000000001E-2</v>
      </c>
      <c r="N513" s="1666">
        <v>1.1960672653011444</v>
      </c>
      <c r="O513" s="1666">
        <v>1.1960672653011444</v>
      </c>
    </row>
    <row r="514" spans="11:15">
      <c r="K514" s="1663">
        <v>42571</v>
      </c>
      <c r="L514" s="1664" t="s">
        <v>2293</v>
      </c>
      <c r="M514" s="1665">
        <v>5.2531000000000001E-2</v>
      </c>
      <c r="N514" s="1666">
        <v>1.1966955713962797</v>
      </c>
      <c r="O514" s="1666">
        <v>1.1966955713962797</v>
      </c>
    </row>
    <row r="515" spans="11:15">
      <c r="K515" s="1663">
        <v>42572</v>
      </c>
      <c r="L515" s="1664" t="s">
        <v>2293</v>
      </c>
      <c r="M515" s="1665">
        <v>5.2531000000000001E-2</v>
      </c>
      <c r="N515" s="1666">
        <v>1.19732420754689</v>
      </c>
      <c r="O515" s="1666">
        <v>1.19732420754689</v>
      </c>
    </row>
    <row r="516" spans="11:15">
      <c r="K516" s="1663">
        <v>42573</v>
      </c>
      <c r="L516" s="1664" t="s">
        <v>2293</v>
      </c>
      <c r="M516" s="1665">
        <v>5.2531000000000001E-2</v>
      </c>
      <c r="N516" s="1666">
        <v>1.1979531739263565</v>
      </c>
      <c r="O516" s="1666">
        <v>1.1979531739263565</v>
      </c>
    </row>
    <row r="517" spans="11:15">
      <c r="K517" s="1663">
        <v>42574</v>
      </c>
      <c r="L517" s="1664"/>
      <c r="M517" s="1665">
        <v>0</v>
      </c>
      <c r="N517" s="1666">
        <v>1.1979531739263565</v>
      </c>
      <c r="O517" s="1666">
        <v>1.1979531739263565</v>
      </c>
    </row>
    <row r="518" spans="11:15">
      <c r="K518" s="1663">
        <v>42575</v>
      </c>
      <c r="L518" s="1664"/>
      <c r="M518" s="1665">
        <v>0</v>
      </c>
      <c r="N518" s="1666">
        <v>1.1979531739263565</v>
      </c>
      <c r="O518" s="1666">
        <v>1.1979531739263565</v>
      </c>
    </row>
    <row r="519" spans="11:15">
      <c r="K519" s="1663">
        <v>42576</v>
      </c>
      <c r="L519" s="1664" t="s">
        <v>2293</v>
      </c>
      <c r="M519" s="1665">
        <v>5.2531000000000001E-2</v>
      </c>
      <c r="N519" s="1666">
        <v>1.1985824707081518</v>
      </c>
      <c r="O519" s="1666">
        <v>1.1985824707081518</v>
      </c>
    </row>
    <row r="520" spans="11:15">
      <c r="K520" s="1663">
        <v>42577</v>
      </c>
      <c r="L520" s="1664" t="s">
        <v>2293</v>
      </c>
      <c r="M520" s="1665">
        <v>5.2531000000000001E-2</v>
      </c>
      <c r="N520" s="1666">
        <v>1.1992120980658396</v>
      </c>
      <c r="O520" s="1666">
        <v>1.1992120980658396</v>
      </c>
    </row>
    <row r="521" spans="11:15">
      <c r="K521" s="1663">
        <v>42578</v>
      </c>
      <c r="L521" s="1664" t="s">
        <v>2293</v>
      </c>
      <c r="M521" s="1665">
        <v>5.2531000000000001E-2</v>
      </c>
      <c r="N521" s="1666">
        <v>1.1998420561730745</v>
      </c>
      <c r="O521" s="1666">
        <v>1.1998420561730745</v>
      </c>
    </row>
    <row r="522" spans="11:15">
      <c r="K522" s="1663">
        <v>42579</v>
      </c>
      <c r="L522" s="1664" t="s">
        <v>2293</v>
      </c>
      <c r="M522" s="1665">
        <v>5.2531000000000001E-2</v>
      </c>
      <c r="N522" s="1666">
        <v>1.2004723452036028</v>
      </c>
      <c r="O522" s="1666">
        <v>1.2004723452036028</v>
      </c>
    </row>
    <row r="523" spans="11:15">
      <c r="K523" s="1663">
        <v>42580</v>
      </c>
      <c r="L523" s="1664" t="s">
        <v>2293</v>
      </c>
      <c r="M523" s="1665">
        <v>5.2531000000000001E-2</v>
      </c>
      <c r="N523" s="1666">
        <v>1.2011029653312617</v>
      </c>
      <c r="O523" s="1666">
        <v>1.2011029653312617</v>
      </c>
    </row>
    <row r="524" spans="11:15">
      <c r="K524" s="1663">
        <v>42581</v>
      </c>
      <c r="L524" s="1664"/>
      <c r="M524" s="1665">
        <v>0</v>
      </c>
      <c r="N524" s="1666">
        <v>1.2011029653312617</v>
      </c>
      <c r="O524" s="1666">
        <v>1.2011029653312617</v>
      </c>
    </row>
    <row r="525" spans="11:15">
      <c r="K525" s="1663">
        <v>42582</v>
      </c>
      <c r="L525" s="1664"/>
      <c r="M525" s="1665">
        <v>0</v>
      </c>
      <c r="N525" s="1666">
        <v>1.2011029653312617</v>
      </c>
      <c r="O525" s="1666">
        <v>1.2011029653312617</v>
      </c>
    </row>
    <row r="526" spans="11:15">
      <c r="K526" s="1663">
        <v>42583</v>
      </c>
      <c r="L526" s="1664" t="s">
        <v>2293</v>
      </c>
      <c r="M526" s="1665">
        <v>5.2531000000000001E-2</v>
      </c>
      <c r="N526" s="1666">
        <v>1.2017339167299799</v>
      </c>
      <c r="O526" s="1666">
        <v>1.2017339167299799</v>
      </c>
    </row>
    <row r="527" spans="11:15">
      <c r="K527" s="1663">
        <v>42584</v>
      </c>
      <c r="L527" s="1664" t="s">
        <v>2293</v>
      </c>
      <c r="M527" s="1665">
        <v>5.2531000000000001E-2</v>
      </c>
      <c r="N527" s="1666">
        <v>1.2023651995737772</v>
      </c>
      <c r="O527" s="1666">
        <v>1.2023651995737772</v>
      </c>
    </row>
    <row r="528" spans="11:15">
      <c r="K528" s="1663">
        <v>42585</v>
      </c>
      <c r="L528" s="1664" t="s">
        <v>2293</v>
      </c>
      <c r="M528" s="1665">
        <v>5.2531000000000001E-2</v>
      </c>
      <c r="N528" s="1666">
        <v>1.2029968140367653</v>
      </c>
      <c r="O528" s="1666">
        <v>1.2029968140367653</v>
      </c>
    </row>
    <row r="529" spans="11:15">
      <c r="K529" s="1663">
        <v>42586</v>
      </c>
      <c r="L529" s="1664" t="s">
        <v>2293</v>
      </c>
      <c r="M529" s="1665">
        <v>5.2531000000000001E-2</v>
      </c>
      <c r="N529" s="1666">
        <v>1.203628760293147</v>
      </c>
      <c r="O529" s="1666">
        <v>1.203628760293147</v>
      </c>
    </row>
    <row r="530" spans="11:15">
      <c r="K530" s="1663">
        <v>42587</v>
      </c>
      <c r="L530" s="1664" t="s">
        <v>2293</v>
      </c>
      <c r="M530" s="1665">
        <v>5.2531000000000001E-2</v>
      </c>
      <c r="N530" s="1666">
        <v>1.2042610385172166</v>
      </c>
      <c r="O530" s="1666">
        <v>1.2042610385172166</v>
      </c>
    </row>
    <row r="531" spans="11:15">
      <c r="K531" s="1663">
        <v>42588</v>
      </c>
      <c r="L531" s="1664"/>
      <c r="M531" s="1665">
        <v>0</v>
      </c>
      <c r="N531" s="1666">
        <v>1.2042610385172166</v>
      </c>
      <c r="O531" s="1666">
        <v>1.2042610385172166</v>
      </c>
    </row>
    <row r="532" spans="11:15">
      <c r="K532" s="1663">
        <v>42589</v>
      </c>
      <c r="L532" s="1664"/>
      <c r="M532" s="1665">
        <v>0</v>
      </c>
      <c r="N532" s="1666">
        <v>1.2042610385172166</v>
      </c>
      <c r="O532" s="1666">
        <v>1.2042610385172166</v>
      </c>
    </row>
    <row r="533" spans="11:15">
      <c r="K533" s="1663">
        <v>42590</v>
      </c>
      <c r="L533" s="1664" t="s">
        <v>2293</v>
      </c>
      <c r="M533" s="1665">
        <v>5.2531000000000001E-2</v>
      </c>
      <c r="N533" s="1666">
        <v>1.2048936488833599</v>
      </c>
      <c r="O533" s="1666">
        <v>1.2048936488833599</v>
      </c>
    </row>
    <row r="534" spans="11:15">
      <c r="K534" s="1663">
        <v>42591</v>
      </c>
      <c r="L534" s="1664" t="s">
        <v>2293</v>
      </c>
      <c r="M534" s="1665">
        <v>5.2531000000000001E-2</v>
      </c>
      <c r="N534" s="1666">
        <v>1.2055265915660549</v>
      </c>
      <c r="O534" s="1666">
        <v>1.2055265915660549</v>
      </c>
    </row>
    <row r="535" spans="11:15">
      <c r="K535" s="1663">
        <v>42592</v>
      </c>
      <c r="L535" s="1664" t="s">
        <v>2293</v>
      </c>
      <c r="M535" s="1665">
        <v>5.2531000000000001E-2</v>
      </c>
      <c r="N535" s="1666">
        <v>1.2061598667398705</v>
      </c>
      <c r="O535" s="1666">
        <v>1.2061598667398705</v>
      </c>
    </row>
    <row r="536" spans="11:15">
      <c r="K536" s="1663">
        <v>42593</v>
      </c>
      <c r="L536" s="1664" t="s">
        <v>2293</v>
      </c>
      <c r="M536" s="1665">
        <v>5.2531000000000001E-2</v>
      </c>
      <c r="N536" s="1666">
        <v>1.2067934745794677</v>
      </c>
      <c r="O536" s="1666">
        <v>1.2067934745794677</v>
      </c>
    </row>
    <row r="537" spans="11:15">
      <c r="K537" s="1663">
        <v>42594</v>
      </c>
      <c r="L537" s="1664" t="s">
        <v>2293</v>
      </c>
      <c r="M537" s="1665">
        <v>5.2531000000000001E-2</v>
      </c>
      <c r="N537" s="1666">
        <v>1.2074274152595992</v>
      </c>
      <c r="O537" s="1666">
        <v>1.2074274152595992</v>
      </c>
    </row>
    <row r="538" spans="11:15">
      <c r="K538" s="1663">
        <v>42595</v>
      </c>
      <c r="L538" s="1664"/>
      <c r="M538" s="1665">
        <v>0</v>
      </c>
      <c r="N538" s="1666">
        <v>1.2074274152595992</v>
      </c>
      <c r="O538" s="1666">
        <v>1.2074274152595992</v>
      </c>
    </row>
    <row r="539" spans="11:15">
      <c r="K539" s="1663">
        <v>42596</v>
      </c>
      <c r="L539" s="1664"/>
      <c r="M539" s="1665">
        <v>0</v>
      </c>
      <c r="N539" s="1666">
        <v>1.2074274152595992</v>
      </c>
      <c r="O539" s="1666">
        <v>1.2074274152595992</v>
      </c>
    </row>
    <row r="540" spans="11:15">
      <c r="K540" s="1663">
        <v>42597</v>
      </c>
      <c r="L540" s="1664" t="s">
        <v>2293</v>
      </c>
      <c r="M540" s="1665">
        <v>5.2531000000000001E-2</v>
      </c>
      <c r="N540" s="1666">
        <v>1.2080616889551092</v>
      </c>
      <c r="O540" s="1666">
        <v>1.2080616889551092</v>
      </c>
    </row>
    <row r="541" spans="11:15">
      <c r="K541" s="1663">
        <v>42598</v>
      </c>
      <c r="L541" s="1664" t="s">
        <v>2293</v>
      </c>
      <c r="M541" s="1665">
        <v>5.2531000000000001E-2</v>
      </c>
      <c r="N541" s="1666">
        <v>1.2086962958409342</v>
      </c>
      <c r="O541" s="1666">
        <v>1.2086962958409342</v>
      </c>
    </row>
    <row r="542" spans="11:15">
      <c r="K542" s="1663">
        <v>42599</v>
      </c>
      <c r="L542" s="1664" t="s">
        <v>2293</v>
      </c>
      <c r="M542" s="1665">
        <v>5.2531000000000001E-2</v>
      </c>
      <c r="N542" s="1666">
        <v>1.2093312360921025</v>
      </c>
      <c r="O542" s="1666">
        <v>1.2093312360921025</v>
      </c>
    </row>
    <row r="543" spans="11:15">
      <c r="K543" s="1663">
        <v>42600</v>
      </c>
      <c r="L543" s="1664" t="s">
        <v>2293</v>
      </c>
      <c r="M543" s="1665">
        <v>5.2531000000000001E-2</v>
      </c>
      <c r="N543" s="1666">
        <v>1.209966509883734</v>
      </c>
      <c r="O543" s="1666">
        <v>1.209966509883734</v>
      </c>
    </row>
    <row r="544" spans="11:15">
      <c r="K544" s="1663">
        <v>42601</v>
      </c>
      <c r="L544" s="1664" t="s">
        <v>2293</v>
      </c>
      <c r="M544" s="1665">
        <v>5.2531000000000001E-2</v>
      </c>
      <c r="N544" s="1666">
        <v>1.2106021173910411</v>
      </c>
      <c r="O544" s="1666">
        <v>1.2106021173910411</v>
      </c>
    </row>
    <row r="545" spans="11:15">
      <c r="K545" s="1663">
        <v>42602</v>
      </c>
      <c r="L545" s="1664"/>
      <c r="M545" s="1665">
        <v>0</v>
      </c>
      <c r="N545" s="1666">
        <v>1.2106021173910411</v>
      </c>
      <c r="O545" s="1666">
        <v>1.2106021173910411</v>
      </c>
    </row>
    <row r="546" spans="11:15">
      <c r="K546" s="1663">
        <v>42603</v>
      </c>
      <c r="L546" s="1664"/>
      <c r="M546" s="1665">
        <v>0</v>
      </c>
      <c r="N546" s="1666">
        <v>1.2106021173910411</v>
      </c>
      <c r="O546" s="1666">
        <v>1.2106021173910411</v>
      </c>
    </row>
    <row r="547" spans="11:15">
      <c r="K547" s="1663">
        <v>42604</v>
      </c>
      <c r="L547" s="1664" t="s">
        <v>2293</v>
      </c>
      <c r="M547" s="1665">
        <v>5.2531000000000001E-2</v>
      </c>
      <c r="N547" s="1666">
        <v>1.2112380587893277</v>
      </c>
      <c r="O547" s="1666">
        <v>1.2112380587893277</v>
      </c>
    </row>
    <row r="548" spans="11:15">
      <c r="K548" s="1663">
        <v>42605</v>
      </c>
      <c r="L548" s="1664" t="s">
        <v>2293</v>
      </c>
      <c r="M548" s="1665">
        <v>5.2531000000000001E-2</v>
      </c>
      <c r="N548" s="1666">
        <v>1.2118743342539904</v>
      </c>
      <c r="O548" s="1666">
        <v>1.2118743342539904</v>
      </c>
    </row>
    <row r="549" spans="11:15">
      <c r="K549" s="1663">
        <v>42606</v>
      </c>
      <c r="L549" s="1664" t="s">
        <v>2293</v>
      </c>
      <c r="M549" s="1665">
        <v>5.2531000000000001E-2</v>
      </c>
      <c r="N549" s="1666">
        <v>1.2125109439605173</v>
      </c>
      <c r="O549" s="1666">
        <v>1.2125109439605173</v>
      </c>
    </row>
    <row r="550" spans="11:15">
      <c r="K550" s="1663">
        <v>42607</v>
      </c>
      <c r="L550" s="1664" t="s">
        <v>2293</v>
      </c>
      <c r="M550" s="1665">
        <v>5.2531000000000001E-2</v>
      </c>
      <c r="N550" s="1666">
        <v>1.2131478880844893</v>
      </c>
      <c r="O550" s="1666">
        <v>1.2131478880844893</v>
      </c>
    </row>
    <row r="551" spans="11:15">
      <c r="K551" s="1663">
        <v>42608</v>
      </c>
      <c r="L551" s="1664" t="s">
        <v>2293</v>
      </c>
      <c r="M551" s="1665">
        <v>5.2531000000000001E-2</v>
      </c>
      <c r="N551" s="1666">
        <v>1.2137851668015789</v>
      </c>
      <c r="O551" s="1666">
        <v>1.2137851668015789</v>
      </c>
    </row>
    <row r="552" spans="11:15">
      <c r="K552" s="1663">
        <v>42609</v>
      </c>
      <c r="L552" s="1664"/>
      <c r="M552" s="1665">
        <v>0</v>
      </c>
      <c r="N552" s="1666">
        <v>1.2137851668015789</v>
      </c>
      <c r="O552" s="1666">
        <v>1.2137851668015789</v>
      </c>
    </row>
    <row r="553" spans="11:15">
      <c r="K553" s="1663">
        <v>42610</v>
      </c>
      <c r="L553" s="1664"/>
      <c r="M553" s="1665">
        <v>0</v>
      </c>
      <c r="N553" s="1666">
        <v>1.2137851668015789</v>
      </c>
      <c r="O553" s="1666">
        <v>1.2137851668015789</v>
      </c>
    </row>
    <row r="554" spans="11:15">
      <c r="K554" s="1663">
        <v>42611</v>
      </c>
      <c r="L554" s="1664" t="s">
        <v>2293</v>
      </c>
      <c r="M554" s="1665">
        <v>5.2531000000000001E-2</v>
      </c>
      <c r="N554" s="1666">
        <v>1.2144227802875514</v>
      </c>
      <c r="O554" s="1666">
        <v>1.2144227802875514</v>
      </c>
    </row>
    <row r="555" spans="11:15">
      <c r="K555" s="1663">
        <v>42612</v>
      </c>
      <c r="L555" s="1664" t="s">
        <v>2293</v>
      </c>
      <c r="M555" s="1665">
        <v>5.2531000000000001E-2</v>
      </c>
      <c r="N555" s="1666">
        <v>1.2150607287182642</v>
      </c>
      <c r="O555" s="1666">
        <v>1.2150607287182642</v>
      </c>
    </row>
    <row r="556" spans="11:15">
      <c r="K556" s="1663">
        <v>42613</v>
      </c>
      <c r="L556" s="1664" t="s">
        <v>2293</v>
      </c>
      <c r="M556" s="1665">
        <v>5.2531000000000001E-2</v>
      </c>
      <c r="N556" s="1666">
        <v>1.2156990122696671</v>
      </c>
      <c r="O556" s="1666">
        <v>1.2156990122696671</v>
      </c>
    </row>
    <row r="557" spans="11:15">
      <c r="K557" s="1663">
        <v>42614</v>
      </c>
      <c r="L557" s="1664" t="s">
        <v>2293</v>
      </c>
      <c r="M557" s="1665">
        <v>5.2531000000000001E-2</v>
      </c>
      <c r="N557" s="1666">
        <v>1.2163376311178025</v>
      </c>
      <c r="O557" s="1666">
        <v>1.2163376311178025</v>
      </c>
    </row>
    <row r="558" spans="11:15">
      <c r="K558" s="1663">
        <v>42615</v>
      </c>
      <c r="L558" s="1664" t="s">
        <v>2293</v>
      </c>
      <c r="M558" s="1665">
        <v>5.2531000000000001E-2</v>
      </c>
      <c r="N558" s="1666">
        <v>1.216976585438805</v>
      </c>
      <c r="O558" s="1666">
        <v>1.216976585438805</v>
      </c>
    </row>
    <row r="559" spans="11:15">
      <c r="K559" s="1663">
        <v>42616</v>
      </c>
      <c r="L559" s="1664"/>
      <c r="M559" s="1665">
        <v>0</v>
      </c>
      <c r="N559" s="1666">
        <v>1.216976585438805</v>
      </c>
      <c r="O559" s="1666">
        <v>1.216976585438805</v>
      </c>
    </row>
    <row r="560" spans="11:15">
      <c r="K560" s="1663">
        <v>42617</v>
      </c>
      <c r="L560" s="1664"/>
      <c r="M560" s="1665">
        <v>0</v>
      </c>
      <c r="N560" s="1666">
        <v>1.216976585438805</v>
      </c>
      <c r="O560" s="1666">
        <v>1.216976585438805</v>
      </c>
    </row>
    <row r="561" spans="11:15">
      <c r="K561" s="1663">
        <v>42618</v>
      </c>
      <c r="L561" s="1664" t="s">
        <v>2293</v>
      </c>
      <c r="M561" s="1665">
        <v>5.2531000000000001E-2</v>
      </c>
      <c r="N561" s="1666">
        <v>1.2176158754089019</v>
      </c>
      <c r="O561" s="1666">
        <v>1.2176158754089019</v>
      </c>
    </row>
    <row r="562" spans="11:15">
      <c r="K562" s="1663">
        <v>42619</v>
      </c>
      <c r="L562" s="1664" t="s">
        <v>2293</v>
      </c>
      <c r="M562" s="1665">
        <v>5.2531000000000001E-2</v>
      </c>
      <c r="N562" s="1666">
        <v>1.2182555012044129</v>
      </c>
      <c r="O562" s="1666">
        <v>1.2182555012044129</v>
      </c>
    </row>
    <row r="563" spans="11:15">
      <c r="K563" s="1663">
        <v>42620</v>
      </c>
      <c r="L563" s="1664"/>
      <c r="M563" s="1665">
        <v>0</v>
      </c>
      <c r="N563" s="1666">
        <v>1.2182555012044129</v>
      </c>
      <c r="O563" s="1666">
        <v>1.2182555012044129</v>
      </c>
    </row>
    <row r="564" spans="11:15">
      <c r="K564" s="1663">
        <v>42621</v>
      </c>
      <c r="L564" s="1664" t="s">
        <v>2293</v>
      </c>
      <c r="M564" s="1665">
        <v>5.2531000000000001E-2</v>
      </c>
      <c r="N564" s="1666">
        <v>1.2188954630017506</v>
      </c>
      <c r="O564" s="1666">
        <v>1.2188954630017506</v>
      </c>
    </row>
    <row r="565" spans="11:15">
      <c r="K565" s="1663">
        <v>42622</v>
      </c>
      <c r="L565" s="1664" t="s">
        <v>2293</v>
      </c>
      <c r="M565" s="1665">
        <v>5.2531000000000001E-2</v>
      </c>
      <c r="N565" s="1666">
        <v>1.21953576097742</v>
      </c>
      <c r="O565" s="1666">
        <v>1.21953576097742</v>
      </c>
    </row>
    <row r="566" spans="11:15">
      <c r="K566" s="1663">
        <v>42623</v>
      </c>
      <c r="L566" s="1664"/>
      <c r="M566" s="1665">
        <v>0</v>
      </c>
      <c r="N566" s="1666">
        <v>1.21953576097742</v>
      </c>
      <c r="O566" s="1666">
        <v>1.21953576097742</v>
      </c>
    </row>
    <row r="567" spans="11:15">
      <c r="K567" s="1663">
        <v>42624</v>
      </c>
      <c r="L567" s="1664"/>
      <c r="M567" s="1665">
        <v>0</v>
      </c>
      <c r="N567" s="1666">
        <v>1.21953576097742</v>
      </c>
      <c r="O567" s="1666">
        <v>1.21953576097742</v>
      </c>
    </row>
    <row r="568" spans="11:15">
      <c r="K568" s="1663">
        <v>42625</v>
      </c>
      <c r="L568" s="1664" t="s">
        <v>2293</v>
      </c>
      <c r="M568" s="1665">
        <v>5.2531000000000001E-2</v>
      </c>
      <c r="N568" s="1666">
        <v>1.2201763953080191</v>
      </c>
      <c r="O568" s="1666">
        <v>1.2201763953080191</v>
      </c>
    </row>
    <row r="569" spans="11:15">
      <c r="K569" s="1663">
        <v>42626</v>
      </c>
      <c r="L569" s="1664" t="s">
        <v>2293</v>
      </c>
      <c r="M569" s="1665">
        <v>5.2531000000000001E-2</v>
      </c>
      <c r="N569" s="1666">
        <v>1.2208173661702384</v>
      </c>
      <c r="O569" s="1666">
        <v>1.2208173661702384</v>
      </c>
    </row>
    <row r="570" spans="11:15">
      <c r="K570" s="1663">
        <v>42627</v>
      </c>
      <c r="L570" s="1664" t="s">
        <v>2293</v>
      </c>
      <c r="M570" s="1665">
        <v>5.2531000000000001E-2</v>
      </c>
      <c r="N570" s="1666">
        <v>1.2214586737408613</v>
      </c>
      <c r="O570" s="1666">
        <v>1.2214586737408613</v>
      </c>
    </row>
    <row r="571" spans="11:15">
      <c r="K571" s="1663">
        <v>42628</v>
      </c>
      <c r="L571" s="1664" t="s">
        <v>2293</v>
      </c>
      <c r="M571" s="1665">
        <v>5.2531000000000001E-2</v>
      </c>
      <c r="N571" s="1666">
        <v>1.222100318196764</v>
      </c>
      <c r="O571" s="1666">
        <v>1.222100318196764</v>
      </c>
    </row>
    <row r="572" spans="11:15">
      <c r="K572" s="1663">
        <v>42629</v>
      </c>
      <c r="L572" s="1664" t="s">
        <v>2293</v>
      </c>
      <c r="M572" s="1665">
        <v>5.2531000000000001E-2</v>
      </c>
      <c r="N572" s="1666">
        <v>1.222742299714916</v>
      </c>
      <c r="O572" s="1666">
        <v>1.222742299714916</v>
      </c>
    </row>
    <row r="573" spans="11:15">
      <c r="K573" s="1663">
        <v>42630</v>
      </c>
      <c r="L573" s="1664"/>
      <c r="M573" s="1665">
        <v>0</v>
      </c>
      <c r="N573" s="1666">
        <v>1.222742299714916</v>
      </c>
      <c r="O573" s="1666">
        <v>1.222742299714916</v>
      </c>
    </row>
    <row r="574" spans="11:15">
      <c r="K574" s="1663">
        <v>42631</v>
      </c>
      <c r="L574" s="1664"/>
      <c r="M574" s="1665">
        <v>0</v>
      </c>
      <c r="N574" s="1666">
        <v>1.222742299714916</v>
      </c>
      <c r="O574" s="1666">
        <v>1.222742299714916</v>
      </c>
    </row>
    <row r="575" spans="11:15">
      <c r="K575" s="1663">
        <v>42632</v>
      </c>
      <c r="L575" s="1664" t="s">
        <v>2293</v>
      </c>
      <c r="M575" s="1665">
        <v>5.2531000000000001E-2</v>
      </c>
      <c r="N575" s="1666">
        <v>1.2233846184723793</v>
      </c>
      <c r="O575" s="1666">
        <v>1.2233846184723793</v>
      </c>
    </row>
    <row r="576" spans="11:15">
      <c r="K576" s="1663">
        <v>42633</v>
      </c>
      <c r="L576" s="1664" t="s">
        <v>2293</v>
      </c>
      <c r="M576" s="1665">
        <v>5.2531000000000001E-2</v>
      </c>
      <c r="N576" s="1666">
        <v>1.224027274646309</v>
      </c>
      <c r="O576" s="1666">
        <v>1.224027274646309</v>
      </c>
    </row>
    <row r="577" spans="11:15">
      <c r="K577" s="1663">
        <v>42634</v>
      </c>
      <c r="L577" s="1664" t="s">
        <v>2293</v>
      </c>
      <c r="M577" s="1665">
        <v>5.2531000000000001E-2</v>
      </c>
      <c r="N577" s="1666">
        <v>1.2246702684139534</v>
      </c>
      <c r="O577" s="1666">
        <v>1.2246702684139534</v>
      </c>
    </row>
    <row r="578" spans="11:15">
      <c r="K578" s="1663">
        <v>42635</v>
      </c>
      <c r="L578" s="1664" t="s">
        <v>2293</v>
      </c>
      <c r="M578" s="1665">
        <v>5.2531000000000001E-2</v>
      </c>
      <c r="N578" s="1666">
        <v>1.2253135999526539</v>
      </c>
      <c r="O578" s="1666">
        <v>1.2253135999526539</v>
      </c>
    </row>
    <row r="579" spans="11:15">
      <c r="K579" s="1663">
        <v>42636</v>
      </c>
      <c r="L579" s="1664" t="s">
        <v>2293</v>
      </c>
      <c r="M579" s="1665">
        <v>5.2531000000000001E-2</v>
      </c>
      <c r="N579" s="1666">
        <v>1.2259572694398451</v>
      </c>
      <c r="O579" s="1666">
        <v>1.2259572694398451</v>
      </c>
    </row>
    <row r="580" spans="11:15">
      <c r="K580" s="1663">
        <v>42637</v>
      </c>
      <c r="L580" s="1664"/>
      <c r="M580" s="1665">
        <v>0</v>
      </c>
      <c r="N580" s="1666">
        <v>1.2259572694398451</v>
      </c>
      <c r="O580" s="1666">
        <v>1.2259572694398451</v>
      </c>
    </row>
    <row r="581" spans="11:15">
      <c r="K581" s="1663">
        <v>42638</v>
      </c>
      <c r="L581" s="1664"/>
      <c r="M581" s="1665">
        <v>0</v>
      </c>
      <c r="N581" s="1666">
        <v>1.2259572694398451</v>
      </c>
      <c r="O581" s="1666">
        <v>1.2259572694398451</v>
      </c>
    </row>
    <row r="582" spans="11:15">
      <c r="K582" s="1663">
        <v>42639</v>
      </c>
      <c r="L582" s="1664" t="s">
        <v>2293</v>
      </c>
      <c r="M582" s="1665">
        <v>5.2531000000000001E-2</v>
      </c>
      <c r="N582" s="1666">
        <v>1.2266012770530546</v>
      </c>
      <c r="O582" s="1666">
        <v>1.2266012770530546</v>
      </c>
    </row>
    <row r="583" spans="11:15">
      <c r="K583" s="1663">
        <v>42640</v>
      </c>
      <c r="L583" s="1664" t="s">
        <v>2293</v>
      </c>
      <c r="M583" s="1665">
        <v>5.2531000000000001E-2</v>
      </c>
      <c r="N583" s="1666">
        <v>1.2272456229699034</v>
      </c>
      <c r="O583" s="1666">
        <v>1.2272456229699034</v>
      </c>
    </row>
    <row r="584" spans="11:15">
      <c r="K584" s="1663">
        <v>42641</v>
      </c>
      <c r="L584" s="1664" t="s">
        <v>2293</v>
      </c>
      <c r="M584" s="1665">
        <v>5.2531000000000001E-2</v>
      </c>
      <c r="N584" s="1666">
        <v>1.2278903073681058</v>
      </c>
      <c r="O584" s="1666">
        <v>1.2278903073681058</v>
      </c>
    </row>
    <row r="585" spans="11:15">
      <c r="K585" s="1663">
        <v>42642</v>
      </c>
      <c r="L585" s="1664" t="s">
        <v>2293</v>
      </c>
      <c r="M585" s="1665">
        <v>5.2531000000000001E-2</v>
      </c>
      <c r="N585" s="1666">
        <v>1.2285353304254694</v>
      </c>
      <c r="O585" s="1666">
        <v>1.2285353304254694</v>
      </c>
    </row>
    <row r="586" spans="11:15">
      <c r="K586" s="1663">
        <v>42643</v>
      </c>
      <c r="L586" s="1664" t="s">
        <v>2293</v>
      </c>
      <c r="M586" s="1665">
        <v>5.2531000000000001E-2</v>
      </c>
      <c r="N586" s="1666">
        <v>1.2291806923198951</v>
      </c>
      <c r="O586" s="1666">
        <v>1.2291806923198951</v>
      </c>
    </row>
    <row r="587" spans="11:15">
      <c r="K587" s="1663">
        <v>42644</v>
      </c>
      <c r="L587" s="1664"/>
      <c r="M587" s="1665">
        <v>0</v>
      </c>
      <c r="N587" s="1666">
        <v>1.2291806923198951</v>
      </c>
      <c r="O587" s="1666">
        <v>1.2291806923198951</v>
      </c>
    </row>
    <row r="588" spans="11:15">
      <c r="K588" s="1663">
        <v>42645</v>
      </c>
      <c r="L588" s="1664"/>
      <c r="M588" s="1665">
        <v>0</v>
      </c>
      <c r="N588" s="1666">
        <v>1.2291806923198951</v>
      </c>
      <c r="O588" s="1666">
        <v>1.2291806923198951</v>
      </c>
    </row>
    <row r="589" spans="11:15">
      <c r="K589" s="1663">
        <v>42646</v>
      </c>
      <c r="L589" s="1664" t="s">
        <v>2293</v>
      </c>
      <c r="M589" s="1665">
        <v>5.2531000000000001E-2</v>
      </c>
      <c r="N589" s="1666">
        <v>1.2298263932293776</v>
      </c>
      <c r="O589" s="1666">
        <v>1.2298263932293776</v>
      </c>
    </row>
    <row r="590" spans="11:15">
      <c r="K590" s="1663">
        <v>42647</v>
      </c>
      <c r="L590" s="1664" t="s">
        <v>2293</v>
      </c>
      <c r="M590" s="1665">
        <v>5.2531000000000001E-2</v>
      </c>
      <c r="N590" s="1666">
        <v>1.230472433332005</v>
      </c>
      <c r="O590" s="1666">
        <v>1.230472433332005</v>
      </c>
    </row>
    <row r="591" spans="11:15">
      <c r="K591" s="1663">
        <v>42648</v>
      </c>
      <c r="L591" s="1664" t="s">
        <v>2293</v>
      </c>
      <c r="M591" s="1665">
        <v>5.2531000000000001E-2</v>
      </c>
      <c r="N591" s="1666">
        <v>1.2311188128059587</v>
      </c>
      <c r="O591" s="1666">
        <v>1.2311188128059587</v>
      </c>
    </row>
    <row r="592" spans="11:15">
      <c r="K592" s="1663">
        <v>42649</v>
      </c>
      <c r="L592" s="1664" t="s">
        <v>2293</v>
      </c>
      <c r="M592" s="1665">
        <v>5.2531000000000001E-2</v>
      </c>
      <c r="N592" s="1666">
        <v>1.2317655318295138</v>
      </c>
      <c r="O592" s="1666">
        <v>1.2317655318295138</v>
      </c>
    </row>
    <row r="593" spans="11:15">
      <c r="K593" s="1663">
        <v>42650</v>
      </c>
      <c r="L593" s="1664" t="s">
        <v>2293</v>
      </c>
      <c r="M593" s="1665">
        <v>5.2531000000000001E-2</v>
      </c>
      <c r="N593" s="1666">
        <v>1.232412590581039</v>
      </c>
      <c r="O593" s="1666">
        <v>1.232412590581039</v>
      </c>
    </row>
    <row r="594" spans="11:15">
      <c r="K594" s="1663">
        <v>42651</v>
      </c>
      <c r="L594" s="1664"/>
      <c r="M594" s="1665">
        <v>0</v>
      </c>
      <c r="N594" s="1666">
        <v>1.232412590581039</v>
      </c>
      <c r="O594" s="1666">
        <v>1.232412590581039</v>
      </c>
    </row>
    <row r="595" spans="11:15">
      <c r="K595" s="1663">
        <v>42652</v>
      </c>
      <c r="L595" s="1664"/>
      <c r="M595" s="1665">
        <v>0</v>
      </c>
      <c r="N595" s="1666">
        <v>1.232412590581039</v>
      </c>
      <c r="O595" s="1666">
        <v>1.232412590581039</v>
      </c>
    </row>
    <row r="596" spans="11:15">
      <c r="K596" s="1663">
        <v>42653</v>
      </c>
      <c r="L596" s="1664" t="s">
        <v>2293</v>
      </c>
      <c r="M596" s="1665">
        <v>5.2531000000000001E-2</v>
      </c>
      <c r="N596" s="1666">
        <v>1.2330599892389971</v>
      </c>
      <c r="O596" s="1666">
        <v>1.2330599892389971</v>
      </c>
    </row>
    <row r="597" spans="11:15">
      <c r="K597" s="1663">
        <v>42654</v>
      </c>
      <c r="L597" s="1664" t="s">
        <v>2293</v>
      </c>
      <c r="M597" s="1665">
        <v>5.2531000000000001E-2</v>
      </c>
      <c r="N597" s="1666">
        <v>1.2337077279819442</v>
      </c>
      <c r="O597" s="1666">
        <v>1.2337077279819442</v>
      </c>
    </row>
    <row r="598" spans="11:15">
      <c r="K598" s="1663">
        <v>42655</v>
      </c>
      <c r="L598" s="1664"/>
      <c r="M598" s="1665">
        <v>0</v>
      </c>
      <c r="N598" s="1666">
        <v>1.2337077279819442</v>
      </c>
      <c r="O598" s="1666">
        <v>1.2337077279819442</v>
      </c>
    </row>
    <row r="599" spans="11:15">
      <c r="K599" s="1663">
        <v>42656</v>
      </c>
      <c r="L599" s="1664" t="s">
        <v>2293</v>
      </c>
      <c r="M599" s="1665">
        <v>5.2531000000000001E-2</v>
      </c>
      <c r="N599" s="1666">
        <v>1.2343558069885303</v>
      </c>
      <c r="O599" s="1666">
        <v>1.2343558069885303</v>
      </c>
    </row>
    <row r="600" spans="11:15">
      <c r="K600" s="1663">
        <v>42657</v>
      </c>
      <c r="L600" s="1664" t="s">
        <v>2293</v>
      </c>
      <c r="M600" s="1665">
        <v>5.2531000000000001E-2</v>
      </c>
      <c r="N600" s="1666">
        <v>1.2350042264374994</v>
      </c>
      <c r="O600" s="1666">
        <v>1.2350042264374994</v>
      </c>
    </row>
    <row r="601" spans="11:15">
      <c r="K601" s="1663">
        <v>42658</v>
      </c>
      <c r="L601" s="1664"/>
      <c r="M601" s="1665">
        <v>0</v>
      </c>
      <c r="N601" s="1666">
        <v>1.2350042264374994</v>
      </c>
      <c r="O601" s="1666">
        <v>1.2350042264374994</v>
      </c>
    </row>
    <row r="602" spans="11:15">
      <c r="K602" s="1663">
        <v>42659</v>
      </c>
      <c r="L602" s="1664"/>
      <c r="M602" s="1665">
        <v>0</v>
      </c>
      <c r="N602" s="1666">
        <v>1.2350042264374994</v>
      </c>
      <c r="O602" s="1666">
        <v>1.2350042264374994</v>
      </c>
    </row>
    <row r="603" spans="11:15">
      <c r="K603" s="1663">
        <v>42660</v>
      </c>
      <c r="L603" s="1664" t="s">
        <v>2293</v>
      </c>
      <c r="M603" s="1665">
        <v>5.2531000000000001E-2</v>
      </c>
      <c r="N603" s="1666">
        <v>1.2356529865076893</v>
      </c>
      <c r="O603" s="1666">
        <v>1.2356529865076893</v>
      </c>
    </row>
    <row r="604" spans="11:15">
      <c r="K604" s="1663">
        <v>42661</v>
      </c>
      <c r="L604" s="1664" t="s">
        <v>2293</v>
      </c>
      <c r="M604" s="1665">
        <v>5.2531000000000001E-2</v>
      </c>
      <c r="N604" s="1666">
        <v>1.2363020873780317</v>
      </c>
      <c r="O604" s="1666">
        <v>1.2363020873780317</v>
      </c>
    </row>
    <row r="605" spans="11:15">
      <c r="K605" s="1663">
        <v>42662</v>
      </c>
      <c r="L605" s="1664" t="s">
        <v>2293</v>
      </c>
      <c r="M605" s="1665">
        <v>5.2531000000000001E-2</v>
      </c>
      <c r="N605" s="1666">
        <v>1.2369515292275524</v>
      </c>
      <c r="O605" s="1666">
        <v>1.2369515292275524</v>
      </c>
    </row>
    <row r="606" spans="11:15">
      <c r="K606" s="1663">
        <v>42663</v>
      </c>
      <c r="L606" s="1664" t="s">
        <v>2293</v>
      </c>
      <c r="M606" s="1665">
        <v>5.1659999999999998E-2</v>
      </c>
      <c r="N606" s="1666">
        <v>1.2375905383875514</v>
      </c>
      <c r="O606" s="1666">
        <v>1.2376013122353708</v>
      </c>
    </row>
    <row r="607" spans="11:15">
      <c r="K607" s="1663">
        <v>42664</v>
      </c>
      <c r="L607" s="1664" t="s">
        <v>2293</v>
      </c>
      <c r="M607" s="1665">
        <v>5.1659999999999998E-2</v>
      </c>
      <c r="N607" s="1666">
        <v>1.2382298776596825</v>
      </c>
      <c r="O607" s="1666">
        <v>1.2382514365807011</v>
      </c>
    </row>
    <row r="608" spans="11:15">
      <c r="K608" s="1663">
        <v>42665</v>
      </c>
      <c r="L608" s="1664"/>
      <c r="M608" s="1665">
        <v>0</v>
      </c>
      <c r="N608" s="1666">
        <v>1.2382298776596825</v>
      </c>
      <c r="O608" s="1666">
        <v>1.2382514365807011</v>
      </c>
    </row>
    <row r="609" spans="11:15">
      <c r="K609" s="1663">
        <v>42666</v>
      </c>
      <c r="L609" s="1664"/>
      <c r="M609" s="1665">
        <v>0</v>
      </c>
      <c r="N609" s="1666">
        <v>1.2382298776596825</v>
      </c>
      <c r="O609" s="1666">
        <v>1.2382514365807011</v>
      </c>
    </row>
    <row r="610" spans="11:15">
      <c r="K610" s="1663">
        <v>42667</v>
      </c>
      <c r="L610" s="1664" t="s">
        <v>2293</v>
      </c>
      <c r="M610" s="1665">
        <v>5.1659999999999998E-2</v>
      </c>
      <c r="N610" s="1666">
        <v>1.2388695472144815</v>
      </c>
      <c r="O610" s="1666">
        <v>1.2389019024428514</v>
      </c>
    </row>
    <row r="611" spans="11:15">
      <c r="K611" s="1663">
        <v>42668</v>
      </c>
      <c r="L611" s="1664" t="s">
        <v>2293</v>
      </c>
      <c r="M611" s="1665">
        <v>5.1659999999999998E-2</v>
      </c>
      <c r="N611" s="1666">
        <v>1.2395095472225726</v>
      </c>
      <c r="O611" s="1666">
        <v>1.2395527100012236</v>
      </c>
    </row>
    <row r="612" spans="11:15">
      <c r="K612" s="1663">
        <v>42669</v>
      </c>
      <c r="L612" s="1664" t="s">
        <v>2293</v>
      </c>
      <c r="M612" s="1665">
        <v>5.1659999999999998E-2</v>
      </c>
      <c r="N612" s="1666">
        <v>1.2401498778546678</v>
      </c>
      <c r="O612" s="1666">
        <v>1.2402038594353144</v>
      </c>
    </row>
    <row r="613" spans="11:15">
      <c r="K613" s="1663">
        <v>42670</v>
      </c>
      <c r="L613" s="1664" t="s">
        <v>2293</v>
      </c>
      <c r="M613" s="1665">
        <v>5.1659999999999998E-2</v>
      </c>
      <c r="N613" s="1666">
        <v>1.2407905392815677</v>
      </c>
      <c r="O613" s="1666">
        <v>1.2408553509247144</v>
      </c>
    </row>
    <row r="614" spans="11:15">
      <c r="K614" s="1663">
        <v>42671</v>
      </c>
      <c r="L614" s="1664" t="s">
        <v>2293</v>
      </c>
      <c r="M614" s="1665">
        <v>5.1659999999999998E-2</v>
      </c>
      <c r="N614" s="1666">
        <v>1.2414315316741606</v>
      </c>
      <c r="O614" s="1666">
        <v>1.2415071846491088</v>
      </c>
    </row>
    <row r="615" spans="11:15">
      <c r="K615" s="1663">
        <v>42672</v>
      </c>
      <c r="L615" s="1664"/>
      <c r="M615" s="1665">
        <v>0</v>
      </c>
      <c r="N615" s="1666">
        <v>1.2414315316741606</v>
      </c>
      <c r="O615" s="1666">
        <v>1.2415071846491088</v>
      </c>
    </row>
    <row r="616" spans="11:15">
      <c r="K616" s="1663">
        <v>42673</v>
      </c>
      <c r="L616" s="1664"/>
      <c r="M616" s="1665">
        <v>0</v>
      </c>
      <c r="N616" s="1666">
        <v>1.2414315316741606</v>
      </c>
      <c r="O616" s="1666">
        <v>1.2415071846491088</v>
      </c>
    </row>
    <row r="617" spans="11:15">
      <c r="K617" s="1663">
        <v>42674</v>
      </c>
      <c r="L617" s="1664" t="s">
        <v>2293</v>
      </c>
      <c r="M617" s="1665">
        <v>5.1659999999999998E-2</v>
      </c>
      <c r="N617" s="1666">
        <v>1.2420728552034237</v>
      </c>
      <c r="O617" s="1666">
        <v>1.2421593607882768</v>
      </c>
    </row>
    <row r="618" spans="11:15">
      <c r="K618" s="1663">
        <v>42675</v>
      </c>
      <c r="L618" s="1664" t="s">
        <v>2293</v>
      </c>
      <c r="M618" s="1665">
        <v>5.1659999999999998E-2</v>
      </c>
      <c r="N618" s="1666">
        <v>1.242714510040422</v>
      </c>
      <c r="O618" s="1666">
        <v>1.2428118795220926</v>
      </c>
    </row>
    <row r="619" spans="11:15">
      <c r="K619" s="1663">
        <v>42676</v>
      </c>
      <c r="L619" s="1664"/>
      <c r="M619" s="1665">
        <v>0</v>
      </c>
      <c r="N619" s="1666">
        <v>1.242714510040422</v>
      </c>
      <c r="O619" s="1666">
        <v>1.2428118795220926</v>
      </c>
    </row>
    <row r="620" spans="11:15">
      <c r="K620" s="1663">
        <v>42677</v>
      </c>
      <c r="L620" s="1664" t="s">
        <v>2293</v>
      </c>
      <c r="M620" s="1665">
        <v>5.1659999999999998E-2</v>
      </c>
      <c r="N620" s="1666">
        <v>1.2433564963563091</v>
      </c>
      <c r="O620" s="1666">
        <v>1.2434647410305244</v>
      </c>
    </row>
    <row r="621" spans="11:15">
      <c r="K621" s="1663">
        <v>42678</v>
      </c>
      <c r="L621" s="1664" t="s">
        <v>2293</v>
      </c>
      <c r="M621" s="1665">
        <v>5.1659999999999998E-2</v>
      </c>
      <c r="N621" s="1666">
        <v>1.2439988143223268</v>
      </c>
      <c r="O621" s="1666">
        <v>1.2441179454936351</v>
      </c>
    </row>
    <row r="622" spans="11:15">
      <c r="K622" s="1663">
        <v>42679</v>
      </c>
      <c r="L622" s="1664"/>
      <c r="M622" s="1665">
        <v>0</v>
      </c>
      <c r="N622" s="1666">
        <v>1.2439988143223268</v>
      </c>
      <c r="O622" s="1666">
        <v>1.2441179454936351</v>
      </c>
    </row>
    <row r="623" spans="11:15">
      <c r="K623" s="1663">
        <v>42680</v>
      </c>
      <c r="L623" s="1664"/>
      <c r="M623" s="1665">
        <v>0</v>
      </c>
      <c r="N623" s="1666">
        <v>1.2439988143223268</v>
      </c>
      <c r="O623" s="1666">
        <v>1.2441179454936351</v>
      </c>
    </row>
    <row r="624" spans="11:15">
      <c r="K624" s="1663">
        <v>42681</v>
      </c>
      <c r="L624" s="1664" t="s">
        <v>2293</v>
      </c>
      <c r="M624" s="1665">
        <v>5.1659999999999998E-2</v>
      </c>
      <c r="N624" s="1666">
        <v>1.2446414641098058</v>
      </c>
      <c r="O624" s="1666">
        <v>1.2447714930915823</v>
      </c>
    </row>
    <row r="625" spans="11:15">
      <c r="K625" s="1663">
        <v>42682</v>
      </c>
      <c r="L625" s="1664" t="s">
        <v>2293</v>
      </c>
      <c r="M625" s="1665">
        <v>5.1659999999999998E-2</v>
      </c>
      <c r="N625" s="1666">
        <v>1.2452844458901651</v>
      </c>
      <c r="O625" s="1666">
        <v>1.2454253840046183</v>
      </c>
    </row>
    <row r="626" spans="11:15">
      <c r="K626" s="1663">
        <v>42683</v>
      </c>
      <c r="L626" s="1664" t="s">
        <v>2293</v>
      </c>
      <c r="M626" s="1665">
        <v>5.1659999999999998E-2</v>
      </c>
      <c r="N626" s="1666">
        <v>1.2459277598349121</v>
      </c>
      <c r="O626" s="1666">
        <v>1.2460796184130898</v>
      </c>
    </row>
    <row r="627" spans="11:15">
      <c r="K627" s="1663">
        <v>42684</v>
      </c>
      <c r="L627" s="1664" t="s">
        <v>2293</v>
      </c>
      <c r="M627" s="1665">
        <v>5.1659999999999998E-2</v>
      </c>
      <c r="N627" s="1666">
        <v>1.246571406115643</v>
      </c>
      <c r="O627" s="1666">
        <v>1.2467341964974383</v>
      </c>
    </row>
    <row r="628" spans="11:15">
      <c r="K628" s="1663">
        <v>42685</v>
      </c>
      <c r="L628" s="1664" t="s">
        <v>2293</v>
      </c>
      <c r="M628" s="1665">
        <v>5.1659999999999998E-2</v>
      </c>
      <c r="N628" s="1666">
        <v>1.2472153849040424</v>
      </c>
      <c r="O628" s="1666">
        <v>1.2473891184382004</v>
      </c>
    </row>
    <row r="629" spans="11:15">
      <c r="K629" s="1663">
        <v>42686</v>
      </c>
      <c r="L629" s="1664"/>
      <c r="M629" s="1665">
        <v>0</v>
      </c>
      <c r="N629" s="1666">
        <v>1.2472153849040424</v>
      </c>
      <c r="O629" s="1666">
        <v>1.2473891184382004</v>
      </c>
    </row>
    <row r="630" spans="11:15">
      <c r="K630" s="1663">
        <v>42687</v>
      </c>
      <c r="L630" s="1664"/>
      <c r="M630" s="1665">
        <v>0</v>
      </c>
      <c r="N630" s="1666">
        <v>1.2472153849040424</v>
      </c>
      <c r="O630" s="1666">
        <v>1.2473891184382004</v>
      </c>
    </row>
    <row r="631" spans="11:15">
      <c r="K631" s="1663">
        <v>42688</v>
      </c>
      <c r="L631" s="1664" t="s">
        <v>2293</v>
      </c>
      <c r="M631" s="1665">
        <v>5.1659999999999998E-2</v>
      </c>
      <c r="N631" s="1666">
        <v>1.247859696371884</v>
      </c>
      <c r="O631" s="1666">
        <v>1.2480443844160072</v>
      </c>
    </row>
    <row r="632" spans="11:15">
      <c r="K632" s="1663">
        <v>42689</v>
      </c>
      <c r="L632" s="1664"/>
      <c r="M632" s="1665">
        <v>0</v>
      </c>
      <c r="N632" s="1666">
        <v>1.247859696371884</v>
      </c>
      <c r="O632" s="1666">
        <v>1.2480443844160072</v>
      </c>
    </row>
    <row r="633" spans="11:15">
      <c r="K633" s="1663">
        <v>42690</v>
      </c>
      <c r="L633" s="1664" t="s">
        <v>2293</v>
      </c>
      <c r="M633" s="1665">
        <v>5.1659999999999998E-2</v>
      </c>
      <c r="N633" s="1666">
        <v>1.2485043406910299</v>
      </c>
      <c r="O633" s="1666">
        <v>1.2486999946115847</v>
      </c>
    </row>
    <row r="634" spans="11:15">
      <c r="K634" s="1663">
        <v>42691</v>
      </c>
      <c r="L634" s="1664" t="s">
        <v>2293</v>
      </c>
      <c r="M634" s="1665">
        <v>5.1659999999999998E-2</v>
      </c>
      <c r="N634" s="1666">
        <v>1.249149318033431</v>
      </c>
      <c r="O634" s="1666">
        <v>1.249355949205754</v>
      </c>
    </row>
    <row r="635" spans="11:15">
      <c r="K635" s="1663">
        <v>42692</v>
      </c>
      <c r="L635" s="1664" t="s">
        <v>2293</v>
      </c>
      <c r="M635" s="1665">
        <v>5.1659999999999998E-2</v>
      </c>
      <c r="N635" s="1666">
        <v>1.2497946285711272</v>
      </c>
      <c r="O635" s="1666">
        <v>1.2500122483794314</v>
      </c>
    </row>
    <row r="636" spans="11:15">
      <c r="K636" s="1663">
        <v>42693</v>
      </c>
      <c r="L636" s="1664"/>
      <c r="M636" s="1665">
        <v>0</v>
      </c>
      <c r="N636" s="1666">
        <v>1.2497946285711272</v>
      </c>
      <c r="O636" s="1666">
        <v>1.2500122483794314</v>
      </c>
    </row>
    <row r="637" spans="11:15">
      <c r="K637" s="1663">
        <v>42694</v>
      </c>
      <c r="L637" s="1664"/>
      <c r="M637" s="1665">
        <v>0</v>
      </c>
      <c r="N637" s="1666">
        <v>1.2497946285711272</v>
      </c>
      <c r="O637" s="1666">
        <v>1.2500122483794314</v>
      </c>
    </row>
    <row r="638" spans="11:15">
      <c r="K638" s="1663">
        <v>42695</v>
      </c>
      <c r="L638" s="1664" t="s">
        <v>2293</v>
      </c>
      <c r="M638" s="1665">
        <v>5.1659999999999998E-2</v>
      </c>
      <c r="N638" s="1666">
        <v>1.2504402724762471</v>
      </c>
      <c r="O638" s="1666">
        <v>1.2506688923136275</v>
      </c>
    </row>
    <row r="639" spans="11:15">
      <c r="K639" s="1663">
        <v>42696</v>
      </c>
      <c r="L639" s="1664" t="s">
        <v>2293</v>
      </c>
      <c r="M639" s="1665">
        <v>5.1659999999999998E-2</v>
      </c>
      <c r="N639" s="1666">
        <v>1.2510862499210085</v>
      </c>
      <c r="O639" s="1666">
        <v>1.2513258811894488</v>
      </c>
    </row>
    <row r="640" spans="11:15">
      <c r="K640" s="1663">
        <v>42697</v>
      </c>
      <c r="L640" s="1664" t="s">
        <v>2293</v>
      </c>
      <c r="M640" s="1665">
        <v>5.1659999999999998E-2</v>
      </c>
      <c r="N640" s="1666">
        <v>1.2517325610777177</v>
      </c>
      <c r="O640" s="1666">
        <v>1.2519832151880963</v>
      </c>
    </row>
    <row r="641" spans="11:15">
      <c r="K641" s="1663">
        <v>42698</v>
      </c>
      <c r="L641" s="1664" t="s">
        <v>2293</v>
      </c>
      <c r="M641" s="1665">
        <v>5.1659999999999998E-2</v>
      </c>
      <c r="N641" s="1666">
        <v>1.2523792061187706</v>
      </c>
      <c r="O641" s="1666">
        <v>1.2526408944908667</v>
      </c>
    </row>
    <row r="642" spans="11:15">
      <c r="K642" s="1663">
        <v>42699</v>
      </c>
      <c r="L642" s="1664" t="s">
        <v>2293</v>
      </c>
      <c r="M642" s="1665">
        <v>5.1659999999999998E-2</v>
      </c>
      <c r="N642" s="1666">
        <v>1.2530261852166518</v>
      </c>
      <c r="O642" s="1666">
        <v>1.2532989192791517</v>
      </c>
    </row>
    <row r="643" spans="11:15">
      <c r="K643" s="1663">
        <v>42700</v>
      </c>
      <c r="L643" s="1664"/>
      <c r="M643" s="1665">
        <v>0</v>
      </c>
      <c r="N643" s="1666">
        <v>1.2530261852166518</v>
      </c>
      <c r="O643" s="1666">
        <v>1.2532989192791517</v>
      </c>
    </row>
    <row r="644" spans="11:15">
      <c r="K644" s="1663">
        <v>42701</v>
      </c>
      <c r="L644" s="1664"/>
      <c r="M644" s="1665">
        <v>0</v>
      </c>
      <c r="N644" s="1666">
        <v>1.2530261852166518</v>
      </c>
      <c r="O644" s="1666">
        <v>1.2532989192791517</v>
      </c>
    </row>
    <row r="645" spans="11:15">
      <c r="K645" s="1663">
        <v>42702</v>
      </c>
      <c r="L645" s="1664" t="s">
        <v>2293</v>
      </c>
      <c r="M645" s="1665">
        <v>5.1659999999999998E-2</v>
      </c>
      <c r="N645" s="1666">
        <v>1.2536734985439348</v>
      </c>
      <c r="O645" s="1666">
        <v>1.2539572897344382</v>
      </c>
    </row>
    <row r="646" spans="11:15">
      <c r="K646" s="1663">
        <v>42703</v>
      </c>
      <c r="L646" s="1664" t="s">
        <v>2293</v>
      </c>
      <c r="M646" s="1665">
        <v>5.1659999999999998E-2</v>
      </c>
      <c r="N646" s="1666">
        <v>1.2543211462732828</v>
      </c>
      <c r="O646" s="1666">
        <v>1.2546160060383087</v>
      </c>
    </row>
    <row r="647" spans="11:15">
      <c r="K647" s="1663">
        <v>42704</v>
      </c>
      <c r="L647" s="1664" t="s">
        <v>2293</v>
      </c>
      <c r="M647" s="1665">
        <v>5.1659999999999998E-2</v>
      </c>
      <c r="N647" s="1666">
        <v>1.2549691285774478</v>
      </c>
      <c r="O647" s="1666">
        <v>1.2552750683724407</v>
      </c>
    </row>
    <row r="648" spans="11:15">
      <c r="K648" s="1663">
        <v>42705</v>
      </c>
      <c r="L648" s="1664" t="s">
        <v>2293</v>
      </c>
      <c r="M648" s="1665">
        <v>5.0788E-2</v>
      </c>
      <c r="N648" s="1666">
        <v>1.2556065022984697</v>
      </c>
      <c r="O648" s="1666">
        <v>1.2559344769186074</v>
      </c>
    </row>
    <row r="649" spans="11:15">
      <c r="K649" s="1663">
        <v>42706</v>
      </c>
      <c r="L649" s="1664" t="s">
        <v>2293</v>
      </c>
      <c r="M649" s="1665">
        <v>5.0788E-2</v>
      </c>
      <c r="N649" s="1666">
        <v>1.2562441997288571</v>
      </c>
      <c r="O649" s="1666">
        <v>1.2565942318586776</v>
      </c>
    </row>
    <row r="650" spans="11:15">
      <c r="K650" s="1663">
        <v>42707</v>
      </c>
      <c r="L650" s="1664"/>
      <c r="M650" s="1665">
        <v>0</v>
      </c>
      <c r="N650" s="1666">
        <v>1.2562441997288571</v>
      </c>
      <c r="O650" s="1666">
        <v>1.2565942318586776</v>
      </c>
    </row>
    <row r="651" spans="11:15">
      <c r="K651" s="1663">
        <v>42708</v>
      </c>
      <c r="L651" s="1664"/>
      <c r="M651" s="1665">
        <v>0</v>
      </c>
      <c r="N651" s="1666">
        <v>1.2562441997288571</v>
      </c>
      <c r="O651" s="1666">
        <v>1.2565942318586776</v>
      </c>
    </row>
    <row r="652" spans="11:15">
      <c r="K652" s="1663">
        <v>42709</v>
      </c>
      <c r="L652" s="1664" t="s">
        <v>2293</v>
      </c>
      <c r="M652" s="1665">
        <v>5.0788E-2</v>
      </c>
      <c r="N652" s="1666">
        <v>1.2568822210330155</v>
      </c>
      <c r="O652" s="1666">
        <v>1.2572543333746153</v>
      </c>
    </row>
    <row r="653" spans="11:15">
      <c r="K653" s="1663">
        <v>42710</v>
      </c>
      <c r="L653" s="1664" t="s">
        <v>2293</v>
      </c>
      <c r="M653" s="1665">
        <v>5.0788E-2</v>
      </c>
      <c r="N653" s="1666">
        <v>1.2575205663754339</v>
      </c>
      <c r="O653" s="1666">
        <v>1.2579147816484804</v>
      </c>
    </row>
    <row r="654" spans="11:15">
      <c r="K654" s="1663">
        <v>42711</v>
      </c>
      <c r="L654" s="1664" t="s">
        <v>2293</v>
      </c>
      <c r="M654" s="1665">
        <v>5.0788E-2</v>
      </c>
      <c r="N654" s="1666">
        <v>1.2581592359206846</v>
      </c>
      <c r="O654" s="1666">
        <v>1.258575576862428</v>
      </c>
    </row>
    <row r="655" spans="11:15">
      <c r="K655" s="1663">
        <v>42712</v>
      </c>
      <c r="L655" s="1664" t="s">
        <v>2293</v>
      </c>
      <c r="M655" s="1665">
        <v>5.0788E-2</v>
      </c>
      <c r="N655" s="1666">
        <v>1.2587982298334239</v>
      </c>
      <c r="O655" s="1666">
        <v>1.2592367191987097</v>
      </c>
    </row>
    <row r="656" spans="11:15">
      <c r="K656" s="1663">
        <v>42713</v>
      </c>
      <c r="L656" s="1664" t="s">
        <v>2293</v>
      </c>
      <c r="M656" s="1665">
        <v>5.0788E-2</v>
      </c>
      <c r="N656" s="1666">
        <v>1.2594375482783917</v>
      </c>
      <c r="O656" s="1666">
        <v>1.259898208839672</v>
      </c>
    </row>
    <row r="657" spans="11:15">
      <c r="K657" s="1663">
        <v>42714</v>
      </c>
      <c r="L657" s="1664"/>
      <c r="M657" s="1665">
        <v>0</v>
      </c>
      <c r="N657" s="1666">
        <v>1.2594375482783917</v>
      </c>
      <c r="O657" s="1666">
        <v>1.259898208839672</v>
      </c>
    </row>
    <row r="658" spans="11:15">
      <c r="K658" s="1663">
        <v>42715</v>
      </c>
      <c r="L658" s="1664"/>
      <c r="M658" s="1665">
        <v>0</v>
      </c>
      <c r="N658" s="1666">
        <v>1.2594375482783917</v>
      </c>
      <c r="O658" s="1666">
        <v>1.259898208839672</v>
      </c>
    </row>
    <row r="659" spans="11:15">
      <c r="K659" s="1663">
        <v>42716</v>
      </c>
      <c r="L659" s="1664" t="s">
        <v>2293</v>
      </c>
      <c r="M659" s="1665">
        <v>5.0788E-2</v>
      </c>
      <c r="N659" s="1666">
        <v>1.2600771914204114</v>
      </c>
      <c r="O659" s="1666">
        <v>1.2605600459677575</v>
      </c>
    </row>
    <row r="660" spans="11:15">
      <c r="K660" s="1663">
        <v>42717</v>
      </c>
      <c r="L660" s="1664" t="s">
        <v>2293</v>
      </c>
      <c r="M660" s="1665">
        <v>5.0788E-2</v>
      </c>
      <c r="N660" s="1666">
        <v>1.26071715942439</v>
      </c>
      <c r="O660" s="1666">
        <v>1.2612222307655048</v>
      </c>
    </row>
    <row r="661" spans="11:15">
      <c r="K661" s="1663">
        <v>42718</v>
      </c>
      <c r="L661" s="1664" t="s">
        <v>2293</v>
      </c>
      <c r="M661" s="1665">
        <v>5.0788E-2</v>
      </c>
      <c r="N661" s="1666">
        <v>1.2613574524553184</v>
      </c>
      <c r="O661" s="1666">
        <v>1.2618847634155481</v>
      </c>
    </row>
    <row r="662" spans="11:15">
      <c r="K662" s="1663">
        <v>42719</v>
      </c>
      <c r="L662" s="1664" t="s">
        <v>2293</v>
      </c>
      <c r="M662" s="1665">
        <v>5.0788E-2</v>
      </c>
      <c r="N662" s="1666">
        <v>1.2619980706782714</v>
      </c>
      <c r="O662" s="1666">
        <v>1.262547644100618</v>
      </c>
    </row>
    <row r="663" spans="11:15">
      <c r="K663" s="1663">
        <v>42720</v>
      </c>
      <c r="L663" s="1664" t="s">
        <v>2293</v>
      </c>
      <c r="M663" s="1665">
        <v>5.0788E-2</v>
      </c>
      <c r="N663" s="1666">
        <v>1.2626390142584074</v>
      </c>
      <c r="O663" s="1666">
        <v>1.2632108730035405</v>
      </c>
    </row>
    <row r="664" spans="11:15">
      <c r="K664" s="1663">
        <v>42721</v>
      </c>
      <c r="L664" s="1664"/>
      <c r="M664" s="1665">
        <v>0</v>
      </c>
      <c r="N664" s="1666">
        <v>1.2626390142584074</v>
      </c>
      <c r="O664" s="1666">
        <v>1.2632108730035405</v>
      </c>
    </row>
    <row r="665" spans="11:15">
      <c r="K665" s="1663">
        <v>42722</v>
      </c>
      <c r="L665" s="1664"/>
      <c r="M665" s="1665">
        <v>0</v>
      </c>
      <c r="N665" s="1666">
        <v>1.2626390142584074</v>
      </c>
      <c r="O665" s="1666">
        <v>1.2632108730035405</v>
      </c>
    </row>
    <row r="666" spans="11:15">
      <c r="K666" s="1663">
        <v>42723</v>
      </c>
      <c r="L666" s="1664" t="s">
        <v>2293</v>
      </c>
      <c r="M666" s="1665">
        <v>5.0788E-2</v>
      </c>
      <c r="N666" s="1666">
        <v>1.2632802833609691</v>
      </c>
      <c r="O666" s="1666">
        <v>1.2638744503072381</v>
      </c>
    </row>
    <row r="667" spans="11:15">
      <c r="K667" s="1663">
        <v>42724</v>
      </c>
      <c r="L667" s="1664" t="s">
        <v>2293</v>
      </c>
      <c r="M667" s="1665">
        <v>5.0788E-2</v>
      </c>
      <c r="N667" s="1666">
        <v>1.2639218781512824</v>
      </c>
      <c r="O667" s="1666">
        <v>1.2645383761947291</v>
      </c>
    </row>
    <row r="668" spans="11:15">
      <c r="K668" s="1663">
        <v>42725</v>
      </c>
      <c r="L668" s="1664" t="s">
        <v>2293</v>
      </c>
      <c r="M668" s="1665">
        <v>5.0788E-2</v>
      </c>
      <c r="N668" s="1666">
        <v>1.264563798794758</v>
      </c>
      <c r="O668" s="1666">
        <v>1.2652026508491279</v>
      </c>
    </row>
    <row r="669" spans="11:15">
      <c r="K669" s="1663">
        <v>42726</v>
      </c>
      <c r="L669" s="1664" t="s">
        <v>2293</v>
      </c>
      <c r="M669" s="1665">
        <v>5.0788E-2</v>
      </c>
      <c r="N669" s="1666">
        <v>1.2652060454568899</v>
      </c>
      <c r="O669" s="1666">
        <v>1.2658672744536454</v>
      </c>
    </row>
    <row r="670" spans="11:15">
      <c r="K670" s="1663">
        <v>42727</v>
      </c>
      <c r="L670" s="1664" t="s">
        <v>2293</v>
      </c>
      <c r="M670" s="1665">
        <v>5.0788E-2</v>
      </c>
      <c r="N670" s="1666">
        <v>1.2658486183032565</v>
      </c>
      <c r="O670" s="1666">
        <v>1.2665322471915887</v>
      </c>
    </row>
    <row r="671" spans="11:15">
      <c r="K671" s="1663">
        <v>42728</v>
      </c>
      <c r="L671" s="1664"/>
      <c r="M671" s="1665">
        <v>0</v>
      </c>
      <c r="N671" s="1666">
        <v>1.2658486183032565</v>
      </c>
      <c r="O671" s="1666">
        <v>1.2665322471915887</v>
      </c>
    </row>
    <row r="672" spans="11:15">
      <c r="K672" s="1663">
        <v>42729</v>
      </c>
      <c r="L672" s="1664"/>
      <c r="M672" s="1665">
        <v>0</v>
      </c>
      <c r="N672" s="1666">
        <v>1.2658486183032565</v>
      </c>
      <c r="O672" s="1666">
        <v>1.2665322471915887</v>
      </c>
    </row>
    <row r="673" spans="11:15">
      <c r="K673" s="1663">
        <v>42730</v>
      </c>
      <c r="L673" s="1664" t="s">
        <v>2293</v>
      </c>
      <c r="M673" s="1665">
        <v>5.0788E-2</v>
      </c>
      <c r="N673" s="1666">
        <v>1.2664915174995204</v>
      </c>
      <c r="O673" s="1666">
        <v>1.2671975692463611</v>
      </c>
    </row>
    <row r="674" spans="11:15">
      <c r="K674" s="1663">
        <v>42731</v>
      </c>
      <c r="L674" s="1664" t="s">
        <v>2293</v>
      </c>
      <c r="M674" s="1665">
        <v>5.0788E-2</v>
      </c>
      <c r="N674" s="1666">
        <v>1.2671347432114282</v>
      </c>
      <c r="O674" s="1666">
        <v>1.2678632408014618</v>
      </c>
    </row>
    <row r="675" spans="11:15">
      <c r="K675" s="1663">
        <v>42732</v>
      </c>
      <c r="L675" s="1664" t="s">
        <v>2293</v>
      </c>
      <c r="M675" s="1665">
        <v>5.0788E-2</v>
      </c>
      <c r="N675" s="1666">
        <v>1.2677782956048105</v>
      </c>
      <c r="O675" s="1666">
        <v>1.2685292620404873</v>
      </c>
    </row>
    <row r="676" spans="11:15">
      <c r="K676" s="1663">
        <v>42733</v>
      </c>
      <c r="L676" s="1664" t="s">
        <v>2293</v>
      </c>
      <c r="M676" s="1665">
        <v>5.0788E-2</v>
      </c>
      <c r="N676" s="1666">
        <v>1.2684221748455822</v>
      </c>
      <c r="O676" s="1666">
        <v>1.2691956331471299</v>
      </c>
    </row>
    <row r="677" spans="11:15">
      <c r="K677" s="1663">
        <v>42734</v>
      </c>
      <c r="L677" s="1664" t="s">
        <v>2293</v>
      </c>
      <c r="M677" s="1665">
        <v>5.0788E-2</v>
      </c>
      <c r="N677" s="1666">
        <v>1.2690663810997427</v>
      </c>
      <c r="O677" s="1666">
        <v>1.2698623543051784</v>
      </c>
    </row>
    <row r="678" spans="11:15">
      <c r="K678" s="1663">
        <v>42735</v>
      </c>
      <c r="L678" s="1664"/>
      <c r="M678" s="1665">
        <v>0</v>
      </c>
      <c r="N678" s="1666">
        <v>1.2690663810997427</v>
      </c>
      <c r="O678" s="1666">
        <v>1.2698623543051784</v>
      </c>
    </row>
    <row r="679" spans="11:15">
      <c r="K679" s="1663">
        <v>42736</v>
      </c>
      <c r="L679" s="1664"/>
      <c r="M679" s="1665">
        <v>0</v>
      </c>
      <c r="N679" s="1666">
        <v>1.2690663810997427</v>
      </c>
      <c r="O679" s="1666">
        <v>1.2698623543051784</v>
      </c>
    </row>
    <row r="680" spans="11:15">
      <c r="K680" s="1663">
        <v>42737</v>
      </c>
      <c r="L680" s="1664" t="s">
        <v>2293</v>
      </c>
      <c r="M680" s="1665">
        <v>5.0788E-2</v>
      </c>
      <c r="N680" s="1666">
        <v>1.2697109145333756</v>
      </c>
      <c r="O680" s="1666">
        <v>1.2705294256985185</v>
      </c>
    </row>
    <row r="681" spans="11:15">
      <c r="K681" s="1663">
        <v>42738</v>
      </c>
      <c r="L681" s="1664" t="s">
        <v>2293</v>
      </c>
      <c r="M681" s="1665">
        <v>5.0788E-2</v>
      </c>
      <c r="N681" s="1666">
        <v>1.2703557753126489</v>
      </c>
      <c r="O681" s="1666">
        <v>1.2711968475111322</v>
      </c>
    </row>
    <row r="682" spans="11:15">
      <c r="K682" s="1663">
        <v>42739</v>
      </c>
      <c r="L682" s="1664" t="s">
        <v>2293</v>
      </c>
      <c r="M682" s="1665">
        <v>5.0788E-2</v>
      </c>
      <c r="N682" s="1666">
        <v>1.2710009636038146</v>
      </c>
      <c r="O682" s="1666">
        <v>1.2718646199270982</v>
      </c>
    </row>
    <row r="683" spans="11:15">
      <c r="K683" s="1663">
        <v>42740</v>
      </c>
      <c r="L683" s="1664" t="s">
        <v>2293</v>
      </c>
      <c r="M683" s="1665">
        <v>5.0788E-2</v>
      </c>
      <c r="N683" s="1666">
        <v>1.2716464795732099</v>
      </c>
      <c r="O683" s="1666">
        <v>1.2725327431305922</v>
      </c>
    </row>
    <row r="684" spans="11:15">
      <c r="K684" s="1663">
        <v>42741</v>
      </c>
      <c r="L684" s="1664" t="s">
        <v>2293</v>
      </c>
      <c r="M684" s="1665">
        <v>5.0788E-2</v>
      </c>
      <c r="N684" s="1666">
        <v>1.2722923233872556</v>
      </c>
      <c r="O684" s="1666">
        <v>1.2732012173058862</v>
      </c>
    </row>
    <row r="685" spans="11:15">
      <c r="K685" s="1663">
        <v>42742</v>
      </c>
      <c r="L685" s="1664"/>
      <c r="M685" s="1665">
        <v>0</v>
      </c>
      <c r="N685" s="1666">
        <v>1.2722923233872556</v>
      </c>
      <c r="O685" s="1666">
        <v>1.2732012173058862</v>
      </c>
    </row>
    <row r="686" spans="11:15">
      <c r="K686" s="1663">
        <v>42743</v>
      </c>
      <c r="L686" s="1664"/>
      <c r="M686" s="1665">
        <v>0</v>
      </c>
      <c r="N686" s="1666">
        <v>1.2722923233872556</v>
      </c>
      <c r="O686" s="1666">
        <v>1.2732012173058862</v>
      </c>
    </row>
    <row r="687" spans="11:15">
      <c r="K687" s="1663">
        <v>42744</v>
      </c>
      <c r="L687" s="1664" t="s">
        <v>2293</v>
      </c>
      <c r="M687" s="1665">
        <v>5.0788E-2</v>
      </c>
      <c r="N687" s="1666">
        <v>1.2729384952124576</v>
      </c>
      <c r="O687" s="1666">
        <v>1.2738700426373493</v>
      </c>
    </row>
    <row r="688" spans="11:15">
      <c r="K688" s="1663">
        <v>42745</v>
      </c>
      <c r="L688" s="1664" t="s">
        <v>2293</v>
      </c>
      <c r="M688" s="1665">
        <v>5.0788E-2</v>
      </c>
      <c r="N688" s="1666">
        <v>1.2735849952154061</v>
      </c>
      <c r="O688" s="1666">
        <v>1.2745392193094471</v>
      </c>
    </row>
    <row r="689" spans="11:15">
      <c r="K689" s="1663">
        <v>42746</v>
      </c>
      <c r="L689" s="1664" t="s">
        <v>2293</v>
      </c>
      <c r="M689" s="1665">
        <v>5.0788E-2</v>
      </c>
      <c r="N689" s="1666">
        <v>1.2742318235627761</v>
      </c>
      <c r="O689" s="1666">
        <v>1.2752087475067426</v>
      </c>
    </row>
    <row r="690" spans="11:15">
      <c r="K690" s="1663">
        <v>42747</v>
      </c>
      <c r="L690" s="1664" t="s">
        <v>2293</v>
      </c>
      <c r="M690" s="1665">
        <v>4.8159E-2</v>
      </c>
      <c r="N690" s="1666">
        <v>1.2748454808666856</v>
      </c>
      <c r="O690" s="1666">
        <v>1.2758786274138953</v>
      </c>
    </row>
    <row r="691" spans="11:15">
      <c r="K691" s="1663">
        <v>42748</v>
      </c>
      <c r="L691" s="1664" t="s">
        <v>2293</v>
      </c>
      <c r="M691" s="1665">
        <v>4.8159E-2</v>
      </c>
      <c r="N691" s="1666">
        <v>1.2754594337018161</v>
      </c>
      <c r="O691" s="1666">
        <v>1.2765488592156622</v>
      </c>
    </row>
    <row r="692" spans="11:15">
      <c r="K692" s="1663">
        <v>42749</v>
      </c>
      <c r="L692" s="1664"/>
      <c r="M692" s="1665">
        <v>0</v>
      </c>
      <c r="N692" s="1666">
        <v>1.2754594337018161</v>
      </c>
      <c r="O692" s="1666">
        <v>1.2765488592156622</v>
      </c>
    </row>
    <row r="693" spans="11:15">
      <c r="K693" s="1663">
        <v>42750</v>
      </c>
      <c r="L693" s="1664"/>
      <c r="M693" s="1665">
        <v>0</v>
      </c>
      <c r="N693" s="1666">
        <v>1.2754594337018161</v>
      </c>
      <c r="O693" s="1666">
        <v>1.2765488592156622</v>
      </c>
    </row>
    <row r="694" spans="11:15">
      <c r="K694" s="1663">
        <v>42751</v>
      </c>
      <c r="L694" s="1664" t="s">
        <v>2293</v>
      </c>
      <c r="M694" s="1665">
        <v>4.8159E-2</v>
      </c>
      <c r="N694" s="1666">
        <v>1.2760736822104926</v>
      </c>
      <c r="O694" s="1666">
        <v>1.2772194430968968</v>
      </c>
    </row>
    <row r="695" spans="11:15">
      <c r="K695" s="1663">
        <v>42752</v>
      </c>
      <c r="L695" s="1664" t="s">
        <v>2293</v>
      </c>
      <c r="M695" s="1665">
        <v>4.8159E-2</v>
      </c>
      <c r="N695" s="1666">
        <v>1.2766882265351083</v>
      </c>
      <c r="O695" s="1666">
        <v>1.27789037924255</v>
      </c>
    </row>
    <row r="696" spans="11:15">
      <c r="K696" s="1663">
        <v>42753</v>
      </c>
      <c r="L696" s="1664" t="s">
        <v>2293</v>
      </c>
      <c r="M696" s="1665">
        <v>4.8159E-2</v>
      </c>
      <c r="N696" s="1666">
        <v>1.2773030668181251</v>
      </c>
      <c r="O696" s="1666">
        <v>1.2785616678376699</v>
      </c>
    </row>
    <row r="697" spans="11:15">
      <c r="K697" s="1663">
        <v>42754</v>
      </c>
      <c r="L697" s="1664" t="s">
        <v>2293</v>
      </c>
      <c r="M697" s="1665">
        <v>4.8159E-2</v>
      </c>
      <c r="N697" s="1666">
        <v>1.2779182032020739</v>
      </c>
      <c r="O697" s="1666">
        <v>1.2792333090674017</v>
      </c>
    </row>
    <row r="698" spans="11:15">
      <c r="K698" s="1663">
        <v>42755</v>
      </c>
      <c r="L698" s="1664" t="s">
        <v>2293</v>
      </c>
      <c r="M698" s="1665">
        <v>4.8159E-2</v>
      </c>
      <c r="N698" s="1666">
        <v>1.278533635829554</v>
      </c>
      <c r="O698" s="1666">
        <v>1.279905303116988</v>
      </c>
    </row>
    <row r="699" spans="11:15">
      <c r="K699" s="1663">
        <v>42756</v>
      </c>
      <c r="L699" s="1664"/>
      <c r="M699" s="1665">
        <v>0</v>
      </c>
      <c r="N699" s="1666">
        <v>1.278533635829554</v>
      </c>
      <c r="O699" s="1666">
        <v>1.279905303116988</v>
      </c>
    </row>
    <row r="700" spans="11:15">
      <c r="K700" s="1663">
        <v>42757</v>
      </c>
      <c r="L700" s="1664"/>
      <c r="M700" s="1665">
        <v>0</v>
      </c>
      <c r="N700" s="1666">
        <v>1.278533635829554</v>
      </c>
      <c r="O700" s="1666">
        <v>1.279905303116988</v>
      </c>
    </row>
    <row r="701" spans="11:15">
      <c r="K701" s="1663">
        <v>42758</v>
      </c>
      <c r="L701" s="1664" t="s">
        <v>2293</v>
      </c>
      <c r="M701" s="1665">
        <v>4.8159E-2</v>
      </c>
      <c r="N701" s="1666">
        <v>1.279149364843233</v>
      </c>
      <c r="O701" s="1666">
        <v>1.2805776501717685</v>
      </c>
    </row>
    <row r="702" spans="11:15">
      <c r="K702" s="1663">
        <v>42759</v>
      </c>
      <c r="L702" s="1664" t="s">
        <v>2293</v>
      </c>
      <c r="M702" s="1665">
        <v>4.8159E-2</v>
      </c>
      <c r="N702" s="1666">
        <v>1.2797653903858479</v>
      </c>
      <c r="O702" s="1666">
        <v>1.2812503504171802</v>
      </c>
    </row>
    <row r="703" spans="11:15">
      <c r="K703" s="1663">
        <v>42760</v>
      </c>
      <c r="L703" s="1664" t="s">
        <v>2293</v>
      </c>
      <c r="M703" s="1665">
        <v>4.8159E-2</v>
      </c>
      <c r="N703" s="1666">
        <v>1.2803817126002037</v>
      </c>
      <c r="O703" s="1666">
        <v>1.2819234040387577</v>
      </c>
    </row>
    <row r="704" spans="11:15">
      <c r="K704" s="1663">
        <v>42761</v>
      </c>
      <c r="L704" s="1664" t="s">
        <v>2293</v>
      </c>
      <c r="M704" s="1665">
        <v>4.8159E-2</v>
      </c>
      <c r="N704" s="1666">
        <v>1.2809983316291746</v>
      </c>
      <c r="O704" s="1666">
        <v>1.2825968112221333</v>
      </c>
    </row>
    <row r="705" spans="11:15">
      <c r="K705" s="1663">
        <v>42762</v>
      </c>
      <c r="L705" s="1664" t="s">
        <v>2293</v>
      </c>
      <c r="M705" s="1665">
        <v>4.8159E-2</v>
      </c>
      <c r="N705" s="1666">
        <v>1.2816152476157039</v>
      </c>
      <c r="O705" s="1666">
        <v>1.2832705721530364</v>
      </c>
    </row>
    <row r="706" spans="11:15">
      <c r="K706" s="1663">
        <v>42763</v>
      </c>
      <c r="L706" s="1664"/>
      <c r="M706" s="1665">
        <v>0</v>
      </c>
      <c r="N706" s="1666">
        <v>1.2816152476157039</v>
      </c>
      <c r="O706" s="1666">
        <v>1.2832705721530364</v>
      </c>
    </row>
    <row r="707" spans="11:15">
      <c r="K707" s="1663">
        <v>42764</v>
      </c>
      <c r="L707" s="1664"/>
      <c r="M707" s="1665">
        <v>0</v>
      </c>
      <c r="N707" s="1666">
        <v>1.2816152476157039</v>
      </c>
      <c r="O707" s="1666">
        <v>1.2832705721530364</v>
      </c>
    </row>
    <row r="708" spans="11:15">
      <c r="K708" s="1663">
        <v>42765</v>
      </c>
      <c r="L708" s="1664" t="s">
        <v>2293</v>
      </c>
      <c r="M708" s="1665">
        <v>4.8159E-2</v>
      </c>
      <c r="N708" s="1666">
        <v>1.2822324607028031</v>
      </c>
      <c r="O708" s="1666">
        <v>1.2839446870172941</v>
      </c>
    </row>
    <row r="709" spans="11:15">
      <c r="K709" s="1663">
        <v>42766</v>
      </c>
      <c r="L709" s="1664" t="s">
        <v>2293</v>
      </c>
      <c r="M709" s="1665">
        <v>4.8159E-2</v>
      </c>
      <c r="N709" s="1666">
        <v>1.2828499710335528</v>
      </c>
      <c r="O709" s="1666">
        <v>1.2846191560008311</v>
      </c>
    </row>
    <row r="710" spans="11:15">
      <c r="K710" s="1663">
        <v>42767</v>
      </c>
      <c r="L710" s="1664" t="s">
        <v>2293</v>
      </c>
      <c r="M710" s="1665">
        <v>4.8159E-2</v>
      </c>
      <c r="N710" s="1666">
        <v>1.2834677787511029</v>
      </c>
      <c r="O710" s="1666">
        <v>1.2852939792896698</v>
      </c>
    </row>
    <row r="711" spans="11:15">
      <c r="K711" s="1663">
        <v>42768</v>
      </c>
      <c r="L711" s="1664" t="s">
        <v>2293</v>
      </c>
      <c r="M711" s="1665">
        <v>4.8159E-2</v>
      </c>
      <c r="N711" s="1666">
        <v>1.2840858839986715</v>
      </c>
      <c r="O711" s="1666">
        <v>1.2859691570699305</v>
      </c>
    </row>
    <row r="712" spans="11:15">
      <c r="K712" s="1663">
        <v>42769</v>
      </c>
      <c r="L712" s="1664" t="s">
        <v>2293</v>
      </c>
      <c r="M712" s="1665">
        <v>4.8159E-2</v>
      </c>
      <c r="N712" s="1666">
        <v>1.2847042869195464</v>
      </c>
      <c r="O712" s="1666">
        <v>1.286644689527831</v>
      </c>
    </row>
    <row r="713" spans="11:15">
      <c r="K713" s="1663">
        <v>42770</v>
      </c>
      <c r="L713" s="1664"/>
      <c r="M713" s="1665">
        <v>0</v>
      </c>
      <c r="N713" s="1666">
        <v>1.2847042869195464</v>
      </c>
      <c r="O713" s="1666">
        <v>1.286644689527831</v>
      </c>
    </row>
    <row r="714" spans="11:15">
      <c r="K714" s="1663">
        <v>42771</v>
      </c>
      <c r="L714" s="1664"/>
      <c r="M714" s="1665">
        <v>0</v>
      </c>
      <c r="N714" s="1666">
        <v>1.2847042869195464</v>
      </c>
      <c r="O714" s="1666">
        <v>1.286644689527831</v>
      </c>
    </row>
    <row r="715" spans="11:15">
      <c r="K715" s="1663">
        <v>42772</v>
      </c>
      <c r="L715" s="1664" t="s">
        <v>2293</v>
      </c>
      <c r="M715" s="1665">
        <v>4.8159E-2</v>
      </c>
      <c r="N715" s="1666">
        <v>1.285322987657084</v>
      </c>
      <c r="O715" s="1666">
        <v>1.2873205768496869</v>
      </c>
    </row>
    <row r="716" spans="11:15">
      <c r="K716" s="1663">
        <v>42773</v>
      </c>
      <c r="L716" s="1664" t="s">
        <v>2293</v>
      </c>
      <c r="M716" s="1665">
        <v>4.8159E-2</v>
      </c>
      <c r="N716" s="1666">
        <v>1.2859419863547097</v>
      </c>
      <c r="O716" s="1666">
        <v>1.2879968192219118</v>
      </c>
    </row>
    <row r="717" spans="11:15">
      <c r="K717" s="1663">
        <v>42774</v>
      </c>
      <c r="L717" s="1664" t="s">
        <v>2293</v>
      </c>
      <c r="M717" s="1665">
        <v>4.8159E-2</v>
      </c>
      <c r="N717" s="1666">
        <v>1.2865612831559181</v>
      </c>
      <c r="O717" s="1666">
        <v>1.2886734168310172</v>
      </c>
    </row>
    <row r="718" spans="11:15">
      <c r="K718" s="1663">
        <v>42775</v>
      </c>
      <c r="L718" s="1664" t="s">
        <v>2293</v>
      </c>
      <c r="M718" s="1665">
        <v>4.8159E-2</v>
      </c>
      <c r="N718" s="1666">
        <v>1.2871808782042731</v>
      </c>
      <c r="O718" s="1666">
        <v>1.2893503698636126</v>
      </c>
    </row>
    <row r="719" spans="11:15">
      <c r="K719" s="1663">
        <v>42776</v>
      </c>
      <c r="L719" s="1664" t="s">
        <v>2293</v>
      </c>
      <c r="M719" s="1665">
        <v>4.8159E-2</v>
      </c>
      <c r="N719" s="1666">
        <v>1.2878007716434074</v>
      </c>
      <c r="O719" s="1666">
        <v>1.2900276785064058</v>
      </c>
    </row>
    <row r="720" spans="11:15">
      <c r="K720" s="1663">
        <v>42777</v>
      </c>
      <c r="L720" s="1664"/>
      <c r="M720" s="1665">
        <v>0</v>
      </c>
      <c r="N720" s="1666">
        <v>1.2878007716434074</v>
      </c>
      <c r="O720" s="1666">
        <v>1.2900276785064058</v>
      </c>
    </row>
    <row r="721" spans="11:15">
      <c r="K721" s="1663">
        <v>42778</v>
      </c>
      <c r="L721" s="1664"/>
      <c r="M721" s="1665">
        <v>0</v>
      </c>
      <c r="N721" s="1666">
        <v>1.2878007716434074</v>
      </c>
      <c r="O721" s="1666">
        <v>1.2900276785064058</v>
      </c>
    </row>
    <row r="722" spans="11:15">
      <c r="K722" s="1663">
        <v>42779</v>
      </c>
      <c r="L722" s="1664" t="s">
        <v>2293</v>
      </c>
      <c r="M722" s="1665">
        <v>4.8159E-2</v>
      </c>
      <c r="N722" s="1666">
        <v>1.2884209636170232</v>
      </c>
      <c r="O722" s="1666">
        <v>1.2907053429462019</v>
      </c>
    </row>
    <row r="723" spans="11:15">
      <c r="K723" s="1663">
        <v>42780</v>
      </c>
      <c r="L723" s="1664" t="s">
        <v>2293</v>
      </c>
      <c r="M723" s="1665">
        <v>4.8159E-2</v>
      </c>
      <c r="N723" s="1666">
        <v>1.2890414542688915</v>
      </c>
      <c r="O723" s="1666">
        <v>1.291383363369905</v>
      </c>
    </row>
    <row r="724" spans="11:15">
      <c r="K724" s="1663">
        <v>42781</v>
      </c>
      <c r="L724" s="1664" t="s">
        <v>2293</v>
      </c>
      <c r="M724" s="1665">
        <v>4.8159E-2</v>
      </c>
      <c r="N724" s="1666">
        <v>1.2896622437428527</v>
      </c>
      <c r="O724" s="1666">
        <v>1.2920617399645169</v>
      </c>
    </row>
    <row r="725" spans="11:15">
      <c r="K725" s="1663">
        <v>42782</v>
      </c>
      <c r="L725" s="1664" t="s">
        <v>2293</v>
      </c>
      <c r="M725" s="1665">
        <v>4.8159E-2</v>
      </c>
      <c r="N725" s="1666">
        <v>1.2902833321828167</v>
      </c>
      <c r="O725" s="1666">
        <v>1.2927404729171377</v>
      </c>
    </row>
    <row r="726" spans="11:15">
      <c r="K726" s="1663">
        <v>42783</v>
      </c>
      <c r="L726" s="1664" t="s">
        <v>2293</v>
      </c>
      <c r="M726" s="1665">
        <v>4.8159E-2</v>
      </c>
      <c r="N726" s="1666">
        <v>1.2909047197327626</v>
      </c>
      <c r="O726" s="1666">
        <v>1.2934195624149658</v>
      </c>
    </row>
    <row r="727" spans="11:15">
      <c r="K727" s="1663">
        <v>42784</v>
      </c>
      <c r="L727" s="1664"/>
      <c r="M727" s="1665">
        <v>0</v>
      </c>
      <c r="N727" s="1666">
        <v>1.2909047197327626</v>
      </c>
      <c r="O727" s="1666">
        <v>1.2934195624149658</v>
      </c>
    </row>
    <row r="728" spans="11:15">
      <c r="K728" s="1663">
        <v>42785</v>
      </c>
      <c r="L728" s="1664"/>
      <c r="M728" s="1665">
        <v>0</v>
      </c>
      <c r="N728" s="1666">
        <v>1.2909047197327626</v>
      </c>
      <c r="O728" s="1666">
        <v>1.2934195624149658</v>
      </c>
    </row>
    <row r="729" spans="11:15">
      <c r="K729" s="1663">
        <v>42786</v>
      </c>
      <c r="L729" s="1664" t="s">
        <v>2293</v>
      </c>
      <c r="M729" s="1665">
        <v>4.8159E-2</v>
      </c>
      <c r="N729" s="1666">
        <v>1.2915264065367384</v>
      </c>
      <c r="O729" s="1666">
        <v>1.2940990086452979</v>
      </c>
    </row>
    <row r="730" spans="11:15">
      <c r="K730" s="1663">
        <v>42787</v>
      </c>
      <c r="L730" s="1664" t="s">
        <v>2293</v>
      </c>
      <c r="M730" s="1665">
        <v>4.8159E-2</v>
      </c>
      <c r="N730" s="1666">
        <v>1.2921483927388624</v>
      </c>
      <c r="O730" s="1666">
        <v>1.2947788117955294</v>
      </c>
    </row>
    <row r="731" spans="11:15">
      <c r="K731" s="1663">
        <v>42788</v>
      </c>
      <c r="L731" s="1664" t="s">
        <v>2293</v>
      </c>
      <c r="M731" s="1665">
        <v>4.8159E-2</v>
      </c>
      <c r="N731" s="1666">
        <v>1.2927706784833215</v>
      </c>
      <c r="O731" s="1666">
        <v>1.2954589720531537</v>
      </c>
    </row>
    <row r="732" spans="11:15">
      <c r="K732" s="1663">
        <v>42789</v>
      </c>
      <c r="L732" s="1664" t="s">
        <v>2293</v>
      </c>
      <c r="M732" s="1665">
        <v>4.5512999999999998E-2</v>
      </c>
      <c r="N732" s="1666">
        <v>1.2933590572022196</v>
      </c>
      <c r="O732" s="1666">
        <v>1.296139489605763</v>
      </c>
    </row>
    <row r="733" spans="11:15">
      <c r="K733" s="1663">
        <v>42790</v>
      </c>
      <c r="L733" s="1664" t="s">
        <v>2293</v>
      </c>
      <c r="M733" s="1665">
        <v>4.5512999999999998E-2</v>
      </c>
      <c r="N733" s="1666">
        <v>1.2939477037099241</v>
      </c>
      <c r="O733" s="1666">
        <v>1.2968203646410479</v>
      </c>
    </row>
    <row r="734" spans="11:15">
      <c r="K734" s="1663">
        <v>42791</v>
      </c>
      <c r="L734" s="1664"/>
      <c r="M734" s="1665">
        <v>0</v>
      </c>
      <c r="N734" s="1666">
        <v>1.2939477037099241</v>
      </c>
      <c r="O734" s="1666">
        <v>1.2968203646410479</v>
      </c>
    </row>
    <row r="735" spans="11:15">
      <c r="K735" s="1663">
        <v>42792</v>
      </c>
      <c r="L735" s="1664"/>
      <c r="M735" s="1665">
        <v>0</v>
      </c>
      <c r="N735" s="1666">
        <v>1.2939477037099241</v>
      </c>
      <c r="O735" s="1666">
        <v>1.2968203646410479</v>
      </c>
    </row>
    <row r="736" spans="11:15">
      <c r="K736" s="1663">
        <v>42793</v>
      </c>
      <c r="L736" s="1664"/>
      <c r="M736" s="1665">
        <v>0</v>
      </c>
      <c r="N736" s="1666">
        <v>1.2939477037099241</v>
      </c>
      <c r="O736" s="1666">
        <v>1.2968203646410479</v>
      </c>
    </row>
    <row r="737" spans="11:15">
      <c r="K737" s="1663">
        <v>42794</v>
      </c>
      <c r="L737" s="1664"/>
      <c r="M737" s="1665">
        <v>0</v>
      </c>
      <c r="N737" s="1666">
        <v>1.2939477037099241</v>
      </c>
      <c r="O737" s="1666">
        <v>1.2968203646410479</v>
      </c>
    </row>
    <row r="738" spans="11:15">
      <c r="K738" s="1663">
        <v>42795</v>
      </c>
      <c r="L738" s="1664" t="s">
        <v>2293</v>
      </c>
      <c r="M738" s="1665">
        <v>4.5512999999999998E-2</v>
      </c>
      <c r="N738" s="1666">
        <v>1.2945366181283136</v>
      </c>
      <c r="O738" s="1666">
        <v>1.2975015973467974</v>
      </c>
    </row>
    <row r="739" spans="11:15">
      <c r="K739" s="1663">
        <v>42796</v>
      </c>
      <c r="L739" s="1664" t="s">
        <v>2293</v>
      </c>
      <c r="M739" s="1665">
        <v>4.5512999999999998E-2</v>
      </c>
      <c r="N739" s="1666">
        <v>1.2951258005793223</v>
      </c>
      <c r="O739" s="1666">
        <v>1.2981831879108996</v>
      </c>
    </row>
    <row r="740" spans="11:15">
      <c r="K740" s="1663">
        <v>42797</v>
      </c>
      <c r="L740" s="1664" t="s">
        <v>2293</v>
      </c>
      <c r="M740" s="1665">
        <v>4.5512999999999998E-2</v>
      </c>
      <c r="N740" s="1666">
        <v>1.2957152511849399</v>
      </c>
      <c r="O740" s="1666">
        <v>1.2988651365213411</v>
      </c>
    </row>
    <row r="741" spans="11:15">
      <c r="K741" s="1663">
        <v>42798</v>
      </c>
      <c r="L741" s="1664"/>
      <c r="M741" s="1665">
        <v>0</v>
      </c>
      <c r="N741" s="1666">
        <v>1.2957152511849399</v>
      </c>
      <c r="O741" s="1666">
        <v>1.2988651365213411</v>
      </c>
    </row>
    <row r="742" spans="11:15">
      <c r="K742" s="1663">
        <v>42799</v>
      </c>
      <c r="L742" s="1664"/>
      <c r="M742" s="1665">
        <v>0</v>
      </c>
      <c r="N742" s="1666">
        <v>1.2957152511849399</v>
      </c>
      <c r="O742" s="1666">
        <v>1.2988651365213411</v>
      </c>
    </row>
    <row r="743" spans="11:15">
      <c r="K743" s="1663">
        <v>42800</v>
      </c>
      <c r="L743" s="1664" t="s">
        <v>2293</v>
      </c>
      <c r="M743" s="1665">
        <v>4.5512999999999998E-2</v>
      </c>
      <c r="N743" s="1666">
        <v>1.2963049700672116</v>
      </c>
      <c r="O743" s="1666">
        <v>1.2995474433662071</v>
      </c>
    </row>
    <row r="744" spans="11:15">
      <c r="K744" s="1663">
        <v>42801</v>
      </c>
      <c r="L744" s="1664" t="s">
        <v>2293</v>
      </c>
      <c r="M744" s="1665">
        <v>4.5512999999999998E-2</v>
      </c>
      <c r="N744" s="1666">
        <v>1.2968949573482382</v>
      </c>
      <c r="O744" s="1666">
        <v>1.3002301086336818</v>
      </c>
    </row>
    <row r="745" spans="11:15">
      <c r="K745" s="1663">
        <v>42802</v>
      </c>
      <c r="L745" s="1664" t="s">
        <v>2293</v>
      </c>
      <c r="M745" s="1665">
        <v>4.5512999999999998E-2</v>
      </c>
      <c r="N745" s="1666">
        <v>1.2974852131501762</v>
      </c>
      <c r="O745" s="1666">
        <v>1.3009131325120482</v>
      </c>
    </row>
    <row r="746" spans="11:15">
      <c r="K746" s="1663">
        <v>42803</v>
      </c>
      <c r="L746" s="1664" t="s">
        <v>2293</v>
      </c>
      <c r="M746" s="1665">
        <v>4.5512999999999998E-2</v>
      </c>
      <c r="N746" s="1666">
        <v>1.2980757375952372</v>
      </c>
      <c r="O746" s="1666">
        <v>1.3015965151896882</v>
      </c>
    </row>
    <row r="747" spans="11:15">
      <c r="K747" s="1663">
        <v>42804</v>
      </c>
      <c r="L747" s="1664" t="s">
        <v>2293</v>
      </c>
      <c r="M747" s="1665">
        <v>4.5512999999999998E-2</v>
      </c>
      <c r="N747" s="1666">
        <v>1.2986665308056888</v>
      </c>
      <c r="O747" s="1666">
        <v>1.3022802568550824</v>
      </c>
    </row>
    <row r="748" spans="11:15">
      <c r="K748" s="1663">
        <v>42805</v>
      </c>
      <c r="L748" s="1664"/>
      <c r="M748" s="1665">
        <v>0</v>
      </c>
      <c r="N748" s="1666">
        <v>1.2986665308056888</v>
      </c>
      <c r="O748" s="1666">
        <v>1.3022802568550824</v>
      </c>
    </row>
    <row r="749" spans="11:15">
      <c r="K749" s="1663">
        <v>42806</v>
      </c>
      <c r="L749" s="1664"/>
      <c r="M749" s="1665">
        <v>0</v>
      </c>
      <c r="N749" s="1666">
        <v>1.2986665308056888</v>
      </c>
      <c r="O749" s="1666">
        <v>1.3022802568550824</v>
      </c>
    </row>
    <row r="750" spans="11:15">
      <c r="K750" s="1663">
        <v>42807</v>
      </c>
      <c r="L750" s="1664" t="s">
        <v>2293</v>
      </c>
      <c r="M750" s="1665">
        <v>4.5512999999999998E-2</v>
      </c>
      <c r="N750" s="1666">
        <v>1.2992575929038543</v>
      </c>
      <c r="O750" s="1666">
        <v>1.3029643576968111</v>
      </c>
    </row>
    <row r="751" spans="11:15">
      <c r="K751" s="1663">
        <v>42808</v>
      </c>
      <c r="L751" s="1664" t="s">
        <v>2293</v>
      </c>
      <c r="M751" s="1665">
        <v>4.5512999999999998E-2</v>
      </c>
      <c r="N751" s="1666">
        <v>1.2998489240121127</v>
      </c>
      <c r="O751" s="1666">
        <v>1.3036488179035528</v>
      </c>
    </row>
    <row r="752" spans="11:15">
      <c r="K752" s="1663">
        <v>42809</v>
      </c>
      <c r="L752" s="1664" t="s">
        <v>2293</v>
      </c>
      <c r="M752" s="1665">
        <v>4.5512999999999998E-2</v>
      </c>
      <c r="N752" s="1666">
        <v>1.3004405242528982</v>
      </c>
      <c r="O752" s="1666">
        <v>1.3043336376640857</v>
      </c>
    </row>
    <row r="753" spans="11:15">
      <c r="K753" s="1663">
        <v>42810</v>
      </c>
      <c r="L753" s="1664" t="s">
        <v>2293</v>
      </c>
      <c r="M753" s="1665">
        <v>4.5512999999999998E-2</v>
      </c>
      <c r="N753" s="1666">
        <v>1.3010323937487014</v>
      </c>
      <c r="O753" s="1666">
        <v>1.305018817167287</v>
      </c>
    </row>
    <row r="754" spans="11:15">
      <c r="K754" s="1663">
        <v>42811</v>
      </c>
      <c r="L754" s="1664" t="s">
        <v>2293</v>
      </c>
      <c r="M754" s="1665">
        <v>4.5512999999999998E-2</v>
      </c>
      <c r="N754" s="1666">
        <v>1.3016245326220681</v>
      </c>
      <c r="O754" s="1666">
        <v>1.3057043566021331</v>
      </c>
    </row>
    <row r="755" spans="11:15">
      <c r="K755" s="1663">
        <v>42812</v>
      </c>
      <c r="L755" s="1664"/>
      <c r="M755" s="1665">
        <v>0</v>
      </c>
      <c r="N755" s="1666">
        <v>1.3016245326220681</v>
      </c>
      <c r="O755" s="1666">
        <v>1.3057043566021331</v>
      </c>
    </row>
    <row r="756" spans="11:15">
      <c r="K756" s="1663">
        <v>42813</v>
      </c>
      <c r="L756" s="1664"/>
      <c r="M756" s="1665">
        <v>0</v>
      </c>
      <c r="N756" s="1666">
        <v>1.3016245326220681</v>
      </c>
      <c r="O756" s="1666">
        <v>1.3057043566021331</v>
      </c>
    </row>
    <row r="757" spans="11:15">
      <c r="K757" s="1663">
        <v>42814</v>
      </c>
      <c r="L757" s="1664" t="s">
        <v>2293</v>
      </c>
      <c r="M757" s="1665">
        <v>4.5512999999999998E-2</v>
      </c>
      <c r="N757" s="1666">
        <v>1.3022169409956004</v>
      </c>
      <c r="O757" s="1666">
        <v>1.3063902561576999</v>
      </c>
    </row>
    <row r="758" spans="11:15">
      <c r="K758" s="1663">
        <v>42815</v>
      </c>
      <c r="L758" s="1664" t="s">
        <v>2293</v>
      </c>
      <c r="M758" s="1665">
        <v>4.5512999999999998E-2</v>
      </c>
      <c r="N758" s="1666">
        <v>1.3028096189919556</v>
      </c>
      <c r="O758" s="1666">
        <v>1.3070765160231621</v>
      </c>
    </row>
    <row r="759" spans="11:15">
      <c r="K759" s="1663">
        <v>42816</v>
      </c>
      <c r="L759" s="1664" t="s">
        <v>2293</v>
      </c>
      <c r="M759" s="1665">
        <v>4.5512999999999998E-2</v>
      </c>
      <c r="N759" s="1666">
        <v>1.3034025667338474</v>
      </c>
      <c r="O759" s="1666">
        <v>1.3077631363877942</v>
      </c>
    </row>
    <row r="760" spans="11:15">
      <c r="K760" s="1663">
        <v>42817</v>
      </c>
      <c r="L760" s="1664" t="s">
        <v>2293</v>
      </c>
      <c r="M760" s="1665">
        <v>4.5512999999999998E-2</v>
      </c>
      <c r="N760" s="1666">
        <v>1.3039957843440448</v>
      </c>
      <c r="O760" s="1666">
        <v>1.30845011744097</v>
      </c>
    </row>
    <row r="761" spans="11:15">
      <c r="K761" s="1663">
        <v>42818</v>
      </c>
      <c r="L761" s="1664" t="s">
        <v>2293</v>
      </c>
      <c r="M761" s="1665">
        <v>4.5512999999999998E-2</v>
      </c>
      <c r="N761" s="1666">
        <v>1.3045892719453733</v>
      </c>
      <c r="O761" s="1666">
        <v>1.309137459372163</v>
      </c>
    </row>
    <row r="762" spans="11:15">
      <c r="K762" s="1663">
        <v>42819</v>
      </c>
      <c r="L762" s="1664"/>
      <c r="M762" s="1665">
        <v>0</v>
      </c>
      <c r="N762" s="1666">
        <v>1.3045892719453733</v>
      </c>
      <c r="O762" s="1666">
        <v>1.309137459372163</v>
      </c>
    </row>
    <row r="763" spans="11:15">
      <c r="K763" s="1663">
        <v>42820</v>
      </c>
      <c r="L763" s="1664"/>
      <c r="M763" s="1665">
        <v>0</v>
      </c>
      <c r="N763" s="1666">
        <v>1.3045892719453733</v>
      </c>
      <c r="O763" s="1666">
        <v>1.309137459372163</v>
      </c>
    </row>
    <row r="764" spans="11:15">
      <c r="K764" s="1663">
        <v>42821</v>
      </c>
      <c r="L764" s="1664" t="s">
        <v>2293</v>
      </c>
      <c r="M764" s="1665">
        <v>4.5512999999999998E-2</v>
      </c>
      <c r="N764" s="1666">
        <v>1.3051830296607139</v>
      </c>
      <c r="O764" s="1666">
        <v>1.3098251623709458</v>
      </c>
    </row>
    <row r="765" spans="11:15">
      <c r="K765" s="1663">
        <v>42822</v>
      </c>
      <c r="L765" s="1664" t="s">
        <v>2293</v>
      </c>
      <c r="M765" s="1665">
        <v>4.5512999999999998E-2</v>
      </c>
      <c r="N765" s="1666">
        <v>1.3057770576130032</v>
      </c>
      <c r="O765" s="1666">
        <v>1.310513226626991</v>
      </c>
    </row>
    <row r="766" spans="11:15">
      <c r="K766" s="1663">
        <v>42823</v>
      </c>
      <c r="L766" s="1664" t="s">
        <v>2293</v>
      </c>
      <c r="M766" s="1665">
        <v>4.5512999999999998E-2</v>
      </c>
      <c r="N766" s="1666">
        <v>1.3063713559252346</v>
      </c>
      <c r="O766" s="1666">
        <v>1.3112016523300705</v>
      </c>
    </row>
    <row r="767" spans="11:15">
      <c r="K767" s="1663">
        <v>42824</v>
      </c>
      <c r="L767" s="1664" t="s">
        <v>2293</v>
      </c>
      <c r="M767" s="1665">
        <v>4.5512999999999998E-2</v>
      </c>
      <c r="N767" s="1666">
        <v>1.3069659247204568</v>
      </c>
      <c r="O767" s="1666">
        <v>1.3118904396700559</v>
      </c>
    </row>
    <row r="768" spans="11:15">
      <c r="K768" s="1663">
        <v>42825</v>
      </c>
      <c r="L768" s="1664" t="s">
        <v>2293</v>
      </c>
      <c r="M768" s="1665">
        <v>4.5512999999999998E-2</v>
      </c>
      <c r="N768" s="1666">
        <v>1.3075607641217748</v>
      </c>
      <c r="O768" s="1666">
        <v>1.3125795888369189</v>
      </c>
    </row>
    <row r="769" spans="11:15">
      <c r="K769" s="1663">
        <v>42826</v>
      </c>
      <c r="L769" s="1664"/>
      <c r="M769" s="1665">
        <v>0</v>
      </c>
      <c r="N769" s="1666">
        <v>1.3075607641217748</v>
      </c>
      <c r="O769" s="1666">
        <v>1.3125795888369189</v>
      </c>
    </row>
    <row r="770" spans="11:15">
      <c r="K770" s="1663">
        <v>42827</v>
      </c>
      <c r="L770" s="1664"/>
      <c r="M770" s="1665">
        <v>0</v>
      </c>
      <c r="N770" s="1666">
        <v>1.3075607641217748</v>
      </c>
      <c r="O770" s="1666">
        <v>1.3125795888369189</v>
      </c>
    </row>
    <row r="771" spans="11:15">
      <c r="K771" s="1663">
        <v>42828</v>
      </c>
      <c r="L771" s="1664" t="s">
        <v>2293</v>
      </c>
      <c r="M771" s="1665">
        <v>4.5512999999999998E-2</v>
      </c>
      <c r="N771" s="1666">
        <v>1.3081558742523496</v>
      </c>
      <c r="O771" s="1666">
        <v>1.3132691000207308</v>
      </c>
    </row>
    <row r="772" spans="11:15">
      <c r="K772" s="1663">
        <v>42829</v>
      </c>
      <c r="L772" s="1664" t="s">
        <v>2293</v>
      </c>
      <c r="M772" s="1665">
        <v>4.5512999999999998E-2</v>
      </c>
      <c r="N772" s="1666">
        <v>1.3087512552353979</v>
      </c>
      <c r="O772" s="1666">
        <v>1.3139589734116628</v>
      </c>
    </row>
    <row r="773" spans="11:15">
      <c r="K773" s="1663">
        <v>42830</v>
      </c>
      <c r="L773" s="1664" t="s">
        <v>2293</v>
      </c>
      <c r="M773" s="1665">
        <v>4.5512999999999998E-2</v>
      </c>
      <c r="N773" s="1666">
        <v>1.3093469071941932</v>
      </c>
      <c r="O773" s="1666">
        <v>1.3146492091999857</v>
      </c>
    </row>
    <row r="774" spans="11:15">
      <c r="K774" s="1663">
        <v>42831</v>
      </c>
      <c r="L774" s="1664" t="s">
        <v>2293</v>
      </c>
      <c r="M774" s="1665">
        <v>4.5512999999999998E-2</v>
      </c>
      <c r="N774" s="1666">
        <v>1.3099428302520644</v>
      </c>
      <c r="O774" s="1666">
        <v>1.3153398075760705</v>
      </c>
    </row>
    <row r="775" spans="11:15">
      <c r="K775" s="1663">
        <v>42832</v>
      </c>
      <c r="L775" s="1664" t="s">
        <v>2293</v>
      </c>
      <c r="M775" s="1665">
        <v>4.5512999999999998E-2</v>
      </c>
      <c r="N775" s="1666">
        <v>1.3105390245323969</v>
      </c>
      <c r="O775" s="1666">
        <v>1.3160307687303883</v>
      </c>
    </row>
    <row r="776" spans="11:15">
      <c r="K776" s="1663">
        <v>42833</v>
      </c>
      <c r="L776" s="1664"/>
      <c r="M776" s="1665">
        <v>0</v>
      </c>
      <c r="N776" s="1666">
        <v>1.3105390245323969</v>
      </c>
      <c r="O776" s="1666">
        <v>1.3160307687303883</v>
      </c>
    </row>
    <row r="777" spans="11:15">
      <c r="K777" s="1663">
        <v>42834</v>
      </c>
      <c r="L777" s="1664"/>
      <c r="M777" s="1665">
        <v>0</v>
      </c>
      <c r="N777" s="1666">
        <v>1.3105390245323969</v>
      </c>
      <c r="O777" s="1666">
        <v>1.3160307687303883</v>
      </c>
    </row>
    <row r="778" spans="11:15">
      <c r="K778" s="1663">
        <v>42835</v>
      </c>
      <c r="L778" s="1664" t="s">
        <v>2293</v>
      </c>
      <c r="M778" s="1665">
        <v>4.5512999999999998E-2</v>
      </c>
      <c r="N778" s="1666">
        <v>1.3111354901586323</v>
      </c>
      <c r="O778" s="1666">
        <v>1.3167220928535099</v>
      </c>
    </row>
    <row r="779" spans="11:15">
      <c r="K779" s="1663">
        <v>42836</v>
      </c>
      <c r="L779" s="1664" t="s">
        <v>2293</v>
      </c>
      <c r="M779" s="1665">
        <v>4.5512999999999998E-2</v>
      </c>
      <c r="N779" s="1666">
        <v>1.3117322272542682</v>
      </c>
      <c r="O779" s="1666">
        <v>1.3174137801361068</v>
      </c>
    </row>
    <row r="780" spans="11:15">
      <c r="K780" s="1663">
        <v>42837</v>
      </c>
      <c r="L780" s="1664" t="s">
        <v>2293</v>
      </c>
      <c r="M780" s="1665">
        <v>4.5512999999999998E-2</v>
      </c>
      <c r="N780" s="1666">
        <v>1.3123292359428584</v>
      </c>
      <c r="O780" s="1666">
        <v>1.3181058307689502</v>
      </c>
    </row>
    <row r="781" spans="11:15">
      <c r="K781" s="1663">
        <v>42838</v>
      </c>
      <c r="L781" s="1664" t="s">
        <v>2293</v>
      </c>
      <c r="M781" s="1665">
        <v>4.1957000000000001E-2</v>
      </c>
      <c r="N781" s="1666">
        <v>1.3128798499203831</v>
      </c>
      <c r="O781" s="1666">
        <v>1.3187982449429114</v>
      </c>
    </row>
    <row r="782" spans="11:15">
      <c r="K782" s="1663">
        <v>42839</v>
      </c>
      <c r="L782" s="1664"/>
      <c r="M782" s="1665">
        <v>0</v>
      </c>
      <c r="N782" s="1666">
        <v>1.3128798499203831</v>
      </c>
      <c r="O782" s="1666">
        <v>1.3187982449429114</v>
      </c>
    </row>
    <row r="783" spans="11:15">
      <c r="K783" s="1663">
        <v>42840</v>
      </c>
      <c r="L783" s="1664"/>
      <c r="M783" s="1665">
        <v>0</v>
      </c>
      <c r="N783" s="1666">
        <v>1.3128798499203831</v>
      </c>
      <c r="O783" s="1666">
        <v>1.3187982449429114</v>
      </c>
    </row>
    <row r="784" spans="11:15">
      <c r="K784" s="1663">
        <v>42841</v>
      </c>
      <c r="L784" s="1664"/>
      <c r="M784" s="1665">
        <v>0</v>
      </c>
      <c r="N784" s="1666">
        <v>1.3128798499203831</v>
      </c>
      <c r="O784" s="1666">
        <v>1.3187982449429114</v>
      </c>
    </row>
    <row r="785" spans="11:15">
      <c r="K785" s="1663">
        <v>42842</v>
      </c>
      <c r="L785" s="1664" t="s">
        <v>2293</v>
      </c>
      <c r="M785" s="1665">
        <v>4.1957000000000001E-2</v>
      </c>
      <c r="N785" s="1666">
        <v>1.3134306949190142</v>
      </c>
      <c r="O785" s="1666">
        <v>1.3194910228489625</v>
      </c>
    </row>
    <row r="786" spans="11:15">
      <c r="K786" s="1663">
        <v>42843</v>
      </c>
      <c r="L786" s="1664" t="s">
        <v>2293</v>
      </c>
      <c r="M786" s="1665">
        <v>4.1957000000000001E-2</v>
      </c>
      <c r="N786" s="1666">
        <v>1.3139817710356814</v>
      </c>
      <c r="O786" s="1666">
        <v>1.3201841646781753</v>
      </c>
    </row>
    <row r="787" spans="11:15">
      <c r="K787" s="1663">
        <v>42844</v>
      </c>
      <c r="L787" s="1664" t="s">
        <v>2293</v>
      </c>
      <c r="M787" s="1665">
        <v>4.1957000000000001E-2</v>
      </c>
      <c r="N787" s="1666">
        <v>1.3145330783673548</v>
      </c>
      <c r="O787" s="1666">
        <v>1.3208776706217225</v>
      </c>
    </row>
    <row r="788" spans="11:15">
      <c r="K788" s="1663">
        <v>42845</v>
      </c>
      <c r="L788" s="1664" t="s">
        <v>2293</v>
      </c>
      <c r="M788" s="1665">
        <v>4.1957000000000001E-2</v>
      </c>
      <c r="N788" s="1666">
        <v>1.3150846170110455</v>
      </c>
      <c r="O788" s="1666">
        <v>1.3215715408708768</v>
      </c>
    </row>
    <row r="789" spans="11:15">
      <c r="K789" s="1663">
        <v>42846</v>
      </c>
      <c r="L789" s="1664"/>
      <c r="M789" s="1665">
        <v>0</v>
      </c>
      <c r="N789" s="1666">
        <v>1.3150846170110455</v>
      </c>
      <c r="O789" s="1666">
        <v>1.3215715408708768</v>
      </c>
    </row>
    <row r="790" spans="11:15">
      <c r="K790" s="1663">
        <v>42847</v>
      </c>
      <c r="L790" s="1664"/>
      <c r="M790" s="1665">
        <v>0</v>
      </c>
      <c r="N790" s="1666">
        <v>1.3150846170110455</v>
      </c>
      <c r="O790" s="1666">
        <v>1.3215715408708768</v>
      </c>
    </row>
    <row r="791" spans="11:15">
      <c r="K791" s="1663">
        <v>42848</v>
      </c>
      <c r="L791" s="1664"/>
      <c r="M791" s="1665">
        <v>0</v>
      </c>
      <c r="N791" s="1666">
        <v>1.3150846170110455</v>
      </c>
      <c r="O791" s="1666">
        <v>1.3215715408708768</v>
      </c>
    </row>
    <row r="792" spans="11:15">
      <c r="K792" s="1663">
        <v>42849</v>
      </c>
      <c r="L792" s="1664" t="s">
        <v>2293</v>
      </c>
      <c r="M792" s="1665">
        <v>4.1957000000000001E-2</v>
      </c>
      <c r="N792" s="1666">
        <v>1.3156363870638048</v>
      </c>
      <c r="O792" s="1666">
        <v>1.3222657756170118</v>
      </c>
    </row>
    <row r="793" spans="11:15">
      <c r="K793" s="1663">
        <v>42850</v>
      </c>
      <c r="L793" s="1664" t="s">
        <v>2293</v>
      </c>
      <c r="M793" s="1665">
        <v>4.1957000000000001E-2</v>
      </c>
      <c r="N793" s="1666">
        <v>1.3161883886227252</v>
      </c>
      <c r="O793" s="1666">
        <v>1.322960375051601</v>
      </c>
    </row>
    <row r="794" spans="11:15">
      <c r="K794" s="1663">
        <v>42851</v>
      </c>
      <c r="L794" s="1664" t="s">
        <v>2293</v>
      </c>
      <c r="M794" s="1665">
        <v>4.1957000000000001E-2</v>
      </c>
      <c r="N794" s="1666">
        <v>1.3167406217849398</v>
      </c>
      <c r="O794" s="1666">
        <v>1.3236553393662194</v>
      </c>
    </row>
    <row r="795" spans="11:15">
      <c r="K795" s="1663">
        <v>42852</v>
      </c>
      <c r="L795" s="1664" t="s">
        <v>2293</v>
      </c>
      <c r="M795" s="1665">
        <v>4.1957000000000001E-2</v>
      </c>
      <c r="N795" s="1666">
        <v>1.3172930866476222</v>
      </c>
      <c r="O795" s="1666">
        <v>1.3243506687525419</v>
      </c>
    </row>
    <row r="796" spans="11:15">
      <c r="K796" s="1663">
        <v>42853</v>
      </c>
      <c r="L796" s="1664" t="s">
        <v>2293</v>
      </c>
      <c r="M796" s="1665">
        <v>4.1957000000000001E-2</v>
      </c>
      <c r="N796" s="1666">
        <v>1.3178457833079871</v>
      </c>
      <c r="O796" s="1666">
        <v>1.3250463634023444</v>
      </c>
    </row>
    <row r="797" spans="11:15">
      <c r="K797" s="1663">
        <v>42854</v>
      </c>
      <c r="L797" s="1664"/>
      <c r="M797" s="1665">
        <v>0</v>
      </c>
      <c r="N797" s="1666">
        <v>1.3178457833079871</v>
      </c>
      <c r="O797" s="1666">
        <v>1.3250463634023444</v>
      </c>
    </row>
    <row r="798" spans="11:15">
      <c r="K798" s="1663">
        <v>42855</v>
      </c>
      <c r="L798" s="1664"/>
      <c r="M798" s="1665">
        <v>0</v>
      </c>
      <c r="N798" s="1666">
        <v>1.3178457833079871</v>
      </c>
      <c r="O798" s="1666">
        <v>1.3250463634023444</v>
      </c>
    </row>
    <row r="799" spans="11:15">
      <c r="K799" s="1663">
        <v>42856</v>
      </c>
      <c r="L799" s="1664"/>
      <c r="M799" s="1665">
        <v>0</v>
      </c>
      <c r="N799" s="1666">
        <v>1.3178457833079871</v>
      </c>
      <c r="O799" s="1666">
        <v>1.3250463634023444</v>
      </c>
    </row>
    <row r="800" spans="11:15">
      <c r="K800" s="1663">
        <v>42857</v>
      </c>
      <c r="L800" s="1664" t="s">
        <v>2293</v>
      </c>
      <c r="M800" s="1665">
        <v>4.1957000000000001E-2</v>
      </c>
      <c r="N800" s="1666">
        <v>1.3183987118632896</v>
      </c>
      <c r="O800" s="1666">
        <v>1.3257424235075033</v>
      </c>
    </row>
    <row r="801" spans="11:15">
      <c r="K801" s="1663">
        <v>42858</v>
      </c>
      <c r="L801" s="1664" t="s">
        <v>2293</v>
      </c>
      <c r="M801" s="1665">
        <v>4.1957000000000001E-2</v>
      </c>
      <c r="N801" s="1666">
        <v>1.3189518724108262</v>
      </c>
      <c r="O801" s="1666">
        <v>1.3264388492599959</v>
      </c>
    </row>
    <row r="802" spans="11:15">
      <c r="K802" s="1663">
        <v>42859</v>
      </c>
      <c r="L802" s="1664" t="s">
        <v>2293</v>
      </c>
      <c r="M802" s="1665">
        <v>4.1957000000000001E-2</v>
      </c>
      <c r="N802" s="1666">
        <v>1.3195052650479338</v>
      </c>
      <c r="O802" s="1666">
        <v>1.3271356408519006</v>
      </c>
    </row>
    <row r="803" spans="11:15">
      <c r="K803" s="1663">
        <v>42860</v>
      </c>
      <c r="L803" s="1664" t="s">
        <v>2293</v>
      </c>
      <c r="M803" s="1665">
        <v>4.1957000000000001E-2</v>
      </c>
      <c r="N803" s="1666">
        <v>1.32005888987199</v>
      </c>
      <c r="O803" s="1666">
        <v>1.3278327984753966</v>
      </c>
    </row>
    <row r="804" spans="11:15">
      <c r="K804" s="1663">
        <v>42861</v>
      </c>
      <c r="L804" s="1664"/>
      <c r="M804" s="1665">
        <v>0</v>
      </c>
      <c r="N804" s="1666">
        <v>1.32005888987199</v>
      </c>
      <c r="O804" s="1666">
        <v>1.3278327984753966</v>
      </c>
    </row>
    <row r="805" spans="11:15">
      <c r="K805" s="1663">
        <v>42862</v>
      </c>
      <c r="L805" s="1664"/>
      <c r="M805" s="1665">
        <v>0</v>
      </c>
      <c r="N805" s="1666">
        <v>1.32005888987199</v>
      </c>
      <c r="O805" s="1666">
        <v>1.3278327984753966</v>
      </c>
    </row>
    <row r="806" spans="11:15">
      <c r="K806" s="1663">
        <v>42863</v>
      </c>
      <c r="L806" s="1664" t="s">
        <v>2293</v>
      </c>
      <c r="M806" s="1665">
        <v>4.1957000000000001E-2</v>
      </c>
      <c r="N806" s="1666">
        <v>1.3206127469804136</v>
      </c>
      <c r="O806" s="1666">
        <v>1.3285303223227638</v>
      </c>
    </row>
    <row r="807" spans="11:15">
      <c r="K807" s="1663">
        <v>42864</v>
      </c>
      <c r="L807" s="1664" t="s">
        <v>2293</v>
      </c>
      <c r="M807" s="1665">
        <v>4.1957000000000001E-2</v>
      </c>
      <c r="N807" s="1666">
        <v>1.3211668364706644</v>
      </c>
      <c r="O807" s="1666">
        <v>1.3292282125863832</v>
      </c>
    </row>
    <row r="808" spans="11:15">
      <c r="K808" s="1663">
        <v>42865</v>
      </c>
      <c r="L808" s="1664" t="s">
        <v>2293</v>
      </c>
      <c r="M808" s="1665">
        <v>4.1957000000000001E-2</v>
      </c>
      <c r="N808" s="1666">
        <v>1.3217211584402424</v>
      </c>
      <c r="O808" s="1666">
        <v>1.3299264694587369</v>
      </c>
    </row>
    <row r="809" spans="11:15">
      <c r="K809" s="1663">
        <v>42866</v>
      </c>
      <c r="L809" s="1664" t="s">
        <v>2293</v>
      </c>
      <c r="M809" s="1665">
        <v>4.1957000000000001E-2</v>
      </c>
      <c r="N809" s="1666">
        <v>1.3222757129866893</v>
      </c>
      <c r="O809" s="1666">
        <v>1.3306250931324084</v>
      </c>
    </row>
    <row r="810" spans="11:15">
      <c r="K810" s="1663">
        <v>42867</v>
      </c>
      <c r="L810" s="1664" t="s">
        <v>2293</v>
      </c>
      <c r="M810" s="1665">
        <v>4.1957000000000001E-2</v>
      </c>
      <c r="N810" s="1666">
        <v>1.3228305002075873</v>
      </c>
      <c r="O810" s="1666">
        <v>1.3313240838000817</v>
      </c>
    </row>
    <row r="811" spans="11:15">
      <c r="K811" s="1663">
        <v>42868</v>
      </c>
      <c r="L811" s="1664"/>
      <c r="M811" s="1665">
        <v>0</v>
      </c>
      <c r="N811" s="1666">
        <v>1.3228305002075873</v>
      </c>
      <c r="O811" s="1666">
        <v>1.3313240838000817</v>
      </c>
    </row>
    <row r="812" spans="11:15">
      <c r="K812" s="1663">
        <v>42869</v>
      </c>
      <c r="L812" s="1664"/>
      <c r="M812" s="1665">
        <v>0</v>
      </c>
      <c r="N812" s="1666">
        <v>1.3228305002075873</v>
      </c>
      <c r="O812" s="1666">
        <v>1.3313240838000817</v>
      </c>
    </row>
    <row r="813" spans="11:15">
      <c r="K813" s="1663">
        <v>42870</v>
      </c>
      <c r="L813" s="1664" t="s">
        <v>2293</v>
      </c>
      <c r="M813" s="1665">
        <v>4.1957000000000001E-2</v>
      </c>
      <c r="N813" s="1666">
        <v>1.3233855202005596</v>
      </c>
      <c r="O813" s="1666">
        <v>1.3320234416545427</v>
      </c>
    </row>
    <row r="814" spans="11:15">
      <c r="K814" s="1663">
        <v>42871</v>
      </c>
      <c r="L814" s="1664" t="s">
        <v>2293</v>
      </c>
      <c r="M814" s="1665">
        <v>4.1957000000000001E-2</v>
      </c>
      <c r="N814" s="1666">
        <v>1.3239407730632702</v>
      </c>
      <c r="O814" s="1666">
        <v>1.3327231668886783</v>
      </c>
    </row>
    <row r="815" spans="11:15">
      <c r="K815" s="1663">
        <v>42872</v>
      </c>
      <c r="L815" s="1664" t="s">
        <v>2293</v>
      </c>
      <c r="M815" s="1665">
        <v>4.1957000000000001E-2</v>
      </c>
      <c r="N815" s="1666">
        <v>1.3244962588934244</v>
      </c>
      <c r="O815" s="1666">
        <v>1.3334232596954767</v>
      </c>
    </row>
    <row r="816" spans="11:15">
      <c r="K816" s="1663">
        <v>42873</v>
      </c>
      <c r="L816" s="1664" t="s">
        <v>2293</v>
      </c>
      <c r="M816" s="1665">
        <v>4.1957000000000001E-2</v>
      </c>
      <c r="N816" s="1666">
        <v>1.3250519777887684</v>
      </c>
      <c r="O816" s="1666">
        <v>1.3341237202680274</v>
      </c>
    </row>
    <row r="817" spans="11:15">
      <c r="K817" s="1663">
        <v>42874</v>
      </c>
      <c r="L817" s="1664" t="s">
        <v>2293</v>
      </c>
      <c r="M817" s="1665">
        <v>4.1957000000000001E-2</v>
      </c>
      <c r="N817" s="1666">
        <v>1.3256079298470893</v>
      </c>
      <c r="O817" s="1666">
        <v>1.3348245487995214</v>
      </c>
    </row>
    <row r="818" spans="11:15">
      <c r="K818" s="1663">
        <v>42875</v>
      </c>
      <c r="L818" s="1664"/>
      <c r="M818" s="1665">
        <v>0</v>
      </c>
      <c r="N818" s="1666">
        <v>1.3256079298470893</v>
      </c>
      <c r="O818" s="1666">
        <v>1.3348245487995214</v>
      </c>
    </row>
    <row r="819" spans="11:15">
      <c r="K819" s="1663">
        <v>42876</v>
      </c>
      <c r="L819" s="1664"/>
      <c r="M819" s="1665">
        <v>0</v>
      </c>
      <c r="N819" s="1666">
        <v>1.3256079298470893</v>
      </c>
      <c r="O819" s="1666">
        <v>1.3348245487995214</v>
      </c>
    </row>
    <row r="820" spans="11:15">
      <c r="K820" s="1663">
        <v>42877</v>
      </c>
      <c r="L820" s="1664" t="s">
        <v>2293</v>
      </c>
      <c r="M820" s="1665">
        <v>4.1957000000000001E-2</v>
      </c>
      <c r="N820" s="1666">
        <v>1.3261641151662154</v>
      </c>
      <c r="O820" s="1666">
        <v>1.3355257454832512</v>
      </c>
    </row>
    <row r="821" spans="11:15">
      <c r="K821" s="1663">
        <v>42878</v>
      </c>
      <c r="L821" s="1664" t="s">
        <v>2293</v>
      </c>
      <c r="M821" s="1665">
        <v>4.1957000000000001E-2</v>
      </c>
      <c r="N821" s="1666">
        <v>1.3267205338440158</v>
      </c>
      <c r="O821" s="1666">
        <v>1.336227310512611</v>
      </c>
    </row>
    <row r="822" spans="11:15">
      <c r="K822" s="1663">
        <v>42879</v>
      </c>
      <c r="L822" s="1664" t="s">
        <v>2293</v>
      </c>
      <c r="M822" s="1665">
        <v>4.1957000000000001E-2</v>
      </c>
      <c r="N822" s="1666">
        <v>1.3272771859784007</v>
      </c>
      <c r="O822" s="1666">
        <v>1.3369292440810965</v>
      </c>
    </row>
    <row r="823" spans="11:15">
      <c r="K823" s="1663">
        <v>42880</v>
      </c>
      <c r="L823" s="1664" t="s">
        <v>2293</v>
      </c>
      <c r="M823" s="1665">
        <v>4.1957000000000001E-2</v>
      </c>
      <c r="N823" s="1666">
        <v>1.3278340716673218</v>
      </c>
      <c r="O823" s="1666">
        <v>1.3376315463823047</v>
      </c>
    </row>
    <row r="824" spans="11:15">
      <c r="K824" s="1663">
        <v>42881</v>
      </c>
      <c r="L824" s="1664" t="s">
        <v>2293</v>
      </c>
      <c r="M824" s="1665">
        <v>4.1957000000000001E-2</v>
      </c>
      <c r="N824" s="1666">
        <v>1.3283911910087713</v>
      </c>
      <c r="O824" s="1666">
        <v>1.3383342176099349</v>
      </c>
    </row>
    <row r="825" spans="11:15">
      <c r="K825" s="1663">
        <v>42882</v>
      </c>
      <c r="L825" s="1664"/>
      <c r="M825" s="1665">
        <v>0</v>
      </c>
      <c r="N825" s="1666">
        <v>1.3283911910087713</v>
      </c>
      <c r="O825" s="1666">
        <v>1.3383342176099349</v>
      </c>
    </row>
    <row r="826" spans="11:15">
      <c r="K826" s="1663">
        <v>42883</v>
      </c>
      <c r="L826" s="1664"/>
      <c r="M826" s="1665">
        <v>0</v>
      </c>
      <c r="N826" s="1666">
        <v>1.3283911910087713</v>
      </c>
      <c r="O826" s="1666">
        <v>1.3383342176099349</v>
      </c>
    </row>
    <row r="827" spans="11:15">
      <c r="K827" s="1663">
        <v>42884</v>
      </c>
      <c r="L827" s="1664" t="s">
        <v>2293</v>
      </c>
      <c r="M827" s="1665">
        <v>4.1957000000000001E-2</v>
      </c>
      <c r="N827" s="1666">
        <v>1.3289485441007829</v>
      </c>
      <c r="O827" s="1666">
        <v>1.3390372579577876</v>
      </c>
    </row>
    <row r="828" spans="11:15">
      <c r="K828" s="1663">
        <v>42885</v>
      </c>
      <c r="L828" s="1664" t="s">
        <v>2293</v>
      </c>
      <c r="M828" s="1665">
        <v>4.1957000000000001E-2</v>
      </c>
      <c r="N828" s="1666">
        <v>1.3295061310414313</v>
      </c>
      <c r="O828" s="1666">
        <v>1.3397406676197654</v>
      </c>
    </row>
    <row r="829" spans="11:15">
      <c r="K829" s="1663">
        <v>42886</v>
      </c>
      <c r="L829" s="1664" t="s">
        <v>2293</v>
      </c>
      <c r="M829" s="1665">
        <v>4.1957000000000001E-2</v>
      </c>
      <c r="N829" s="1666">
        <v>1.3300639519288324</v>
      </c>
      <c r="O829" s="1666">
        <v>1.3404444467898728</v>
      </c>
    </row>
    <row r="830" spans="11:15">
      <c r="K830" s="1663">
        <v>42887</v>
      </c>
      <c r="L830" s="1664" t="s">
        <v>2293</v>
      </c>
      <c r="M830" s="1665">
        <v>3.8370000000000001E-2</v>
      </c>
      <c r="N830" s="1666">
        <v>1.3305742974671875</v>
      </c>
      <c r="O830" s="1666">
        <v>1.341148595662216</v>
      </c>
    </row>
    <row r="831" spans="11:15">
      <c r="K831" s="1663">
        <v>42888</v>
      </c>
      <c r="L831" s="1664" t="s">
        <v>2293</v>
      </c>
      <c r="M831" s="1665">
        <v>3.8370000000000001E-2</v>
      </c>
      <c r="N831" s="1666">
        <v>1.3310848388251255</v>
      </c>
      <c r="O831" s="1666">
        <v>1.3418531144310033</v>
      </c>
    </row>
    <row r="832" spans="11:15">
      <c r="K832" s="1663">
        <v>42889</v>
      </c>
      <c r="L832" s="1664"/>
      <c r="M832" s="1665">
        <v>0</v>
      </c>
      <c r="N832" s="1666">
        <v>1.3310848388251255</v>
      </c>
      <c r="O832" s="1666">
        <v>1.3418531144310033</v>
      </c>
    </row>
    <row r="833" spans="11:15">
      <c r="K833" s="1663">
        <v>42890</v>
      </c>
      <c r="L833" s="1664"/>
      <c r="M833" s="1665">
        <v>0</v>
      </c>
      <c r="N833" s="1666">
        <v>1.3310848388251255</v>
      </c>
      <c r="O833" s="1666">
        <v>1.3418531144310033</v>
      </c>
    </row>
    <row r="834" spans="11:15">
      <c r="K834" s="1663">
        <v>42891</v>
      </c>
      <c r="L834" s="1664" t="s">
        <v>2293</v>
      </c>
      <c r="M834" s="1665">
        <v>3.8370000000000001E-2</v>
      </c>
      <c r="N834" s="1666">
        <v>1.3315955760777827</v>
      </c>
      <c r="O834" s="1666">
        <v>1.3425580032905451</v>
      </c>
    </row>
    <row r="835" spans="11:15">
      <c r="K835" s="1663">
        <v>42892</v>
      </c>
      <c r="L835" s="1664" t="s">
        <v>2293</v>
      </c>
      <c r="M835" s="1665">
        <v>3.8370000000000001E-2</v>
      </c>
      <c r="N835" s="1666">
        <v>1.3321065093003237</v>
      </c>
      <c r="O835" s="1666">
        <v>1.3432632624352536</v>
      </c>
    </row>
    <row r="836" spans="11:15">
      <c r="K836" s="1663">
        <v>42893</v>
      </c>
      <c r="L836" s="1664" t="s">
        <v>2293</v>
      </c>
      <c r="M836" s="1665">
        <v>3.8370000000000001E-2</v>
      </c>
      <c r="N836" s="1666">
        <v>1.3326176385679422</v>
      </c>
      <c r="O836" s="1666">
        <v>1.3439688920596435</v>
      </c>
    </row>
    <row r="837" spans="11:15">
      <c r="K837" s="1663">
        <v>42894</v>
      </c>
      <c r="L837" s="1664" t="s">
        <v>2293</v>
      </c>
      <c r="M837" s="1665">
        <v>3.8370000000000001E-2</v>
      </c>
      <c r="N837" s="1666">
        <v>1.3331289639558608</v>
      </c>
      <c r="O837" s="1666">
        <v>1.3446748923583314</v>
      </c>
    </row>
    <row r="838" spans="11:15">
      <c r="K838" s="1663">
        <v>42895</v>
      </c>
      <c r="L838" s="1664" t="s">
        <v>2293</v>
      </c>
      <c r="M838" s="1665">
        <v>3.8370000000000001E-2</v>
      </c>
      <c r="N838" s="1666">
        <v>1.3336404855393307</v>
      </c>
      <c r="O838" s="1666">
        <v>1.345381263526036</v>
      </c>
    </row>
    <row r="839" spans="11:15">
      <c r="K839" s="1663">
        <v>42896</v>
      </c>
      <c r="L839" s="1664"/>
      <c r="M839" s="1665">
        <v>0</v>
      </c>
      <c r="N839" s="1666">
        <v>1.3336404855393307</v>
      </c>
      <c r="O839" s="1666">
        <v>1.345381263526036</v>
      </c>
    </row>
    <row r="840" spans="11:15">
      <c r="K840" s="1663">
        <v>42897</v>
      </c>
      <c r="L840" s="1664"/>
      <c r="M840" s="1665">
        <v>0</v>
      </c>
      <c r="N840" s="1666">
        <v>1.3336404855393307</v>
      </c>
      <c r="O840" s="1666">
        <v>1.345381263526036</v>
      </c>
    </row>
    <row r="841" spans="11:15">
      <c r="K841" s="1663">
        <v>42898</v>
      </c>
      <c r="L841" s="1664" t="s">
        <v>2293</v>
      </c>
      <c r="M841" s="1665">
        <v>3.8370000000000001E-2</v>
      </c>
      <c r="N841" s="1666">
        <v>1.3341522033936322</v>
      </c>
      <c r="O841" s="1666">
        <v>1.3460880057575788</v>
      </c>
    </row>
    <row r="842" spans="11:15">
      <c r="K842" s="1663">
        <v>42899</v>
      </c>
      <c r="L842" s="1664" t="s">
        <v>2293</v>
      </c>
      <c r="M842" s="1665">
        <v>3.8370000000000001E-2</v>
      </c>
      <c r="N842" s="1666">
        <v>1.3346641175940743</v>
      </c>
      <c r="O842" s="1666">
        <v>1.3467951192478833</v>
      </c>
    </row>
    <row r="843" spans="11:15">
      <c r="K843" s="1663">
        <v>42900</v>
      </c>
      <c r="L843" s="1664" t="s">
        <v>2293</v>
      </c>
      <c r="M843" s="1665">
        <v>3.8370000000000001E-2</v>
      </c>
      <c r="N843" s="1666">
        <v>1.3351762282159951</v>
      </c>
      <c r="O843" s="1666">
        <v>1.3475026041919753</v>
      </c>
    </row>
    <row r="844" spans="11:15">
      <c r="K844" s="1663">
        <v>42901</v>
      </c>
      <c r="L844" s="1664"/>
      <c r="M844" s="1665">
        <v>0</v>
      </c>
      <c r="N844" s="1666">
        <v>1.3351762282159951</v>
      </c>
      <c r="O844" s="1666">
        <v>1.3475026041919753</v>
      </c>
    </row>
    <row r="845" spans="11:15">
      <c r="K845" s="1663">
        <v>42902</v>
      </c>
      <c r="L845" s="1664" t="s">
        <v>2293</v>
      </c>
      <c r="M845" s="1665">
        <v>3.8370000000000001E-2</v>
      </c>
      <c r="N845" s="1666">
        <v>1.3356885353347616</v>
      </c>
      <c r="O845" s="1666">
        <v>1.3482104607849834</v>
      </c>
    </row>
    <row r="846" spans="11:15">
      <c r="K846" s="1663">
        <v>42903</v>
      </c>
      <c r="L846" s="1664"/>
      <c r="M846" s="1665">
        <v>0</v>
      </c>
      <c r="N846" s="1666">
        <v>1.3356885353347616</v>
      </c>
      <c r="O846" s="1666">
        <v>1.3482104607849834</v>
      </c>
    </row>
    <row r="847" spans="11:15">
      <c r="K847" s="1663">
        <v>42904</v>
      </c>
      <c r="L847" s="1664"/>
      <c r="M847" s="1665">
        <v>0</v>
      </c>
      <c r="N847" s="1666">
        <v>1.3356885353347616</v>
      </c>
      <c r="O847" s="1666">
        <v>1.3482104607849834</v>
      </c>
    </row>
    <row r="848" spans="11:15">
      <c r="K848" s="1663">
        <v>42905</v>
      </c>
      <c r="L848" s="1664" t="s">
        <v>2293</v>
      </c>
      <c r="M848" s="1665">
        <v>3.8370000000000001E-2</v>
      </c>
      <c r="N848" s="1666">
        <v>1.3362010390257695</v>
      </c>
      <c r="O848" s="1666">
        <v>1.3489186892221383</v>
      </c>
    </row>
    <row r="849" spans="11:15">
      <c r="K849" s="1663">
        <v>42906</v>
      </c>
      <c r="L849" s="1664" t="s">
        <v>2293</v>
      </c>
      <c r="M849" s="1665">
        <v>3.8370000000000001E-2</v>
      </c>
      <c r="N849" s="1666">
        <v>1.3367137393644437</v>
      </c>
      <c r="O849" s="1666">
        <v>1.3496272896987735</v>
      </c>
    </row>
    <row r="850" spans="11:15">
      <c r="K850" s="1663">
        <v>42907</v>
      </c>
      <c r="L850" s="1664" t="s">
        <v>2293</v>
      </c>
      <c r="M850" s="1665">
        <v>3.8370000000000001E-2</v>
      </c>
      <c r="N850" s="1666">
        <v>1.3372266364262377</v>
      </c>
      <c r="O850" s="1666">
        <v>1.3503362624103252</v>
      </c>
    </row>
    <row r="851" spans="11:15">
      <c r="K851" s="1663">
        <v>42908</v>
      </c>
      <c r="L851" s="1664" t="s">
        <v>2293</v>
      </c>
      <c r="M851" s="1665">
        <v>3.8370000000000001E-2</v>
      </c>
      <c r="N851" s="1666">
        <v>1.3377397302866345</v>
      </c>
      <c r="O851" s="1666">
        <v>1.3510456075523321</v>
      </c>
    </row>
    <row r="852" spans="11:15">
      <c r="K852" s="1663">
        <v>42909</v>
      </c>
      <c r="L852" s="1664" t="s">
        <v>2293</v>
      </c>
      <c r="M852" s="1665">
        <v>3.8370000000000001E-2</v>
      </c>
      <c r="N852" s="1666">
        <v>1.3382530210211454</v>
      </c>
      <c r="O852" s="1666">
        <v>1.3517553253204353</v>
      </c>
    </row>
    <row r="853" spans="11:15">
      <c r="K853" s="1663">
        <v>42910</v>
      </c>
      <c r="L853" s="1664"/>
      <c r="M853" s="1665">
        <v>0</v>
      </c>
      <c r="N853" s="1666">
        <v>1.3382530210211454</v>
      </c>
      <c r="O853" s="1666">
        <v>1.3517553253204353</v>
      </c>
    </row>
    <row r="854" spans="11:15">
      <c r="K854" s="1663">
        <v>42911</v>
      </c>
      <c r="L854" s="1664"/>
      <c r="M854" s="1665">
        <v>0</v>
      </c>
      <c r="N854" s="1666">
        <v>1.3382530210211454</v>
      </c>
      <c r="O854" s="1666">
        <v>1.3517553253204353</v>
      </c>
    </row>
    <row r="855" spans="11:15">
      <c r="K855" s="1663">
        <v>42912</v>
      </c>
      <c r="L855" s="1664" t="s">
        <v>2293</v>
      </c>
      <c r="M855" s="1665">
        <v>3.8370000000000001E-2</v>
      </c>
      <c r="N855" s="1666">
        <v>1.3387665087053111</v>
      </c>
      <c r="O855" s="1666">
        <v>1.3524654159103793</v>
      </c>
    </row>
    <row r="856" spans="11:15">
      <c r="K856" s="1663">
        <v>42913</v>
      </c>
      <c r="L856" s="1664" t="s">
        <v>2293</v>
      </c>
      <c r="M856" s="1665">
        <v>3.8370000000000001E-2</v>
      </c>
      <c r="N856" s="1666">
        <v>1.3392801934147014</v>
      </c>
      <c r="O856" s="1666">
        <v>1.3531758795180111</v>
      </c>
    </row>
    <row r="857" spans="11:15">
      <c r="K857" s="1663">
        <v>42914</v>
      </c>
      <c r="L857" s="1664" t="s">
        <v>2293</v>
      </c>
      <c r="M857" s="1665">
        <v>3.8370000000000001E-2</v>
      </c>
      <c r="N857" s="1666">
        <v>1.3397940752249147</v>
      </c>
      <c r="O857" s="1666">
        <v>1.3538867163392807</v>
      </c>
    </row>
    <row r="858" spans="11:15">
      <c r="K858" s="1663">
        <v>42915</v>
      </c>
      <c r="L858" s="1664" t="s">
        <v>2293</v>
      </c>
      <c r="M858" s="1665">
        <v>3.8370000000000001E-2</v>
      </c>
      <c r="N858" s="1666">
        <v>1.3403081542115785</v>
      </c>
      <c r="O858" s="1666">
        <v>1.3545979265702408</v>
      </c>
    </row>
    <row r="859" spans="11:15">
      <c r="K859" s="1663">
        <v>42916</v>
      </c>
      <c r="L859" s="1664" t="s">
        <v>2293</v>
      </c>
      <c r="M859" s="1665">
        <v>3.8370000000000001E-2</v>
      </c>
      <c r="N859" s="1666">
        <v>1.3408224304503493</v>
      </c>
      <c r="O859" s="1666">
        <v>1.3553095104070474</v>
      </c>
    </row>
    <row r="860" spans="11:15">
      <c r="K860" s="1663">
        <v>42917</v>
      </c>
      <c r="L860" s="1664"/>
      <c r="M860" s="1665">
        <v>0</v>
      </c>
      <c r="N860" s="1666">
        <v>1.3408224304503493</v>
      </c>
      <c r="O860" s="1666">
        <v>1.3553095104070474</v>
      </c>
    </row>
    <row r="861" spans="11:15">
      <c r="K861" s="1663">
        <v>42918</v>
      </c>
      <c r="L861" s="1664"/>
      <c r="M861" s="1665">
        <v>0</v>
      </c>
      <c r="N861" s="1666">
        <v>1.3408224304503493</v>
      </c>
      <c r="O861" s="1666">
        <v>1.3553095104070474</v>
      </c>
    </row>
    <row r="862" spans="11:15">
      <c r="K862" s="1663">
        <v>42919</v>
      </c>
      <c r="L862" s="1664" t="s">
        <v>2293</v>
      </c>
      <c r="M862" s="1665">
        <v>3.8370000000000001E-2</v>
      </c>
      <c r="N862" s="1666">
        <v>1.3413369040169132</v>
      </c>
      <c r="O862" s="1666">
        <v>1.3560214680459592</v>
      </c>
    </row>
    <row r="863" spans="11:15">
      <c r="K863" s="1663">
        <v>42920</v>
      </c>
      <c r="L863" s="1664" t="s">
        <v>2293</v>
      </c>
      <c r="M863" s="1665">
        <v>3.8370000000000001E-2</v>
      </c>
      <c r="N863" s="1666">
        <v>1.3418515749869844</v>
      </c>
      <c r="O863" s="1666">
        <v>1.3567337996833384</v>
      </c>
    </row>
    <row r="864" spans="11:15">
      <c r="K864" s="1663">
        <v>42921</v>
      </c>
      <c r="L864" s="1664" t="s">
        <v>2293</v>
      </c>
      <c r="M864" s="1665">
        <v>3.8370000000000001E-2</v>
      </c>
      <c r="N864" s="1666">
        <v>1.342366443436307</v>
      </c>
      <c r="O864" s="1666">
        <v>1.3574465055156502</v>
      </c>
    </row>
    <row r="865" spans="11:15">
      <c r="K865" s="1663">
        <v>42922</v>
      </c>
      <c r="L865" s="1664" t="s">
        <v>2293</v>
      </c>
      <c r="M865" s="1665">
        <v>3.8370000000000001E-2</v>
      </c>
      <c r="N865" s="1666">
        <v>1.3428815094406534</v>
      </c>
      <c r="O865" s="1666">
        <v>1.3581595857394626</v>
      </c>
    </row>
    <row r="866" spans="11:15">
      <c r="K866" s="1663">
        <v>42923</v>
      </c>
      <c r="L866" s="1664" t="s">
        <v>2293</v>
      </c>
      <c r="M866" s="1665">
        <v>3.8370000000000001E-2</v>
      </c>
      <c r="N866" s="1666">
        <v>1.3433967730758258</v>
      </c>
      <c r="O866" s="1666">
        <v>1.3588730405514473</v>
      </c>
    </row>
    <row r="867" spans="11:15">
      <c r="K867" s="1663">
        <v>42924</v>
      </c>
      <c r="L867" s="1664"/>
      <c r="M867" s="1665">
        <v>0</v>
      </c>
      <c r="N867" s="1666">
        <v>1.3433967730758258</v>
      </c>
      <c r="O867" s="1666">
        <v>1.3588730405514473</v>
      </c>
    </row>
    <row r="868" spans="11:15">
      <c r="K868" s="1663">
        <v>42925</v>
      </c>
      <c r="L868" s="1664"/>
      <c r="M868" s="1665">
        <v>0</v>
      </c>
      <c r="N868" s="1666">
        <v>1.3433967730758258</v>
      </c>
      <c r="O868" s="1666">
        <v>1.3588730405514473</v>
      </c>
    </row>
    <row r="869" spans="11:15">
      <c r="K869" s="1663">
        <v>42926</v>
      </c>
      <c r="L869" s="1664" t="s">
        <v>2293</v>
      </c>
      <c r="M869" s="1665">
        <v>3.8370000000000001E-2</v>
      </c>
      <c r="N869" s="1666">
        <v>1.3439122344176551</v>
      </c>
      <c r="O869" s="1666">
        <v>1.3595868701483793</v>
      </c>
    </row>
    <row r="870" spans="11:15">
      <c r="K870" s="1663">
        <v>42927</v>
      </c>
      <c r="L870" s="1664" t="s">
        <v>2293</v>
      </c>
      <c r="M870" s="1665">
        <v>3.8370000000000001E-2</v>
      </c>
      <c r="N870" s="1666">
        <v>1.3444278935420011</v>
      </c>
      <c r="O870" s="1666">
        <v>1.3603010747271369</v>
      </c>
    </row>
    <row r="871" spans="11:15">
      <c r="K871" s="1663">
        <v>42928</v>
      </c>
      <c r="L871" s="1664" t="s">
        <v>2293</v>
      </c>
      <c r="M871" s="1665">
        <v>3.8370000000000001E-2</v>
      </c>
      <c r="N871" s="1666">
        <v>1.3449437505247532</v>
      </c>
      <c r="O871" s="1666">
        <v>1.3610156544847019</v>
      </c>
    </row>
    <row r="872" spans="11:15">
      <c r="K872" s="1663">
        <v>42929</v>
      </c>
      <c r="L872" s="1664" t="s">
        <v>2293</v>
      </c>
      <c r="M872" s="1665">
        <v>3.8370000000000001E-2</v>
      </c>
      <c r="N872" s="1666">
        <v>1.3454598054418296</v>
      </c>
      <c r="O872" s="1666">
        <v>1.3617306096181592</v>
      </c>
    </row>
    <row r="873" spans="11:15">
      <c r="K873" s="1663">
        <v>42930</v>
      </c>
      <c r="L873" s="1664" t="s">
        <v>2293</v>
      </c>
      <c r="M873" s="1665">
        <v>3.8370000000000001E-2</v>
      </c>
      <c r="N873" s="1666">
        <v>1.3459760583691776</v>
      </c>
      <c r="O873" s="1666">
        <v>1.3624459403246978</v>
      </c>
    </row>
    <row r="874" spans="11:15">
      <c r="K874" s="1663">
        <v>42931</v>
      </c>
      <c r="L874" s="1664"/>
      <c r="M874" s="1665">
        <v>0</v>
      </c>
      <c r="N874" s="1666">
        <v>1.3459760583691776</v>
      </c>
      <c r="O874" s="1666">
        <v>1.3624459403246978</v>
      </c>
    </row>
    <row r="875" spans="11:15">
      <c r="K875" s="1663">
        <v>42932</v>
      </c>
      <c r="L875" s="1664"/>
      <c r="M875" s="1665">
        <v>0</v>
      </c>
      <c r="N875" s="1666">
        <v>1.3459760583691776</v>
      </c>
      <c r="O875" s="1666">
        <v>1.3624459403246978</v>
      </c>
    </row>
    <row r="876" spans="11:15">
      <c r="K876" s="1663">
        <v>42933</v>
      </c>
      <c r="L876" s="1664" t="s">
        <v>2293</v>
      </c>
      <c r="M876" s="1665">
        <v>3.8370000000000001E-2</v>
      </c>
      <c r="N876" s="1666">
        <v>1.3464925093827738</v>
      </c>
      <c r="O876" s="1666">
        <v>1.3631616468016097</v>
      </c>
    </row>
    <row r="877" spans="11:15">
      <c r="K877" s="1663">
        <v>42934</v>
      </c>
      <c r="L877" s="1664" t="s">
        <v>2293</v>
      </c>
      <c r="M877" s="1665">
        <v>3.8370000000000001E-2</v>
      </c>
      <c r="N877" s="1666">
        <v>1.3470091585586239</v>
      </c>
      <c r="O877" s="1666">
        <v>1.3638777292462911</v>
      </c>
    </row>
    <row r="878" spans="11:15">
      <c r="K878" s="1663">
        <v>42935</v>
      </c>
      <c r="L878" s="1664" t="s">
        <v>2293</v>
      </c>
      <c r="M878" s="1665">
        <v>3.8370000000000001E-2</v>
      </c>
      <c r="N878" s="1666">
        <v>1.3475260059727627</v>
      </c>
      <c r="O878" s="1666">
        <v>1.3645941878562415</v>
      </c>
    </row>
    <row r="879" spans="11:15">
      <c r="K879" s="1663">
        <v>42936</v>
      </c>
      <c r="L879" s="1664" t="s">
        <v>2293</v>
      </c>
      <c r="M879" s="1665">
        <v>3.8370000000000001E-2</v>
      </c>
      <c r="N879" s="1666">
        <v>1.3480430517012545</v>
      </c>
      <c r="O879" s="1666">
        <v>1.3653110228290644</v>
      </c>
    </row>
    <row r="880" spans="11:15">
      <c r="K880" s="1663">
        <v>42937</v>
      </c>
      <c r="L880" s="1664" t="s">
        <v>2293</v>
      </c>
      <c r="M880" s="1665">
        <v>3.8370000000000001E-2</v>
      </c>
      <c r="N880" s="1666">
        <v>1.3485602958201923</v>
      </c>
      <c r="O880" s="1666">
        <v>1.3660282343624668</v>
      </c>
    </row>
    <row r="881" spans="11:15">
      <c r="K881" s="1663">
        <v>42938</v>
      </c>
      <c r="L881" s="1664"/>
      <c r="M881" s="1665">
        <v>0</v>
      </c>
      <c r="N881" s="1666">
        <v>1.3485602958201923</v>
      </c>
      <c r="O881" s="1666">
        <v>1.3660282343624668</v>
      </c>
    </row>
    <row r="882" spans="11:15">
      <c r="K882" s="1663">
        <v>42939</v>
      </c>
      <c r="L882" s="1664"/>
      <c r="M882" s="1665">
        <v>0</v>
      </c>
      <c r="N882" s="1666">
        <v>1.3485602958201923</v>
      </c>
      <c r="O882" s="1666">
        <v>1.3660282343624668</v>
      </c>
    </row>
    <row r="883" spans="11:15">
      <c r="K883" s="1663">
        <v>42940</v>
      </c>
      <c r="L883" s="1664" t="s">
        <v>2293</v>
      </c>
      <c r="M883" s="1665">
        <v>3.8370000000000001E-2</v>
      </c>
      <c r="N883" s="1666">
        <v>1.3490777384056984</v>
      </c>
      <c r="O883" s="1666">
        <v>1.3667458226542597</v>
      </c>
    </row>
    <row r="884" spans="11:15">
      <c r="K884" s="1663">
        <v>42941</v>
      </c>
      <c r="L884" s="1664" t="s">
        <v>2293</v>
      </c>
      <c r="M884" s="1665">
        <v>3.8370000000000001E-2</v>
      </c>
      <c r="N884" s="1666">
        <v>1.3495953795339246</v>
      </c>
      <c r="O884" s="1666">
        <v>1.3674637879023581</v>
      </c>
    </row>
    <row r="885" spans="11:15">
      <c r="K885" s="1663">
        <v>42942</v>
      </c>
      <c r="L885" s="1664" t="s">
        <v>2293</v>
      </c>
      <c r="M885" s="1665">
        <v>3.8370000000000001E-2</v>
      </c>
      <c r="N885" s="1666">
        <v>1.3501132192810517</v>
      </c>
      <c r="O885" s="1666">
        <v>1.3681821303047812</v>
      </c>
    </row>
    <row r="886" spans="11:15">
      <c r="K886" s="1663">
        <v>42943</v>
      </c>
      <c r="L886" s="1664" t="s">
        <v>2293</v>
      </c>
      <c r="M886" s="1665">
        <v>3.4749000000000002E-2</v>
      </c>
      <c r="N886" s="1666">
        <v>1.3505823701236197</v>
      </c>
      <c r="O886" s="1666">
        <v>1.3689008500596516</v>
      </c>
    </row>
    <row r="887" spans="11:15">
      <c r="K887" s="1663">
        <v>42944</v>
      </c>
      <c r="L887" s="1664" t="s">
        <v>2293</v>
      </c>
      <c r="M887" s="1665">
        <v>3.4749000000000002E-2</v>
      </c>
      <c r="N887" s="1666">
        <v>1.351051683991414</v>
      </c>
      <c r="O887" s="1666">
        <v>1.3696199473651964</v>
      </c>
    </row>
    <row r="888" spans="11:15">
      <c r="K888" s="1663">
        <v>42945</v>
      </c>
      <c r="L888" s="1664"/>
      <c r="M888" s="1665">
        <v>0</v>
      </c>
      <c r="N888" s="1666">
        <v>1.351051683991414</v>
      </c>
      <c r="O888" s="1666">
        <v>1.3696199473651964</v>
      </c>
    </row>
    <row r="889" spans="11:15">
      <c r="K889" s="1663">
        <v>42946</v>
      </c>
      <c r="L889" s="1664"/>
      <c r="M889" s="1665">
        <v>0</v>
      </c>
      <c r="N889" s="1666">
        <v>1.351051683991414</v>
      </c>
      <c r="O889" s="1666">
        <v>1.3696199473651964</v>
      </c>
    </row>
    <row r="890" spans="11:15">
      <c r="K890" s="1663">
        <v>42947</v>
      </c>
      <c r="L890" s="1664" t="s">
        <v>2293</v>
      </c>
      <c r="M890" s="1665">
        <v>3.4749000000000002E-2</v>
      </c>
      <c r="N890" s="1666">
        <v>1.3515211609410842</v>
      </c>
      <c r="O890" s="1666">
        <v>1.3703394224197469</v>
      </c>
    </row>
    <row r="891" spans="11:15">
      <c r="K891" s="1663">
        <v>42948</v>
      </c>
      <c r="L891" s="1664" t="s">
        <v>2293</v>
      </c>
      <c r="M891" s="1665">
        <v>3.4749000000000002E-2</v>
      </c>
      <c r="N891" s="1666">
        <v>1.3519908010292996</v>
      </c>
      <c r="O891" s="1666">
        <v>1.3710592754217383</v>
      </c>
    </row>
    <row r="892" spans="11:15">
      <c r="K892" s="1663">
        <v>42949</v>
      </c>
      <c r="L892" s="1664" t="s">
        <v>2293</v>
      </c>
      <c r="M892" s="1665">
        <v>3.4749000000000002E-2</v>
      </c>
      <c r="N892" s="1666">
        <v>1.3524606043127492</v>
      </c>
      <c r="O892" s="1666">
        <v>1.37177950656971</v>
      </c>
    </row>
    <row r="893" spans="11:15">
      <c r="K893" s="1663">
        <v>42950</v>
      </c>
      <c r="L893" s="1664" t="s">
        <v>2293</v>
      </c>
      <c r="M893" s="1665">
        <v>3.4749000000000002E-2</v>
      </c>
      <c r="N893" s="1666">
        <v>1.3529305708481418</v>
      </c>
      <c r="O893" s="1666">
        <v>1.3725001160623063</v>
      </c>
    </row>
    <row r="894" spans="11:15">
      <c r="K894" s="1663">
        <v>42951</v>
      </c>
      <c r="L894" s="1664" t="s">
        <v>2293</v>
      </c>
      <c r="M894" s="1665">
        <v>3.4749000000000002E-2</v>
      </c>
      <c r="N894" s="1666">
        <v>1.353400700692206</v>
      </c>
      <c r="O894" s="1666">
        <v>1.3732211040982749</v>
      </c>
    </row>
    <row r="895" spans="11:15">
      <c r="K895" s="1663">
        <v>42952</v>
      </c>
      <c r="L895" s="1664"/>
      <c r="M895" s="1665">
        <v>0</v>
      </c>
      <c r="N895" s="1666">
        <v>1.353400700692206</v>
      </c>
      <c r="O895" s="1666">
        <v>1.3732211040982749</v>
      </c>
    </row>
    <row r="896" spans="11:15">
      <c r="K896" s="1663">
        <v>42953</v>
      </c>
      <c r="L896" s="1664"/>
      <c r="M896" s="1665">
        <v>0</v>
      </c>
      <c r="N896" s="1666">
        <v>1.353400700692206</v>
      </c>
      <c r="O896" s="1666">
        <v>1.3732211040982749</v>
      </c>
    </row>
    <row r="897" spans="11:15">
      <c r="K897" s="1663">
        <v>42954</v>
      </c>
      <c r="L897" s="1664" t="s">
        <v>2293</v>
      </c>
      <c r="M897" s="1665">
        <v>3.4749000000000002E-2</v>
      </c>
      <c r="N897" s="1666">
        <v>1.3538709939016895</v>
      </c>
      <c r="O897" s="1666">
        <v>1.3739424708764687</v>
      </c>
    </row>
    <row r="898" spans="11:15">
      <c r="K898" s="1663">
        <v>42955</v>
      </c>
      <c r="L898" s="1664" t="s">
        <v>2293</v>
      </c>
      <c r="M898" s="1665">
        <v>3.4749000000000002E-2</v>
      </c>
      <c r="N898" s="1666">
        <v>1.3543414505333604</v>
      </c>
      <c r="O898" s="1666">
        <v>1.3746642165958449</v>
      </c>
    </row>
    <row r="899" spans="11:15">
      <c r="K899" s="1663">
        <v>42956</v>
      </c>
      <c r="L899" s="1664" t="s">
        <v>2293</v>
      </c>
      <c r="M899" s="1665">
        <v>3.4749000000000002E-2</v>
      </c>
      <c r="N899" s="1666">
        <v>1.3548120706440063</v>
      </c>
      <c r="O899" s="1666">
        <v>1.3753863414554648</v>
      </c>
    </row>
    <row r="900" spans="11:15">
      <c r="K900" s="1663">
        <v>42957</v>
      </c>
      <c r="L900" s="1664" t="s">
        <v>2293</v>
      </c>
      <c r="M900" s="1665">
        <v>3.4749000000000002E-2</v>
      </c>
      <c r="N900" s="1666">
        <v>1.3552828542904345</v>
      </c>
      <c r="O900" s="1666">
        <v>1.3761088456544948</v>
      </c>
    </row>
    <row r="901" spans="11:15">
      <c r="K901" s="1663">
        <v>42958</v>
      </c>
      <c r="L901" s="1664" t="s">
        <v>2293</v>
      </c>
      <c r="M901" s="1665">
        <v>3.4749000000000002E-2</v>
      </c>
      <c r="N901" s="1666">
        <v>1.3557538015294719</v>
      </c>
      <c r="O901" s="1666">
        <v>1.3768317293922054</v>
      </c>
    </row>
    <row r="902" spans="11:15">
      <c r="K902" s="1663">
        <v>42959</v>
      </c>
      <c r="L902" s="1664"/>
      <c r="M902" s="1665">
        <v>0</v>
      </c>
      <c r="N902" s="1666">
        <v>1.3557538015294719</v>
      </c>
      <c r="O902" s="1666">
        <v>1.3768317293922054</v>
      </c>
    </row>
    <row r="903" spans="11:15">
      <c r="K903" s="1663">
        <v>42960</v>
      </c>
      <c r="L903" s="1664"/>
      <c r="M903" s="1665">
        <v>0</v>
      </c>
      <c r="N903" s="1666">
        <v>1.3557538015294719</v>
      </c>
      <c r="O903" s="1666">
        <v>1.3768317293922054</v>
      </c>
    </row>
    <row r="904" spans="11:15">
      <c r="K904" s="1663">
        <v>42961</v>
      </c>
      <c r="L904" s="1664" t="s">
        <v>2293</v>
      </c>
      <c r="M904" s="1665">
        <v>3.4749000000000002E-2</v>
      </c>
      <c r="N904" s="1666">
        <v>1.3562249124179653</v>
      </c>
      <c r="O904" s="1666">
        <v>1.3775549928679724</v>
      </c>
    </row>
    <row r="905" spans="11:15">
      <c r="K905" s="1663">
        <v>42962</v>
      </c>
      <c r="L905" s="1664" t="s">
        <v>2293</v>
      </c>
      <c r="M905" s="1665">
        <v>3.4749000000000002E-2</v>
      </c>
      <c r="N905" s="1666">
        <v>1.3566961870127814</v>
      </c>
      <c r="O905" s="1666">
        <v>1.378278636281276</v>
      </c>
    </row>
    <row r="906" spans="11:15">
      <c r="K906" s="1663">
        <v>42963</v>
      </c>
      <c r="L906" s="1664" t="s">
        <v>2293</v>
      </c>
      <c r="M906" s="1665">
        <v>3.4749000000000002E-2</v>
      </c>
      <c r="N906" s="1666">
        <v>1.3571676253708065</v>
      </c>
      <c r="O906" s="1666">
        <v>1.3790026598317009</v>
      </c>
    </row>
    <row r="907" spans="11:15">
      <c r="K907" s="1663">
        <v>42964</v>
      </c>
      <c r="L907" s="1664" t="s">
        <v>2293</v>
      </c>
      <c r="M907" s="1665">
        <v>3.4749000000000002E-2</v>
      </c>
      <c r="N907" s="1666">
        <v>1.3576392275489466</v>
      </c>
      <c r="O907" s="1666">
        <v>1.3797270637189372</v>
      </c>
    </row>
    <row r="908" spans="11:15">
      <c r="K908" s="1663">
        <v>42965</v>
      </c>
      <c r="L908" s="1664" t="s">
        <v>2293</v>
      </c>
      <c r="M908" s="1665">
        <v>3.4749000000000002E-2</v>
      </c>
      <c r="N908" s="1666">
        <v>1.3581109936041276</v>
      </c>
      <c r="O908" s="1666">
        <v>1.3804518481427794</v>
      </c>
    </row>
    <row r="909" spans="11:15">
      <c r="K909" s="1663">
        <v>42966</v>
      </c>
      <c r="L909" s="1664"/>
      <c r="M909" s="1665">
        <v>0</v>
      </c>
      <c r="N909" s="1666">
        <v>1.3581109936041276</v>
      </c>
      <c r="O909" s="1666">
        <v>1.3804518481427794</v>
      </c>
    </row>
    <row r="910" spans="11:15">
      <c r="K910" s="1663">
        <v>42967</v>
      </c>
      <c r="L910" s="1664"/>
      <c r="M910" s="1665">
        <v>0</v>
      </c>
      <c r="N910" s="1666">
        <v>1.3581109936041276</v>
      </c>
      <c r="O910" s="1666">
        <v>1.3804518481427794</v>
      </c>
    </row>
    <row r="911" spans="11:15">
      <c r="K911" s="1663">
        <v>42968</v>
      </c>
      <c r="L911" s="1664" t="s">
        <v>2293</v>
      </c>
      <c r="M911" s="1665">
        <v>3.4749000000000002E-2</v>
      </c>
      <c r="N911" s="1666">
        <v>1.3585829235932951</v>
      </c>
      <c r="O911" s="1666">
        <v>1.3811770133031274</v>
      </c>
    </row>
    <row r="912" spans="11:15">
      <c r="K912" s="1663">
        <v>42969</v>
      </c>
      <c r="L912" s="1664" t="s">
        <v>2293</v>
      </c>
      <c r="M912" s="1665">
        <v>3.4749000000000002E-2</v>
      </c>
      <c r="N912" s="1666">
        <v>1.3590550175734146</v>
      </c>
      <c r="O912" s="1666">
        <v>1.3819025593999856</v>
      </c>
    </row>
    <row r="913" spans="11:15">
      <c r="K913" s="1663">
        <v>42970</v>
      </c>
      <c r="L913" s="1664" t="s">
        <v>2293</v>
      </c>
      <c r="M913" s="1665">
        <v>3.4749000000000002E-2</v>
      </c>
      <c r="N913" s="1666">
        <v>1.3595272756014711</v>
      </c>
      <c r="O913" s="1666">
        <v>1.3826284866334639</v>
      </c>
    </row>
    <row r="914" spans="11:15">
      <c r="K914" s="1663">
        <v>42971</v>
      </c>
      <c r="L914" s="1664" t="s">
        <v>2293</v>
      </c>
      <c r="M914" s="1665">
        <v>3.4749000000000002E-2</v>
      </c>
      <c r="N914" s="1666">
        <v>1.3599996977344699</v>
      </c>
      <c r="O914" s="1666">
        <v>1.3833547952037775</v>
      </c>
    </row>
    <row r="915" spans="11:15">
      <c r="K915" s="1663">
        <v>42972</v>
      </c>
      <c r="L915" s="1664" t="s">
        <v>2293</v>
      </c>
      <c r="M915" s="1665">
        <v>3.4749000000000002E-2</v>
      </c>
      <c r="N915" s="1666">
        <v>1.3604722840294357</v>
      </c>
      <c r="O915" s="1666">
        <v>1.384081485311246</v>
      </c>
    </row>
    <row r="916" spans="11:15">
      <c r="K916" s="1663">
        <v>42973</v>
      </c>
      <c r="L916" s="1664"/>
      <c r="M916" s="1665">
        <v>0</v>
      </c>
      <c r="N916" s="1666">
        <v>1.3604722840294357</v>
      </c>
      <c r="O916" s="1666">
        <v>1.384081485311246</v>
      </c>
    </row>
    <row r="917" spans="11:15">
      <c r="K917" s="1663">
        <v>42974</v>
      </c>
      <c r="L917" s="1664"/>
      <c r="M917" s="1665">
        <v>0</v>
      </c>
      <c r="N917" s="1666">
        <v>1.3604722840294357</v>
      </c>
      <c r="O917" s="1666">
        <v>1.384081485311246</v>
      </c>
    </row>
    <row r="918" spans="11:15">
      <c r="K918" s="1663">
        <v>42975</v>
      </c>
      <c r="L918" s="1664" t="s">
        <v>2293</v>
      </c>
      <c r="M918" s="1665">
        <v>3.4749000000000002E-2</v>
      </c>
      <c r="N918" s="1666">
        <v>1.3609450345434131</v>
      </c>
      <c r="O918" s="1666">
        <v>1.3848085571562949</v>
      </c>
    </row>
    <row r="919" spans="11:15">
      <c r="K919" s="1663">
        <v>42976</v>
      </c>
      <c r="L919" s="1664" t="s">
        <v>2293</v>
      </c>
      <c r="M919" s="1665">
        <v>3.4749000000000002E-2</v>
      </c>
      <c r="N919" s="1666">
        <v>1.3614179493334666</v>
      </c>
      <c r="O919" s="1666">
        <v>1.3855360109394548</v>
      </c>
    </row>
    <row r="920" spans="11:15">
      <c r="K920" s="1663">
        <v>42977</v>
      </c>
      <c r="L920" s="1664" t="s">
        <v>2293</v>
      </c>
      <c r="M920" s="1665">
        <v>3.4749000000000002E-2</v>
      </c>
      <c r="N920" s="1666">
        <v>1.3618910284566805</v>
      </c>
      <c r="O920" s="1666">
        <v>1.3862638468613613</v>
      </c>
    </row>
    <row r="921" spans="11:15">
      <c r="K921" s="1663">
        <v>42978</v>
      </c>
      <c r="L921" s="1664" t="s">
        <v>2293</v>
      </c>
      <c r="M921" s="1665">
        <v>3.4749000000000002E-2</v>
      </c>
      <c r="N921" s="1666">
        <v>1.362364271970159</v>
      </c>
      <c r="O921" s="1666">
        <v>1.3869920651227561</v>
      </c>
    </row>
    <row r="922" spans="11:15">
      <c r="K922" s="1663">
        <v>42979</v>
      </c>
      <c r="L922" s="1664" t="s">
        <v>2293</v>
      </c>
      <c r="M922" s="1665">
        <v>3.4749000000000002E-2</v>
      </c>
      <c r="N922" s="1666">
        <v>1.3628376799310258</v>
      </c>
      <c r="O922" s="1666">
        <v>1.3877206659244856</v>
      </c>
    </row>
    <row r="923" spans="11:15">
      <c r="K923" s="1663">
        <v>42980</v>
      </c>
      <c r="L923" s="1664"/>
      <c r="M923" s="1665">
        <v>0</v>
      </c>
      <c r="N923" s="1666">
        <v>1.3628376799310258</v>
      </c>
      <c r="O923" s="1666">
        <v>1.3877206659244856</v>
      </c>
    </row>
    <row r="924" spans="11:15">
      <c r="K924" s="1663">
        <v>42981</v>
      </c>
      <c r="L924" s="1664"/>
      <c r="M924" s="1665">
        <v>0</v>
      </c>
      <c r="N924" s="1666">
        <v>1.3628376799310258</v>
      </c>
      <c r="O924" s="1666">
        <v>1.3877206659244856</v>
      </c>
    </row>
    <row r="925" spans="11:15">
      <c r="K925" s="1663">
        <v>42982</v>
      </c>
      <c r="L925" s="1664" t="s">
        <v>2293</v>
      </c>
      <c r="M925" s="1665">
        <v>3.4749000000000002E-2</v>
      </c>
      <c r="N925" s="1666">
        <v>1.363311252396425</v>
      </c>
      <c r="O925" s="1666">
        <v>1.3884496494675025</v>
      </c>
    </row>
    <row r="926" spans="11:15">
      <c r="K926" s="1663">
        <v>42983</v>
      </c>
      <c r="L926" s="1664" t="s">
        <v>2293</v>
      </c>
      <c r="M926" s="1665">
        <v>3.4749000000000002E-2</v>
      </c>
      <c r="N926" s="1666">
        <v>1.3637849894235203</v>
      </c>
      <c r="O926" s="1666">
        <v>1.3891790159528643</v>
      </c>
    </row>
    <row r="927" spans="11:15">
      <c r="K927" s="1663">
        <v>42984</v>
      </c>
      <c r="L927" s="1664" t="s">
        <v>2293</v>
      </c>
      <c r="M927" s="1665">
        <v>3.4749000000000002E-2</v>
      </c>
      <c r="N927" s="1666">
        <v>1.364258891069495</v>
      </c>
      <c r="O927" s="1666">
        <v>1.3899087655817346</v>
      </c>
    </row>
    <row r="928" spans="11:15">
      <c r="K928" s="1663">
        <v>42985</v>
      </c>
      <c r="L928" s="1664"/>
      <c r="M928" s="1665">
        <v>0</v>
      </c>
      <c r="N928" s="1666">
        <v>1.364258891069495</v>
      </c>
      <c r="O928" s="1666">
        <v>1.3899087655817346</v>
      </c>
    </row>
    <row r="929" spans="11:15">
      <c r="K929" s="1663">
        <v>42986</v>
      </c>
      <c r="L929" s="1664" t="s">
        <v>2293</v>
      </c>
      <c r="M929" s="1665">
        <v>3.1095999999999999E-2</v>
      </c>
      <c r="N929" s="1666">
        <v>1.364683121014262</v>
      </c>
      <c r="O929" s="1666">
        <v>1.3906388985553824</v>
      </c>
    </row>
    <row r="930" spans="11:15">
      <c r="K930" s="1663">
        <v>42987</v>
      </c>
      <c r="L930" s="1664"/>
      <c r="M930" s="1665">
        <v>0</v>
      </c>
      <c r="N930" s="1666">
        <v>1.364683121014262</v>
      </c>
      <c r="O930" s="1666">
        <v>1.3906388985553824</v>
      </c>
    </row>
    <row r="931" spans="11:15">
      <c r="K931" s="1663">
        <v>42988</v>
      </c>
      <c r="L931" s="1664"/>
      <c r="M931" s="1665">
        <v>0</v>
      </c>
      <c r="N931" s="1666">
        <v>1.364683121014262</v>
      </c>
      <c r="O931" s="1666">
        <v>1.3906388985553824</v>
      </c>
    </row>
    <row r="932" spans="11:15">
      <c r="K932" s="1663">
        <v>42989</v>
      </c>
      <c r="L932" s="1664" t="s">
        <v>2293</v>
      </c>
      <c r="M932" s="1665">
        <v>3.1095999999999999E-2</v>
      </c>
      <c r="N932" s="1666">
        <v>1.3651074828775727</v>
      </c>
      <c r="O932" s="1666">
        <v>1.3913694150751825</v>
      </c>
    </row>
    <row r="933" spans="11:15">
      <c r="K933" s="1663">
        <v>42990</v>
      </c>
      <c r="L933" s="1664" t="s">
        <v>2293</v>
      </c>
      <c r="M933" s="1665">
        <v>3.1095999999999999E-2</v>
      </c>
      <c r="N933" s="1666">
        <v>1.3655319767004481</v>
      </c>
      <c r="O933" s="1666">
        <v>1.3921003153426157</v>
      </c>
    </row>
    <row r="934" spans="11:15">
      <c r="K934" s="1663">
        <v>42991</v>
      </c>
      <c r="L934" s="1664" t="s">
        <v>2293</v>
      </c>
      <c r="M934" s="1665">
        <v>3.1095999999999999E-2</v>
      </c>
      <c r="N934" s="1666">
        <v>1.3659566025239229</v>
      </c>
      <c r="O934" s="1666">
        <v>1.3928315995592684</v>
      </c>
    </row>
    <row r="935" spans="11:15">
      <c r="K935" s="1663">
        <v>42992</v>
      </c>
      <c r="L935" s="1664" t="s">
        <v>2293</v>
      </c>
      <c r="M935" s="1665">
        <v>3.1095999999999999E-2</v>
      </c>
      <c r="N935" s="1666">
        <v>1.3663813603890438</v>
      </c>
      <c r="O935" s="1666">
        <v>1.3935632679268328</v>
      </c>
    </row>
    <row r="936" spans="11:15">
      <c r="K936" s="1663">
        <v>42993</v>
      </c>
      <c r="L936" s="1664" t="s">
        <v>2293</v>
      </c>
      <c r="M936" s="1665">
        <v>3.1095999999999999E-2</v>
      </c>
      <c r="N936" s="1666">
        <v>1.3668062503368703</v>
      </c>
      <c r="O936" s="1666">
        <v>1.3942953206471074</v>
      </c>
    </row>
    <row r="937" spans="11:15">
      <c r="K937" s="1663">
        <v>42994</v>
      </c>
      <c r="L937" s="1664"/>
      <c r="M937" s="1665">
        <v>0</v>
      </c>
      <c r="N937" s="1666">
        <v>1.3668062503368703</v>
      </c>
      <c r="O937" s="1666">
        <v>1.3942953206471074</v>
      </c>
    </row>
    <row r="938" spans="11:15">
      <c r="K938" s="1663">
        <v>42995</v>
      </c>
      <c r="L938" s="1664"/>
      <c r="M938" s="1665">
        <v>0</v>
      </c>
      <c r="N938" s="1666">
        <v>1.3668062503368703</v>
      </c>
      <c r="O938" s="1666">
        <v>1.3942953206471074</v>
      </c>
    </row>
    <row r="939" spans="11:15">
      <c r="K939" s="1663">
        <v>42996</v>
      </c>
      <c r="L939" s="1664" t="s">
        <v>2293</v>
      </c>
      <c r="M939" s="1665">
        <v>3.1095999999999999E-2</v>
      </c>
      <c r="N939" s="1666">
        <v>1.367231272408475</v>
      </c>
      <c r="O939" s="1666">
        <v>1.3950277579219965</v>
      </c>
    </row>
    <row r="940" spans="11:15">
      <c r="K940" s="1663">
        <v>42997</v>
      </c>
      <c r="L940" s="1664" t="s">
        <v>2293</v>
      </c>
      <c r="M940" s="1665">
        <v>3.1095999999999999E-2</v>
      </c>
      <c r="N940" s="1666">
        <v>1.3676564266449431</v>
      </c>
      <c r="O940" s="1666">
        <v>1.3957605799535104</v>
      </c>
    </row>
    <row r="941" spans="11:15">
      <c r="K941" s="1663">
        <v>42998</v>
      </c>
      <c r="L941" s="1664" t="s">
        <v>2293</v>
      </c>
      <c r="M941" s="1665">
        <v>3.1095999999999999E-2</v>
      </c>
      <c r="N941" s="1666">
        <v>1.3680817130873726</v>
      </c>
      <c r="O941" s="1666">
        <v>1.3964937869437659</v>
      </c>
    </row>
    <row r="942" spans="11:15">
      <c r="K942" s="1663">
        <v>42999</v>
      </c>
      <c r="L942" s="1664" t="s">
        <v>2293</v>
      </c>
      <c r="M942" s="1665">
        <v>3.1095999999999999E-2</v>
      </c>
      <c r="N942" s="1666">
        <v>1.3685071317768742</v>
      </c>
      <c r="O942" s="1666">
        <v>1.3972273790949854</v>
      </c>
    </row>
    <row r="943" spans="11:15">
      <c r="K943" s="1663">
        <v>43000</v>
      </c>
      <c r="L943" s="1664" t="s">
        <v>2293</v>
      </c>
      <c r="M943" s="1665">
        <v>3.1095999999999999E-2</v>
      </c>
      <c r="N943" s="1666">
        <v>1.3689326827545716</v>
      </c>
      <c r="O943" s="1666">
        <v>1.3979613566094977</v>
      </c>
    </row>
    <row r="944" spans="11:15">
      <c r="K944" s="1663">
        <v>43001</v>
      </c>
      <c r="L944" s="1664"/>
      <c r="M944" s="1665">
        <v>0</v>
      </c>
      <c r="N944" s="1666">
        <v>1.3689326827545716</v>
      </c>
      <c r="O944" s="1666">
        <v>1.3979613566094977</v>
      </c>
    </row>
    <row r="945" spans="11:15">
      <c r="K945" s="1663">
        <v>43002</v>
      </c>
      <c r="L945" s="1664"/>
      <c r="M945" s="1665">
        <v>0</v>
      </c>
      <c r="N945" s="1666">
        <v>1.3689326827545716</v>
      </c>
      <c r="O945" s="1666">
        <v>1.3979613566094977</v>
      </c>
    </row>
    <row r="946" spans="11:15">
      <c r="K946" s="1663">
        <v>43003</v>
      </c>
      <c r="L946" s="1664" t="s">
        <v>2293</v>
      </c>
      <c r="M946" s="1665">
        <v>3.1095999999999999E-2</v>
      </c>
      <c r="N946" s="1666">
        <v>1.3693583660616009</v>
      </c>
      <c r="O946" s="1666">
        <v>1.3986957196897383</v>
      </c>
    </row>
    <row r="947" spans="11:15">
      <c r="K947" s="1663">
        <v>43004</v>
      </c>
      <c r="L947" s="1664" t="s">
        <v>2293</v>
      </c>
      <c r="M947" s="1665">
        <v>3.1095999999999999E-2</v>
      </c>
      <c r="N947" s="1666">
        <v>1.3697841817391114</v>
      </c>
      <c r="O947" s="1666">
        <v>1.3994304685382486</v>
      </c>
    </row>
    <row r="948" spans="11:15">
      <c r="K948" s="1663">
        <v>43005</v>
      </c>
      <c r="L948" s="1664" t="s">
        <v>2293</v>
      </c>
      <c r="M948" s="1665">
        <v>3.1095999999999999E-2</v>
      </c>
      <c r="N948" s="1666">
        <v>1.370210129828265</v>
      </c>
      <c r="O948" s="1666">
        <v>1.4001656033576764</v>
      </c>
    </row>
    <row r="949" spans="11:15">
      <c r="K949" s="1663">
        <v>43006</v>
      </c>
      <c r="L949" s="1664" t="s">
        <v>2293</v>
      </c>
      <c r="M949" s="1665">
        <v>3.1095999999999999E-2</v>
      </c>
      <c r="N949" s="1666">
        <v>1.3706362103702363</v>
      </c>
      <c r="O949" s="1666">
        <v>1.4009011243507763</v>
      </c>
    </row>
    <row r="950" spans="11:15">
      <c r="K950" s="1663">
        <v>43007</v>
      </c>
      <c r="L950" s="1664" t="s">
        <v>2293</v>
      </c>
      <c r="M950" s="1665">
        <v>3.1095999999999999E-2</v>
      </c>
      <c r="N950" s="1666">
        <v>1.371062423406213</v>
      </c>
      <c r="O950" s="1666">
        <v>1.401637031720409</v>
      </c>
    </row>
    <row r="951" spans="11:15">
      <c r="K951" s="1663">
        <v>43008</v>
      </c>
      <c r="L951" s="1664"/>
      <c r="M951" s="1665">
        <v>0</v>
      </c>
      <c r="N951" s="1666">
        <v>1.371062423406213</v>
      </c>
      <c r="O951" s="1666">
        <v>1.401637031720409</v>
      </c>
    </row>
    <row r="952" spans="11:15">
      <c r="K952" s="1663">
        <v>43009</v>
      </c>
      <c r="L952" s="1664"/>
      <c r="M952" s="1665">
        <v>0</v>
      </c>
      <c r="N952" s="1666">
        <v>1.371062423406213</v>
      </c>
      <c r="O952" s="1666">
        <v>1.401637031720409</v>
      </c>
    </row>
    <row r="953" spans="11:15">
      <c r="K953" s="1663">
        <v>43010</v>
      </c>
      <c r="L953" s="1664" t="s">
        <v>2293</v>
      </c>
      <c r="M953" s="1665">
        <v>3.1095999999999999E-2</v>
      </c>
      <c r="N953" s="1666">
        <v>1.3714887689773954</v>
      </c>
      <c r="O953" s="1666">
        <v>1.4023733256695421</v>
      </c>
    </row>
    <row r="954" spans="11:15">
      <c r="K954" s="1663">
        <v>43011</v>
      </c>
      <c r="L954" s="1664" t="s">
        <v>2293</v>
      </c>
      <c r="M954" s="1665">
        <v>3.1095999999999999E-2</v>
      </c>
      <c r="N954" s="1666">
        <v>1.3719152471249965</v>
      </c>
      <c r="O954" s="1666">
        <v>1.4031100064012496</v>
      </c>
    </row>
    <row r="955" spans="11:15">
      <c r="K955" s="1663">
        <v>43012</v>
      </c>
      <c r="L955" s="1664" t="s">
        <v>2293</v>
      </c>
      <c r="M955" s="1665">
        <v>3.1095999999999999E-2</v>
      </c>
      <c r="N955" s="1666">
        <v>1.3723418578902424</v>
      </c>
      <c r="O955" s="1666">
        <v>1.4038470741187123</v>
      </c>
    </row>
    <row r="956" spans="11:15">
      <c r="K956" s="1663">
        <v>43013</v>
      </c>
      <c r="L956" s="1664" t="s">
        <v>2293</v>
      </c>
      <c r="M956" s="1665">
        <v>3.1095999999999999E-2</v>
      </c>
      <c r="N956" s="1666">
        <v>1.3727686013143718</v>
      </c>
      <c r="O956" s="1666">
        <v>1.4045845290252177</v>
      </c>
    </row>
    <row r="957" spans="11:15">
      <c r="K957" s="1663">
        <v>43014</v>
      </c>
      <c r="L957" s="1664" t="s">
        <v>2293</v>
      </c>
      <c r="M957" s="1665">
        <v>3.1095999999999999E-2</v>
      </c>
      <c r="N957" s="1666">
        <v>1.3731954774386366</v>
      </c>
      <c r="O957" s="1666">
        <v>1.4053223713241598</v>
      </c>
    </row>
    <row r="958" spans="11:15">
      <c r="K958" s="1663">
        <v>43015</v>
      </c>
      <c r="L958" s="1664"/>
      <c r="M958" s="1665">
        <v>0</v>
      </c>
      <c r="N958" s="1666">
        <v>1.3731954774386366</v>
      </c>
      <c r="O958" s="1666">
        <v>1.4053223713241598</v>
      </c>
    </row>
    <row r="959" spans="11:15">
      <c r="K959" s="1663">
        <v>43016</v>
      </c>
      <c r="L959" s="1664"/>
      <c r="M959" s="1665">
        <v>0</v>
      </c>
      <c r="N959" s="1666">
        <v>1.3731954774386366</v>
      </c>
      <c r="O959" s="1666">
        <v>1.4053223713241598</v>
      </c>
    </row>
    <row r="960" spans="11:15">
      <c r="K960" s="1663">
        <v>43017</v>
      </c>
      <c r="L960" s="1664" t="s">
        <v>2293</v>
      </c>
      <c r="M960" s="1665">
        <v>3.1095999999999999E-2</v>
      </c>
      <c r="N960" s="1666">
        <v>1.3736224863043009</v>
      </c>
      <c r="O960" s="1666">
        <v>1.4060606012190402</v>
      </c>
    </row>
    <row r="961" spans="11:15">
      <c r="K961" s="1663">
        <v>43018</v>
      </c>
      <c r="L961" s="1664" t="s">
        <v>2293</v>
      </c>
      <c r="M961" s="1665">
        <v>3.1095999999999999E-2</v>
      </c>
      <c r="N961" s="1666">
        <v>1.3740496279526422</v>
      </c>
      <c r="O961" s="1666">
        <v>1.4067992189134666</v>
      </c>
    </row>
    <row r="962" spans="11:15">
      <c r="K962" s="1663">
        <v>43019</v>
      </c>
      <c r="L962" s="1664" t="s">
        <v>2293</v>
      </c>
      <c r="M962" s="1665">
        <v>3.1095999999999999E-2</v>
      </c>
      <c r="N962" s="1666">
        <v>1.3744769024249504</v>
      </c>
      <c r="O962" s="1666">
        <v>1.4075382246111541</v>
      </c>
    </row>
    <row r="963" spans="11:15">
      <c r="K963" s="1663">
        <v>43020</v>
      </c>
      <c r="L963" s="1664"/>
      <c r="M963" s="1665">
        <v>0</v>
      </c>
      <c r="N963" s="1666">
        <v>1.3744769024249504</v>
      </c>
      <c r="O963" s="1666">
        <v>1.4075382246111541</v>
      </c>
    </row>
    <row r="964" spans="11:15">
      <c r="K964" s="1663">
        <v>43021</v>
      </c>
      <c r="L964" s="1664" t="s">
        <v>2293</v>
      </c>
      <c r="M964" s="1665">
        <v>3.1095999999999999E-2</v>
      </c>
      <c r="N964" s="1666">
        <v>1.3749043097625284</v>
      </c>
      <c r="O964" s="1666">
        <v>1.4082776185159245</v>
      </c>
    </row>
    <row r="965" spans="11:15">
      <c r="K965" s="1663">
        <v>43022</v>
      </c>
      <c r="L965" s="1664"/>
      <c r="M965" s="1665">
        <v>0</v>
      </c>
      <c r="N965" s="1666">
        <v>1.3749043097625284</v>
      </c>
      <c r="O965" s="1666">
        <v>1.4082776185159245</v>
      </c>
    </row>
    <row r="966" spans="11:15">
      <c r="K966" s="1663">
        <v>43023</v>
      </c>
      <c r="L966" s="1664"/>
      <c r="M966" s="1665">
        <v>0</v>
      </c>
      <c r="N966" s="1666">
        <v>1.3749043097625284</v>
      </c>
      <c r="O966" s="1666">
        <v>1.4082776185159245</v>
      </c>
    </row>
    <row r="967" spans="11:15">
      <c r="K967" s="1663">
        <v>43024</v>
      </c>
      <c r="L967" s="1664" t="s">
        <v>2293</v>
      </c>
      <c r="M967" s="1665">
        <v>3.1095999999999999E-2</v>
      </c>
      <c r="N967" s="1666">
        <v>1.3753318500066922</v>
      </c>
      <c r="O967" s="1666">
        <v>1.4090174008317071</v>
      </c>
    </row>
    <row r="968" spans="11:15">
      <c r="K968" s="1663">
        <v>43025</v>
      </c>
      <c r="L968" s="1664" t="s">
        <v>2293</v>
      </c>
      <c r="M968" s="1665">
        <v>3.1095999999999999E-2</v>
      </c>
      <c r="N968" s="1666">
        <v>1.3757595231987703</v>
      </c>
      <c r="O968" s="1666">
        <v>1.4097575717625381</v>
      </c>
    </row>
    <row r="969" spans="11:15">
      <c r="K969" s="1663">
        <v>43026</v>
      </c>
      <c r="L969" s="1664" t="s">
        <v>2293</v>
      </c>
      <c r="M969" s="1665">
        <v>3.1095999999999999E-2</v>
      </c>
      <c r="N969" s="1666">
        <v>1.3761873293801041</v>
      </c>
      <c r="O969" s="1666">
        <v>1.4104981315125606</v>
      </c>
    </row>
    <row r="970" spans="11:15">
      <c r="K970" s="1663">
        <v>43027</v>
      </c>
      <c r="L970" s="1664" t="s">
        <v>2293</v>
      </c>
      <c r="M970" s="1665">
        <v>3.1095999999999999E-2</v>
      </c>
      <c r="N970" s="1666">
        <v>1.3766152685920481</v>
      </c>
      <c r="O970" s="1666">
        <v>1.4112390802860255</v>
      </c>
    </row>
    <row r="971" spans="11:15">
      <c r="K971" s="1663">
        <v>43028</v>
      </c>
      <c r="L971" s="1664" t="s">
        <v>2293</v>
      </c>
      <c r="M971" s="1665">
        <v>3.1095999999999999E-2</v>
      </c>
      <c r="N971" s="1666">
        <v>1.3770433408759695</v>
      </c>
      <c r="O971" s="1666">
        <v>1.4119804182872906</v>
      </c>
    </row>
    <row r="972" spans="11:15">
      <c r="K972" s="1663">
        <v>43029</v>
      </c>
      <c r="L972" s="1664"/>
      <c r="M972" s="1665">
        <v>0</v>
      </c>
      <c r="N972" s="1666">
        <v>1.3770433408759695</v>
      </c>
      <c r="O972" s="1666">
        <v>1.4119804182872906</v>
      </c>
    </row>
    <row r="973" spans="11:15">
      <c r="K973" s="1663">
        <v>43030</v>
      </c>
      <c r="L973" s="1664"/>
      <c r="M973" s="1665">
        <v>0</v>
      </c>
      <c r="N973" s="1666">
        <v>1.3770433408759695</v>
      </c>
      <c r="O973" s="1666">
        <v>1.4119804182872906</v>
      </c>
    </row>
    <row r="974" spans="11:15">
      <c r="K974" s="1663">
        <v>43031</v>
      </c>
      <c r="L974" s="1664" t="s">
        <v>2293</v>
      </c>
      <c r="M974" s="1665">
        <v>3.1095999999999999E-2</v>
      </c>
      <c r="N974" s="1666">
        <v>1.3774715462732483</v>
      </c>
      <c r="O974" s="1666">
        <v>1.412722145720821</v>
      </c>
    </row>
    <row r="975" spans="11:15">
      <c r="K975" s="1663">
        <v>43032</v>
      </c>
      <c r="L975" s="1664" t="s">
        <v>2293</v>
      </c>
      <c r="M975" s="1665">
        <v>3.1095999999999999E-2</v>
      </c>
      <c r="N975" s="1666">
        <v>1.3778998848252775</v>
      </c>
      <c r="O975" s="1666">
        <v>1.4134642627911895</v>
      </c>
    </row>
    <row r="976" spans="11:15">
      <c r="K976" s="1663">
        <v>43033</v>
      </c>
      <c r="L976" s="1664" t="s">
        <v>2293</v>
      </c>
      <c r="M976" s="1665">
        <v>3.1095999999999999E-2</v>
      </c>
      <c r="N976" s="1666">
        <v>1.3783283565734628</v>
      </c>
      <c r="O976" s="1666">
        <v>1.4142067697030765</v>
      </c>
    </row>
    <row r="977" spans="11:15">
      <c r="K977" s="1663">
        <v>43034</v>
      </c>
      <c r="L977" s="1664" t="s">
        <v>2293</v>
      </c>
      <c r="M977" s="1665">
        <v>2.8333000000000001E-2</v>
      </c>
      <c r="N977" s="1666">
        <v>1.3787188783467308</v>
      </c>
      <c r="O977" s="1666">
        <v>1.4149496666612691</v>
      </c>
    </row>
    <row r="978" spans="11:15">
      <c r="K978" s="1663">
        <v>43035</v>
      </c>
      <c r="L978" s="1664" t="s">
        <v>2293</v>
      </c>
      <c r="M978" s="1665">
        <v>2.8333000000000001E-2</v>
      </c>
      <c r="N978" s="1666">
        <v>1.3791095107665328</v>
      </c>
      <c r="O978" s="1666">
        <v>1.4156929538706629</v>
      </c>
    </row>
    <row r="979" spans="11:15">
      <c r="K979" s="1663">
        <v>43036</v>
      </c>
      <c r="L979" s="1664"/>
      <c r="M979" s="1665">
        <v>0</v>
      </c>
      <c r="N979" s="1666">
        <v>1.3791095107665328</v>
      </c>
      <c r="O979" s="1666">
        <v>1.4156929538706629</v>
      </c>
    </row>
    <row r="980" spans="11:15">
      <c r="K980" s="1663">
        <v>43037</v>
      </c>
      <c r="L980" s="1664"/>
      <c r="M980" s="1665">
        <v>0</v>
      </c>
      <c r="N980" s="1666">
        <v>1.3791095107665328</v>
      </c>
      <c r="O980" s="1666">
        <v>1.4156929538706629</v>
      </c>
    </row>
    <row r="981" spans="11:15">
      <c r="K981" s="1663">
        <v>43038</v>
      </c>
      <c r="L981" s="1664" t="s">
        <v>2293</v>
      </c>
      <c r="M981" s="1665">
        <v>2.8333000000000001E-2</v>
      </c>
      <c r="N981" s="1666">
        <v>1.3795002538642183</v>
      </c>
      <c r="O981" s="1666">
        <v>1.4164366315362606</v>
      </c>
    </row>
    <row r="982" spans="11:15">
      <c r="K982" s="1663">
        <v>43039</v>
      </c>
      <c r="L982" s="1664" t="s">
        <v>2293</v>
      </c>
      <c r="M982" s="1665">
        <v>2.8333000000000001E-2</v>
      </c>
      <c r="N982" s="1666">
        <v>1.3798911076711458</v>
      </c>
      <c r="O982" s="1666">
        <v>1.4171806998631729</v>
      </c>
    </row>
    <row r="983" spans="11:15">
      <c r="K983" s="1663">
        <v>43040</v>
      </c>
      <c r="L983" s="1664" t="s">
        <v>2293</v>
      </c>
      <c r="M983" s="1665">
        <v>2.8333000000000001E-2</v>
      </c>
      <c r="N983" s="1666">
        <v>1.3802820722186822</v>
      </c>
      <c r="O983" s="1666">
        <v>1.417925159056618</v>
      </c>
    </row>
    <row r="984" spans="11:15">
      <c r="K984" s="1663">
        <v>43041</v>
      </c>
      <c r="L984" s="1664"/>
      <c r="M984" s="1665">
        <v>0</v>
      </c>
      <c r="N984" s="1666">
        <v>1.3802820722186822</v>
      </c>
      <c r="O984" s="1666">
        <v>1.417925159056618</v>
      </c>
    </row>
    <row r="985" spans="11:15">
      <c r="K985" s="1663">
        <v>43042</v>
      </c>
      <c r="L985" s="1664" t="s">
        <v>2293</v>
      </c>
      <c r="M985" s="1665">
        <v>2.8333000000000001E-2</v>
      </c>
      <c r="N985" s="1666">
        <v>1.3806731475382039</v>
      </c>
      <c r="O985" s="1666">
        <v>1.418670009321922</v>
      </c>
    </row>
    <row r="986" spans="11:15">
      <c r="K986" s="1663">
        <v>43043</v>
      </c>
      <c r="L986" s="1664"/>
      <c r="M986" s="1665">
        <v>0</v>
      </c>
      <c r="N986" s="1666">
        <v>1.3806731475382039</v>
      </c>
      <c r="O986" s="1666">
        <v>1.418670009321922</v>
      </c>
    </row>
    <row r="987" spans="11:15">
      <c r="K987" s="1663">
        <v>43044</v>
      </c>
      <c r="L987" s="1664"/>
      <c r="M987" s="1665">
        <v>0</v>
      </c>
      <c r="N987" s="1666">
        <v>1.3806731475382039</v>
      </c>
      <c r="O987" s="1666">
        <v>1.418670009321922</v>
      </c>
    </row>
    <row r="988" spans="11:15">
      <c r="K988" s="1663">
        <v>43045</v>
      </c>
      <c r="L988" s="1664" t="s">
        <v>2293</v>
      </c>
      <c r="M988" s="1665">
        <v>2.8333000000000001E-2</v>
      </c>
      <c r="N988" s="1666">
        <v>1.3810643336610959</v>
      </c>
      <c r="O988" s="1666">
        <v>1.4194152508645188</v>
      </c>
    </row>
    <row r="989" spans="11:15">
      <c r="K989" s="1663">
        <v>43046</v>
      </c>
      <c r="L989" s="1664" t="s">
        <v>2293</v>
      </c>
      <c r="M989" s="1665">
        <v>2.8333000000000001E-2</v>
      </c>
      <c r="N989" s="1666">
        <v>1.3814556306187522</v>
      </c>
      <c r="O989" s="1666">
        <v>1.4201608838899504</v>
      </c>
    </row>
    <row r="990" spans="11:15">
      <c r="K990" s="1663">
        <v>43047</v>
      </c>
      <c r="L990" s="1664" t="s">
        <v>2293</v>
      </c>
      <c r="M990" s="1665">
        <v>2.8333000000000001E-2</v>
      </c>
      <c r="N990" s="1666">
        <v>1.3818470384425754</v>
      </c>
      <c r="O990" s="1666">
        <v>1.4209069086038666</v>
      </c>
    </row>
    <row r="991" spans="11:15">
      <c r="K991" s="1663">
        <v>43048</v>
      </c>
      <c r="L991" s="1664" t="s">
        <v>2293</v>
      </c>
      <c r="M991" s="1665">
        <v>2.8333000000000001E-2</v>
      </c>
      <c r="N991" s="1666">
        <v>1.3822385571639773</v>
      </c>
      <c r="O991" s="1666">
        <v>1.4216533252120254</v>
      </c>
    </row>
    <row r="992" spans="11:15">
      <c r="K992" s="1663">
        <v>43049</v>
      </c>
      <c r="L992" s="1664" t="s">
        <v>2293</v>
      </c>
      <c r="M992" s="1665">
        <v>2.8333000000000001E-2</v>
      </c>
      <c r="N992" s="1666">
        <v>1.3826301868143787</v>
      </c>
      <c r="O992" s="1666">
        <v>1.4224001339202925</v>
      </c>
    </row>
    <row r="993" spans="11:15">
      <c r="K993" s="1663">
        <v>43050</v>
      </c>
      <c r="L993" s="1664"/>
      <c r="M993" s="1665">
        <v>0</v>
      </c>
      <c r="N993" s="1666">
        <v>1.3826301868143787</v>
      </c>
      <c r="O993" s="1666">
        <v>1.4224001339202925</v>
      </c>
    </row>
    <row r="994" spans="11:15">
      <c r="K994" s="1663">
        <v>43051</v>
      </c>
      <c r="L994" s="1664"/>
      <c r="M994" s="1665">
        <v>0</v>
      </c>
      <c r="N994" s="1666">
        <v>1.3826301868143787</v>
      </c>
      <c r="O994" s="1666">
        <v>1.4224001339202925</v>
      </c>
    </row>
    <row r="995" spans="11:15">
      <c r="K995" s="1663">
        <v>43052</v>
      </c>
      <c r="L995" s="1664" t="s">
        <v>2293</v>
      </c>
      <c r="M995" s="1665">
        <v>2.8333000000000001E-2</v>
      </c>
      <c r="N995" s="1666">
        <v>1.3830219274252089</v>
      </c>
      <c r="O995" s="1666">
        <v>1.4231473349346422</v>
      </c>
    </row>
    <row r="996" spans="11:15">
      <c r="K996" s="1663">
        <v>43053</v>
      </c>
      <c r="L996" s="1664" t="s">
        <v>2293</v>
      </c>
      <c r="M996" s="1665">
        <v>2.8333000000000001E-2</v>
      </c>
      <c r="N996" s="1666">
        <v>1.3834137790279064</v>
      </c>
      <c r="O996" s="1666">
        <v>1.4238949284611566</v>
      </c>
    </row>
    <row r="997" spans="11:15">
      <c r="K997" s="1663">
        <v>43054</v>
      </c>
      <c r="L997" s="1664"/>
      <c r="M997" s="1665">
        <v>0</v>
      </c>
      <c r="N997" s="1666">
        <v>1.3834137790279064</v>
      </c>
      <c r="O997" s="1666">
        <v>1.4238949284611566</v>
      </c>
    </row>
    <row r="998" spans="11:15">
      <c r="K998" s="1663">
        <v>43055</v>
      </c>
      <c r="L998" s="1664" t="s">
        <v>2293</v>
      </c>
      <c r="M998" s="1665">
        <v>2.8333000000000001E-2</v>
      </c>
      <c r="N998" s="1666">
        <v>1.3838057416539185</v>
      </c>
      <c r="O998" s="1666">
        <v>1.4246429147060264</v>
      </c>
    </row>
    <row r="999" spans="11:15">
      <c r="K999" s="1663">
        <v>43056</v>
      </c>
      <c r="L999" s="1664" t="s">
        <v>2293</v>
      </c>
      <c r="M999" s="1665">
        <v>2.8333000000000001E-2</v>
      </c>
      <c r="N999" s="1666">
        <v>1.3841978153347012</v>
      </c>
      <c r="O999" s="1666">
        <v>1.4253912938755506</v>
      </c>
    </row>
    <row r="1000" spans="11:15">
      <c r="K1000" s="1663">
        <v>43057</v>
      </c>
      <c r="L1000" s="1664"/>
      <c r="M1000" s="1665">
        <v>0</v>
      </c>
      <c r="N1000" s="1666">
        <v>1.3841978153347012</v>
      </c>
      <c r="O1000" s="1666">
        <v>1.4253912938755506</v>
      </c>
    </row>
    <row r="1001" spans="11:15">
      <c r="K1001" s="1663">
        <v>43058</v>
      </c>
      <c r="L1001" s="1664"/>
      <c r="M1001" s="1665">
        <v>0</v>
      </c>
      <c r="N1001" s="1666">
        <v>1.3841978153347012</v>
      </c>
      <c r="O1001" s="1666">
        <v>1.4253912938755506</v>
      </c>
    </row>
    <row r="1002" spans="11:15">
      <c r="K1002" s="1663">
        <v>43059</v>
      </c>
      <c r="L1002" s="1664" t="s">
        <v>2293</v>
      </c>
      <c r="M1002" s="1665">
        <v>2.8333000000000001E-2</v>
      </c>
      <c r="N1002" s="1666">
        <v>1.38459000010172</v>
      </c>
      <c r="O1002" s="1666">
        <v>1.4261400661761363</v>
      </c>
    </row>
    <row r="1003" spans="11:15">
      <c r="K1003" s="1663">
        <v>43060</v>
      </c>
      <c r="L1003" s="1664" t="s">
        <v>2293</v>
      </c>
      <c r="M1003" s="1665">
        <v>2.8333000000000001E-2</v>
      </c>
      <c r="N1003" s="1666">
        <v>1.3849822959864488</v>
      </c>
      <c r="O1003" s="1666">
        <v>1.4268892318142994</v>
      </c>
    </row>
    <row r="1004" spans="11:15">
      <c r="K1004" s="1663">
        <v>43061</v>
      </c>
      <c r="L1004" s="1664" t="s">
        <v>2293</v>
      </c>
      <c r="M1004" s="1665">
        <v>2.8333000000000001E-2</v>
      </c>
      <c r="N1004" s="1666">
        <v>1.3853747030203707</v>
      </c>
      <c r="O1004" s="1666">
        <v>1.4276387909966637</v>
      </c>
    </row>
    <row r="1005" spans="11:15">
      <c r="K1005" s="1663">
        <v>43062</v>
      </c>
      <c r="L1005" s="1664" t="s">
        <v>2293</v>
      </c>
      <c r="M1005" s="1665">
        <v>2.8333000000000001E-2</v>
      </c>
      <c r="N1005" s="1666">
        <v>1.3857672212349774</v>
      </c>
      <c r="O1005" s="1666">
        <v>1.4283887439299621</v>
      </c>
    </row>
    <row r="1006" spans="11:15">
      <c r="K1006" s="1663">
        <v>43063</v>
      </c>
      <c r="L1006" s="1664" t="s">
        <v>2293</v>
      </c>
      <c r="M1006" s="1665">
        <v>2.8333000000000001E-2</v>
      </c>
      <c r="N1006" s="1666">
        <v>1.3861598506617701</v>
      </c>
      <c r="O1006" s="1666">
        <v>1.429139090821036</v>
      </c>
    </row>
    <row r="1007" spans="11:15">
      <c r="K1007" s="1663">
        <v>43064</v>
      </c>
      <c r="L1007" s="1664"/>
      <c r="M1007" s="1665">
        <v>0</v>
      </c>
      <c r="N1007" s="1666">
        <v>1.3861598506617701</v>
      </c>
      <c r="O1007" s="1666">
        <v>1.429139090821036</v>
      </c>
    </row>
    <row r="1008" spans="11:15">
      <c r="K1008" s="1663">
        <v>43065</v>
      </c>
      <c r="L1008" s="1664"/>
      <c r="M1008" s="1665">
        <v>0</v>
      </c>
      <c r="N1008" s="1666">
        <v>1.3861598506617701</v>
      </c>
      <c r="O1008" s="1666">
        <v>1.429139090821036</v>
      </c>
    </row>
    <row r="1009" spans="11:15">
      <c r="K1009" s="1663">
        <v>43066</v>
      </c>
      <c r="L1009" s="1664" t="s">
        <v>2293</v>
      </c>
      <c r="M1009" s="1665">
        <v>2.8333000000000001E-2</v>
      </c>
      <c r="N1009" s="1666">
        <v>1.3865525913322581</v>
      </c>
      <c r="O1009" s="1666">
        <v>1.4298898318768352</v>
      </c>
    </row>
    <row r="1010" spans="11:15">
      <c r="K1010" s="1663">
        <v>43067</v>
      </c>
      <c r="L1010" s="1664" t="s">
        <v>2293</v>
      </c>
      <c r="M1010" s="1665">
        <v>2.8333000000000001E-2</v>
      </c>
      <c r="N1010" s="1666">
        <v>1.3869454432779602</v>
      </c>
      <c r="O1010" s="1666">
        <v>1.4306409673044185</v>
      </c>
    </row>
    <row r="1011" spans="11:15">
      <c r="K1011" s="1663">
        <v>43068</v>
      </c>
      <c r="L1011" s="1664" t="s">
        <v>2293</v>
      </c>
      <c r="M1011" s="1665">
        <v>2.8333000000000001E-2</v>
      </c>
      <c r="N1011" s="1666">
        <v>1.3873384065304042</v>
      </c>
      <c r="O1011" s="1666">
        <v>1.4313924973109531</v>
      </c>
    </row>
    <row r="1012" spans="11:15">
      <c r="K1012" s="1663">
        <v>43069</v>
      </c>
      <c r="L1012" s="1664" t="s">
        <v>2293</v>
      </c>
      <c r="M1012" s="1665">
        <v>2.8333000000000001E-2</v>
      </c>
      <c r="N1012" s="1666">
        <v>1.3877314811211265</v>
      </c>
      <c r="O1012" s="1666">
        <v>1.4321444221037154</v>
      </c>
    </row>
    <row r="1013" spans="11:15">
      <c r="K1013" s="1663">
        <v>43070</v>
      </c>
      <c r="L1013" s="1664" t="s">
        <v>2293</v>
      </c>
      <c r="M1013" s="1665">
        <v>2.8333000000000001E-2</v>
      </c>
      <c r="N1013" s="1666">
        <v>1.3881246670816727</v>
      </c>
      <c r="O1013" s="1666">
        <v>1.4328967418900906</v>
      </c>
    </row>
    <row r="1014" spans="11:15">
      <c r="K1014" s="1663">
        <v>43071</v>
      </c>
      <c r="L1014" s="1664"/>
      <c r="M1014" s="1665">
        <v>0</v>
      </c>
      <c r="N1014" s="1666">
        <v>1.3881246670816727</v>
      </c>
      <c r="O1014" s="1666">
        <v>1.4328967418900906</v>
      </c>
    </row>
    <row r="1015" spans="11:15">
      <c r="K1015" s="1663">
        <v>43072</v>
      </c>
      <c r="L1015" s="1664"/>
      <c r="M1015" s="1665">
        <v>0</v>
      </c>
      <c r="N1015" s="1666">
        <v>1.3881246670816727</v>
      </c>
      <c r="O1015" s="1666">
        <v>1.4328967418900906</v>
      </c>
    </row>
    <row r="1016" spans="11:15">
      <c r="K1016" s="1663">
        <v>43073</v>
      </c>
      <c r="L1016" s="1664" t="s">
        <v>2293</v>
      </c>
      <c r="M1016" s="1665">
        <v>2.8333000000000001E-2</v>
      </c>
      <c r="N1016" s="1666">
        <v>1.388517964443597</v>
      </c>
      <c r="O1016" s="1666">
        <v>1.4336494568775728</v>
      </c>
    </row>
    <row r="1017" spans="11:15">
      <c r="K1017" s="1663">
        <v>43074</v>
      </c>
      <c r="L1017" s="1664" t="s">
        <v>2293</v>
      </c>
      <c r="M1017" s="1665">
        <v>2.8333000000000001E-2</v>
      </c>
      <c r="N1017" s="1666">
        <v>1.3889113732384628</v>
      </c>
      <c r="O1017" s="1666">
        <v>1.4344025672737652</v>
      </c>
    </row>
    <row r="1018" spans="11:15">
      <c r="K1018" s="1663">
        <v>43075</v>
      </c>
      <c r="L1018" s="1664" t="s">
        <v>2293</v>
      </c>
      <c r="M1018" s="1665">
        <v>2.8333000000000001E-2</v>
      </c>
      <c r="N1018" s="1666">
        <v>1.3893048934978425</v>
      </c>
      <c r="O1018" s="1666">
        <v>1.4351560732863797</v>
      </c>
    </row>
    <row r="1019" spans="11:15">
      <c r="K1019" s="1663">
        <v>43076</v>
      </c>
      <c r="L1019" s="1664" t="s">
        <v>2293</v>
      </c>
      <c r="M1019" s="1665">
        <v>2.6481000000000001E-2</v>
      </c>
      <c r="N1019" s="1666">
        <v>1.3896727953266896</v>
      </c>
      <c r="O1019" s="1666">
        <v>1.4359099751232378</v>
      </c>
    </row>
    <row r="1020" spans="11:15">
      <c r="K1020" s="1663">
        <v>43077</v>
      </c>
      <c r="L1020" s="1664" t="s">
        <v>2293</v>
      </c>
      <c r="M1020" s="1665">
        <v>2.6481000000000001E-2</v>
      </c>
      <c r="N1020" s="1666">
        <v>1.39004079457962</v>
      </c>
      <c r="O1020" s="1666">
        <v>1.4366642729922698</v>
      </c>
    </row>
    <row r="1021" spans="11:15">
      <c r="K1021" s="1663">
        <v>43078</v>
      </c>
      <c r="L1021" s="1664"/>
      <c r="M1021" s="1665">
        <v>0</v>
      </c>
      <c r="N1021" s="1666">
        <v>1.39004079457962</v>
      </c>
      <c r="O1021" s="1666">
        <v>1.4366642729922698</v>
      </c>
    </row>
    <row r="1022" spans="11:15">
      <c r="K1022" s="1663">
        <v>43079</v>
      </c>
      <c r="L1022" s="1664"/>
      <c r="M1022" s="1665">
        <v>0</v>
      </c>
      <c r="N1022" s="1666">
        <v>1.39004079457962</v>
      </c>
      <c r="O1022" s="1666">
        <v>1.4366642729922698</v>
      </c>
    </row>
    <row r="1023" spans="11:15">
      <c r="K1023" s="1663">
        <v>43080</v>
      </c>
      <c r="L1023" s="1664" t="s">
        <v>2293</v>
      </c>
      <c r="M1023" s="1665">
        <v>2.6481000000000001E-2</v>
      </c>
      <c r="N1023" s="1666">
        <v>1.3904088912824326</v>
      </c>
      <c r="O1023" s="1666">
        <v>1.4374189671015154</v>
      </c>
    </row>
    <row r="1024" spans="11:15">
      <c r="K1024" s="1663">
        <v>43081</v>
      </c>
      <c r="L1024" s="1664" t="s">
        <v>2293</v>
      </c>
      <c r="M1024" s="1665">
        <v>2.6481000000000001E-2</v>
      </c>
      <c r="N1024" s="1666">
        <v>1.3907770854609331</v>
      </c>
      <c r="O1024" s="1666">
        <v>1.4381740576591235</v>
      </c>
    </row>
    <row r="1025" spans="11:15">
      <c r="K1025" s="1663">
        <v>43082</v>
      </c>
      <c r="L1025" s="1664" t="s">
        <v>2293</v>
      </c>
      <c r="M1025" s="1665">
        <v>2.6481000000000001E-2</v>
      </c>
      <c r="N1025" s="1666">
        <v>1.3911453771409341</v>
      </c>
      <c r="O1025" s="1666">
        <v>1.4389295448733526</v>
      </c>
    </row>
    <row r="1026" spans="11:15">
      <c r="K1026" s="1663">
        <v>43083</v>
      </c>
      <c r="L1026" s="1664" t="s">
        <v>2293</v>
      </c>
      <c r="M1026" s="1665">
        <v>2.6481000000000001E-2</v>
      </c>
      <c r="N1026" s="1666">
        <v>1.3915137663482549</v>
      </c>
      <c r="O1026" s="1666">
        <v>1.43968542895257</v>
      </c>
    </row>
    <row r="1027" spans="11:15">
      <c r="K1027" s="1663">
        <v>43084</v>
      </c>
      <c r="L1027" s="1664" t="s">
        <v>2293</v>
      </c>
      <c r="M1027" s="1665">
        <v>2.6481000000000001E-2</v>
      </c>
      <c r="N1027" s="1666">
        <v>1.3918822531087216</v>
      </c>
      <c r="O1027" s="1666">
        <v>1.4404417101052531</v>
      </c>
    </row>
    <row r="1028" spans="11:15">
      <c r="K1028" s="1663">
        <v>43085</v>
      </c>
      <c r="L1028" s="1664"/>
      <c r="M1028" s="1665">
        <v>0</v>
      </c>
      <c r="N1028" s="1666">
        <v>1.3918822531087216</v>
      </c>
      <c r="O1028" s="1666">
        <v>1.4404417101052531</v>
      </c>
    </row>
    <row r="1029" spans="11:15">
      <c r="K1029" s="1663">
        <v>43086</v>
      </c>
      <c r="L1029" s="1664"/>
      <c r="M1029" s="1665">
        <v>0</v>
      </c>
      <c r="N1029" s="1666">
        <v>1.3918822531087216</v>
      </c>
      <c r="O1029" s="1666">
        <v>1.4404417101052531</v>
      </c>
    </row>
    <row r="1030" spans="11:15">
      <c r="K1030" s="1663">
        <v>43087</v>
      </c>
      <c r="L1030" s="1664" t="s">
        <v>2293</v>
      </c>
      <c r="M1030" s="1665">
        <v>2.6481000000000001E-2</v>
      </c>
      <c r="N1030" s="1666">
        <v>1.3922508374481672</v>
      </c>
      <c r="O1030" s="1666">
        <v>1.4411983885399886</v>
      </c>
    </row>
    <row r="1031" spans="11:15">
      <c r="K1031" s="1663">
        <v>43088</v>
      </c>
      <c r="L1031" s="1664" t="s">
        <v>2293</v>
      </c>
      <c r="M1031" s="1665">
        <v>2.6481000000000001E-2</v>
      </c>
      <c r="N1031" s="1666">
        <v>1.392619519392432</v>
      </c>
      <c r="O1031" s="1666">
        <v>1.4419554644654726</v>
      </c>
    </row>
    <row r="1032" spans="11:15">
      <c r="K1032" s="1663">
        <v>43089</v>
      </c>
      <c r="L1032" s="1664" t="s">
        <v>2293</v>
      </c>
      <c r="M1032" s="1665">
        <v>2.6481000000000001E-2</v>
      </c>
      <c r="N1032" s="1666">
        <v>1.3929882989673623</v>
      </c>
      <c r="O1032" s="1666">
        <v>1.442712938090511</v>
      </c>
    </row>
    <row r="1033" spans="11:15">
      <c r="K1033" s="1663">
        <v>43090</v>
      </c>
      <c r="L1033" s="1664" t="s">
        <v>2293</v>
      </c>
      <c r="M1033" s="1665">
        <v>2.6481000000000001E-2</v>
      </c>
      <c r="N1033" s="1666">
        <v>1.3933571761988119</v>
      </c>
      <c r="O1033" s="1666">
        <v>1.4434708096240194</v>
      </c>
    </row>
    <row r="1034" spans="11:15">
      <c r="K1034" s="1663">
        <v>43091</v>
      </c>
      <c r="L1034" s="1664" t="s">
        <v>2293</v>
      </c>
      <c r="M1034" s="1665">
        <v>2.6481000000000001E-2</v>
      </c>
      <c r="N1034" s="1666">
        <v>1.3937261511126411</v>
      </c>
      <c r="O1034" s="1666">
        <v>1.444229079275023</v>
      </c>
    </row>
    <row r="1035" spans="11:15">
      <c r="K1035" s="1663">
        <v>43092</v>
      </c>
      <c r="L1035" s="1664"/>
      <c r="M1035" s="1665">
        <v>0</v>
      </c>
      <c r="N1035" s="1666">
        <v>1.3937261511126411</v>
      </c>
      <c r="O1035" s="1666">
        <v>1.444229079275023</v>
      </c>
    </row>
    <row r="1036" spans="11:15">
      <c r="K1036" s="1663">
        <v>43093</v>
      </c>
      <c r="L1036" s="1664"/>
      <c r="M1036" s="1665">
        <v>0</v>
      </c>
      <c r="N1036" s="1666">
        <v>1.3937261511126411</v>
      </c>
      <c r="O1036" s="1666">
        <v>1.444229079275023</v>
      </c>
    </row>
    <row r="1037" spans="11:15">
      <c r="K1037" s="1663">
        <v>43094</v>
      </c>
      <c r="L1037" s="1664"/>
      <c r="M1037" s="1665">
        <v>0</v>
      </c>
      <c r="N1037" s="1666">
        <v>1.3937261511126411</v>
      </c>
      <c r="O1037" s="1666">
        <v>1.444229079275023</v>
      </c>
    </row>
    <row r="1038" spans="11:15">
      <c r="K1038" s="1663">
        <v>43095</v>
      </c>
      <c r="L1038" s="1664" t="s">
        <v>2293</v>
      </c>
      <c r="M1038" s="1665">
        <v>2.6481000000000001E-2</v>
      </c>
      <c r="N1038" s="1666">
        <v>1.3940952237347173</v>
      </c>
      <c r="O1038" s="1666">
        <v>1.4449877472526569</v>
      </c>
    </row>
    <row r="1039" spans="11:15">
      <c r="K1039" s="1663">
        <v>43096</v>
      </c>
      <c r="L1039" s="1664" t="s">
        <v>2293</v>
      </c>
      <c r="M1039" s="1665">
        <v>2.6481000000000001E-2</v>
      </c>
      <c r="N1039" s="1666">
        <v>1.3944643940909145</v>
      </c>
      <c r="O1039" s="1666">
        <v>1.4457468137661662</v>
      </c>
    </row>
    <row r="1040" spans="11:15">
      <c r="K1040" s="1663">
        <v>43097</v>
      </c>
      <c r="L1040" s="1664" t="s">
        <v>2293</v>
      </c>
      <c r="M1040" s="1665">
        <v>2.6481000000000001E-2</v>
      </c>
      <c r="N1040" s="1666">
        <v>1.3948336622071138</v>
      </c>
      <c r="O1040" s="1666">
        <v>1.4465062790249057</v>
      </c>
    </row>
    <row r="1041" spans="11:15">
      <c r="K1041" s="1663">
        <v>43098</v>
      </c>
      <c r="L1041" s="1664" t="s">
        <v>2293</v>
      </c>
      <c r="M1041" s="1665">
        <v>2.6481000000000001E-2</v>
      </c>
      <c r="N1041" s="1666">
        <v>1.3952030281092029</v>
      </c>
      <c r="O1041" s="1666">
        <v>1.4472661432383402</v>
      </c>
    </row>
    <row r="1042" spans="11:15">
      <c r="K1042" s="1663">
        <v>43099</v>
      </c>
      <c r="L1042" s="1664"/>
      <c r="M1042" s="1665">
        <v>0</v>
      </c>
      <c r="N1042" s="1666">
        <v>1.3952030281092029</v>
      </c>
      <c r="O1042" s="1666">
        <v>1.4472661432383402</v>
      </c>
    </row>
    <row r="1043" spans="11:15">
      <c r="K1043" s="1663">
        <v>43100</v>
      </c>
      <c r="L1043" s="1664"/>
      <c r="M1043" s="1665">
        <v>0</v>
      </c>
      <c r="N1043" s="1666">
        <v>1.3952030281092029</v>
      </c>
      <c r="O1043" s="1666">
        <v>1.4472661432383402</v>
      </c>
    </row>
    <row r="1044" spans="11:15">
      <c r="K1044" s="1663">
        <v>43101</v>
      </c>
      <c r="L1044" s="1664"/>
      <c r="M1044" s="1665">
        <v>0</v>
      </c>
      <c r="N1044" s="1666">
        <v>1.3952030281092029</v>
      </c>
      <c r="O1044" s="1666">
        <v>1.4472661432383402</v>
      </c>
    </row>
    <row r="1045" spans="11:15">
      <c r="K1045" s="1663">
        <v>43102</v>
      </c>
      <c r="L1045" s="1664" t="s">
        <v>2293</v>
      </c>
      <c r="M1045" s="1665">
        <v>2.6481000000000001E-2</v>
      </c>
      <c r="N1045" s="1666">
        <v>1.3955724918230765</v>
      </c>
      <c r="O1045" s="1666"/>
    </row>
    <row r="1046" spans="11:15">
      <c r="K1046" s="1663">
        <v>43103</v>
      </c>
      <c r="L1046" s="1664" t="s">
        <v>2293</v>
      </c>
      <c r="M1046" s="1665">
        <v>2.6481000000000001E-2</v>
      </c>
      <c r="N1046" s="1666">
        <v>1.3959420533746363</v>
      </c>
      <c r="O1046" s="1666"/>
    </row>
    <row r="1047" spans="11:15">
      <c r="K1047" s="1663">
        <v>43104</v>
      </c>
      <c r="L1047" s="1664" t="s">
        <v>2293</v>
      </c>
      <c r="M1047" s="1665">
        <v>2.6481000000000001E-2</v>
      </c>
      <c r="N1047" s="1666">
        <v>1.3963117127897904</v>
      </c>
      <c r="O1047" s="1666"/>
    </row>
    <row r="1048" spans="11:15">
      <c r="K1048" s="1663">
        <v>43105</v>
      </c>
      <c r="L1048" s="1664" t="s">
        <v>2293</v>
      </c>
      <c r="M1048" s="1665">
        <v>2.6481000000000001E-2</v>
      </c>
      <c r="N1048" s="1666">
        <v>1.3966814700944543</v>
      </c>
      <c r="O1048" s="1666"/>
    </row>
    <row r="1049" spans="11:15">
      <c r="K1049" s="1663">
        <v>43106</v>
      </c>
      <c r="L1049" s="1664"/>
      <c r="M1049" s="1665">
        <v>0</v>
      </c>
      <c r="N1049" s="1666">
        <v>1.3966814700944543</v>
      </c>
      <c r="O1049" s="1666"/>
    </row>
    <row r="1050" spans="11:15">
      <c r="K1050" s="1663">
        <v>43107</v>
      </c>
      <c r="L1050" s="1664"/>
      <c r="M1050" s="1665">
        <v>0</v>
      </c>
      <c r="N1050" s="1666">
        <v>1.3966814700944543</v>
      </c>
      <c r="O1050" s="1666"/>
    </row>
    <row r="1051" spans="11:15">
      <c r="K1051" s="1663">
        <v>43108</v>
      </c>
      <c r="L1051" s="1664" t="s">
        <v>2293</v>
      </c>
      <c r="M1051" s="1665">
        <v>2.6481000000000001E-2</v>
      </c>
      <c r="N1051" s="1666">
        <v>1.39705132531455</v>
      </c>
      <c r="O1051" s="1666"/>
    </row>
    <row r="1052" spans="11:15">
      <c r="K1052" s="1663">
        <v>43109</v>
      </c>
      <c r="L1052" s="1664" t="s">
        <v>2293</v>
      </c>
      <c r="M1052" s="1665">
        <v>2.6481000000000001E-2</v>
      </c>
      <c r="N1052" s="1666">
        <v>1.3974212784760065</v>
      </c>
      <c r="O1052" s="1666"/>
    </row>
    <row r="1053" spans="11:15">
      <c r="K1053" s="1663">
        <v>43110</v>
      </c>
      <c r="L1053" s="1664" t="s">
        <v>2293</v>
      </c>
      <c r="M1053" s="1665">
        <v>2.6481000000000001E-2</v>
      </c>
      <c r="N1053" s="1666">
        <v>1.3977913296047597</v>
      </c>
      <c r="O1053" s="1666"/>
    </row>
    <row r="1054" spans="11:15">
      <c r="K1054" s="1663">
        <v>43111</v>
      </c>
      <c r="L1054" s="1664" t="s">
        <v>2293</v>
      </c>
      <c r="M1054" s="1665">
        <v>2.6481000000000001E-2</v>
      </c>
      <c r="N1054" s="1666">
        <v>1.3981614787267524</v>
      </c>
      <c r="O1054" s="1666"/>
    </row>
    <row r="1055" spans="11:15">
      <c r="K1055" s="1663">
        <v>43112</v>
      </c>
      <c r="L1055" s="1664" t="s">
        <v>2293</v>
      </c>
      <c r="M1055" s="1665">
        <v>2.6481000000000001E-2</v>
      </c>
      <c r="N1055" s="1666">
        <v>1.3985317258679342</v>
      </c>
      <c r="O1055" s="1666"/>
    </row>
    <row r="1056" spans="11:15">
      <c r="K1056" s="1663">
        <v>43113</v>
      </c>
      <c r="L1056" s="1664"/>
      <c r="M1056" s="1665">
        <v>0</v>
      </c>
      <c r="N1056" s="1666">
        <v>1.3985317258679342</v>
      </c>
      <c r="O1056" s="1666"/>
    </row>
    <row r="1057" spans="11:15">
      <c r="K1057" s="1663">
        <v>43114</v>
      </c>
      <c r="L1057" s="1664"/>
      <c r="M1057" s="1665">
        <v>0</v>
      </c>
      <c r="N1057" s="1666">
        <v>1.3985317258679342</v>
      </c>
      <c r="O1057" s="1666"/>
    </row>
    <row r="1058" spans="11:15">
      <c r="K1058" s="1663">
        <v>43115</v>
      </c>
      <c r="L1058" s="1664" t="s">
        <v>2293</v>
      </c>
      <c r="M1058" s="1665">
        <v>2.6481000000000001E-2</v>
      </c>
      <c r="N1058" s="1666">
        <v>1.3989020710542612</v>
      </c>
      <c r="O1058" s="1666"/>
    </row>
    <row r="1059" spans="11:15">
      <c r="K1059" s="1663">
        <v>43116</v>
      </c>
      <c r="L1059" s="1664" t="s">
        <v>2293</v>
      </c>
      <c r="M1059" s="1665">
        <v>2.6481000000000001E-2</v>
      </c>
      <c r="N1059" s="1666">
        <v>1.3992725143116971</v>
      </c>
      <c r="O1059" s="1666"/>
    </row>
    <row r="1060" spans="11:15">
      <c r="K1060" s="1663">
        <v>43117</v>
      </c>
      <c r="L1060" s="1664" t="s">
        <v>2293</v>
      </c>
      <c r="M1060" s="1665">
        <v>2.6481000000000001E-2</v>
      </c>
      <c r="N1060" s="1666">
        <v>1.3996430556662121</v>
      </c>
      <c r="O1060" s="1666"/>
    </row>
    <row r="1061" spans="11:15">
      <c r="K1061" s="1663">
        <v>43118</v>
      </c>
      <c r="L1061" s="1664" t="s">
        <v>2293</v>
      </c>
      <c r="M1061" s="1665">
        <v>2.6481000000000001E-2</v>
      </c>
      <c r="N1061" s="1666">
        <v>1.4000136951437829</v>
      </c>
      <c r="O1061" s="1666"/>
    </row>
    <row r="1062" spans="11:15">
      <c r="K1062" s="1663">
        <v>43119</v>
      </c>
      <c r="L1062" s="1664" t="s">
        <v>2293</v>
      </c>
      <c r="M1062" s="1665">
        <v>2.6481000000000001E-2</v>
      </c>
      <c r="N1062" s="1666">
        <v>1.400384432770394</v>
      </c>
      <c r="O1062" s="1666"/>
    </row>
    <row r="1063" spans="11:15">
      <c r="K1063" s="1663">
        <v>43120</v>
      </c>
      <c r="L1063" s="1664"/>
      <c r="M1063" s="1665">
        <v>0</v>
      </c>
      <c r="N1063" s="1666">
        <v>1.400384432770394</v>
      </c>
      <c r="O1063" s="1666"/>
    </row>
    <row r="1064" spans="11:15">
      <c r="K1064" s="1663">
        <v>43121</v>
      </c>
      <c r="L1064" s="1664"/>
      <c r="M1064" s="1665">
        <v>0</v>
      </c>
      <c r="N1064" s="1666">
        <v>1.400384432770394</v>
      </c>
      <c r="O1064" s="1666"/>
    </row>
    <row r="1065" spans="11:15">
      <c r="K1065" s="1663">
        <v>43122</v>
      </c>
      <c r="L1065" s="1664" t="s">
        <v>2293</v>
      </c>
      <c r="M1065" s="1665">
        <v>2.6481000000000001E-2</v>
      </c>
      <c r="N1065" s="1666">
        <v>1.4007552685720359</v>
      </c>
      <c r="O1065" s="1666"/>
    </row>
    <row r="1066" spans="11:15">
      <c r="K1066" s="1663">
        <v>43123</v>
      </c>
      <c r="L1066" s="1664" t="s">
        <v>2293</v>
      </c>
      <c r="M1066" s="1665">
        <v>2.6481000000000001E-2</v>
      </c>
      <c r="N1066" s="1666">
        <v>1.4011262025747064</v>
      </c>
      <c r="O1066" s="1666"/>
    </row>
    <row r="1067" spans="11:15">
      <c r="K1067" s="1663">
        <v>43124</v>
      </c>
      <c r="L1067" s="1664" t="s">
        <v>2293</v>
      </c>
      <c r="M1067" s="1665">
        <v>2.6481000000000001E-2</v>
      </c>
      <c r="N1067" s="1666">
        <v>1.4014972348044104</v>
      </c>
      <c r="O1067" s="1666"/>
    </row>
    <row r="1068" spans="11:15">
      <c r="K1068" s="1663">
        <v>43125</v>
      </c>
      <c r="L1068" s="1664" t="s">
        <v>2293</v>
      </c>
      <c r="M1068" s="1665">
        <v>2.6481000000000001E-2</v>
      </c>
      <c r="N1068" s="1666">
        <v>1.4018683652871589</v>
      </c>
      <c r="O1068" s="1666"/>
    </row>
    <row r="1069" spans="11:15">
      <c r="K1069" s="1663">
        <v>43126</v>
      </c>
      <c r="L1069" s="1664" t="s">
        <v>2293</v>
      </c>
      <c r="M1069" s="1665">
        <v>2.6481000000000001E-2</v>
      </c>
      <c r="N1069" s="1666">
        <v>1.4022395940489705</v>
      </c>
      <c r="O1069" s="1666"/>
    </row>
    <row r="1070" spans="11:15">
      <c r="K1070" s="1663">
        <v>43127</v>
      </c>
      <c r="L1070" s="1664"/>
      <c r="M1070" s="1665">
        <v>0</v>
      </c>
      <c r="N1070" s="1666">
        <v>1.4022395940489705</v>
      </c>
      <c r="O1070" s="1666"/>
    </row>
    <row r="1071" spans="11:15">
      <c r="K1071" s="1663">
        <v>43128</v>
      </c>
      <c r="L1071" s="1664"/>
      <c r="M1071" s="1665">
        <v>0</v>
      </c>
      <c r="N1071" s="1666">
        <v>1.4022395940489705</v>
      </c>
      <c r="O1071" s="1666"/>
    </row>
    <row r="1072" spans="11:15">
      <c r="K1072" s="1663">
        <v>43129</v>
      </c>
      <c r="L1072" s="1664" t="s">
        <v>2293</v>
      </c>
      <c r="M1072" s="1665">
        <v>2.6481000000000001E-2</v>
      </c>
      <c r="N1072" s="1666">
        <v>1.4026109211158706</v>
      </c>
      <c r="O1072" s="1666"/>
    </row>
    <row r="1073" spans="11:15">
      <c r="K1073" s="1663">
        <v>43130</v>
      </c>
      <c r="L1073" s="1664" t="s">
        <v>2293</v>
      </c>
      <c r="M1073" s="1665">
        <v>2.6481000000000001E-2</v>
      </c>
      <c r="N1073" s="1666">
        <v>1.4029823465138913</v>
      </c>
      <c r="O1073" s="1666"/>
    </row>
    <row r="1074" spans="11:15">
      <c r="K1074" s="1663">
        <v>43131</v>
      </c>
      <c r="L1074" s="1664" t="s">
        <v>2293</v>
      </c>
      <c r="M1074" s="1665">
        <v>2.6481000000000001E-2</v>
      </c>
      <c r="N1074" s="1666">
        <v>1.4033538702690718</v>
      </c>
      <c r="O1074" s="1666"/>
    </row>
    <row r="1075" spans="11:15">
      <c r="K1075" s="1663">
        <v>43132</v>
      </c>
      <c r="L1075" s="1664" t="s">
        <v>2293</v>
      </c>
      <c r="M1075" s="1665">
        <v>2.6481000000000001E-2</v>
      </c>
      <c r="N1075" s="1666">
        <v>1.4037254924074578</v>
      </c>
      <c r="O1075" s="1666"/>
    </row>
    <row r="1076" spans="11:15">
      <c r="K1076" s="1663">
        <v>43133</v>
      </c>
      <c r="L1076" s="1664" t="s">
        <v>2293</v>
      </c>
      <c r="M1076" s="1665">
        <v>2.6481000000000001E-2</v>
      </c>
      <c r="N1076" s="1666">
        <v>1.4040972129551021</v>
      </c>
      <c r="O1076" s="1666"/>
    </row>
    <row r="1077" spans="11:15">
      <c r="K1077" s="1663">
        <v>43134</v>
      </c>
      <c r="L1077" s="1664"/>
      <c r="M1077" s="1665">
        <v>0</v>
      </c>
      <c r="N1077" s="1666">
        <v>1.4040972129551021</v>
      </c>
      <c r="O1077" s="1666"/>
    </row>
    <row r="1078" spans="11:15">
      <c r="K1078" s="1663">
        <v>43135</v>
      </c>
      <c r="L1078" s="1664"/>
      <c r="M1078" s="1665">
        <v>0</v>
      </c>
      <c r="N1078" s="1666">
        <v>1.4040972129551021</v>
      </c>
      <c r="O1078" s="1666"/>
    </row>
    <row r="1079" spans="11:15">
      <c r="K1079" s="1663">
        <v>43136</v>
      </c>
      <c r="L1079" s="1664" t="s">
        <v>2293</v>
      </c>
      <c r="M1079" s="1665">
        <v>2.6481000000000001E-2</v>
      </c>
      <c r="N1079" s="1666">
        <v>1.4044690319380648</v>
      </c>
      <c r="O1079" s="1666"/>
    </row>
    <row r="1080" spans="11:15">
      <c r="K1080" s="1663">
        <v>43137</v>
      </c>
      <c r="L1080" s="1664" t="s">
        <v>2293</v>
      </c>
      <c r="M1080" s="1665">
        <v>2.6481000000000001E-2</v>
      </c>
      <c r="N1080" s="1666">
        <v>1.4048409493824123</v>
      </c>
      <c r="O1080" s="1666"/>
    </row>
    <row r="1081" spans="11:15">
      <c r="K1081" s="1663">
        <v>43138</v>
      </c>
      <c r="L1081" s="1664" t="s">
        <v>2293</v>
      </c>
      <c r="M1081" s="1665">
        <v>2.6481000000000001E-2</v>
      </c>
      <c r="N1081" s="1666">
        <v>1.4052129653142182</v>
      </c>
      <c r="O1081" s="1666"/>
    </row>
    <row r="1082" spans="11:15">
      <c r="K1082" s="1663">
        <v>43139</v>
      </c>
      <c r="L1082" s="1664" t="s">
        <v>2293</v>
      </c>
      <c r="M1082" s="1665">
        <v>2.5551999999999998E-2</v>
      </c>
      <c r="N1082" s="1666">
        <v>1.4055720253311155</v>
      </c>
      <c r="O1082" s="1666"/>
    </row>
    <row r="1083" spans="11:15">
      <c r="K1083" s="1663">
        <v>43140</v>
      </c>
      <c r="L1083" s="1664" t="s">
        <v>2293</v>
      </c>
      <c r="M1083" s="1665">
        <v>2.5551999999999998E-2</v>
      </c>
      <c r="N1083" s="1666">
        <v>1.4059311770950282</v>
      </c>
      <c r="O1083" s="1666"/>
    </row>
    <row r="1084" spans="11:15">
      <c r="K1084" s="1663">
        <v>43141</v>
      </c>
      <c r="L1084" s="1664"/>
      <c r="M1084" s="1665">
        <v>0</v>
      </c>
      <c r="N1084" s="1666">
        <v>1.4059311770950282</v>
      </c>
      <c r="O1084" s="1666"/>
    </row>
    <row r="1085" spans="11:15">
      <c r="K1085" s="1663">
        <v>43142</v>
      </c>
      <c r="L1085" s="1664"/>
      <c r="M1085" s="1665">
        <v>0</v>
      </c>
      <c r="N1085" s="1666">
        <v>1.4059311770950282</v>
      </c>
      <c r="O1085" s="1666"/>
    </row>
    <row r="1086" spans="11:15">
      <c r="K1086" s="1663">
        <v>43143</v>
      </c>
      <c r="L1086" s="1664"/>
      <c r="M1086" s="1665">
        <v>0</v>
      </c>
      <c r="N1086" s="1666">
        <v>1.4059311770950282</v>
      </c>
      <c r="O1086" s="1666"/>
    </row>
    <row r="1087" spans="11:15">
      <c r="K1087" s="1663">
        <v>43144</v>
      </c>
      <c r="L1087" s="1664"/>
      <c r="M1087" s="1665">
        <v>0</v>
      </c>
      <c r="N1087" s="1666">
        <v>1.4059311770950282</v>
      </c>
      <c r="O1087" s="1666"/>
    </row>
    <row r="1088" spans="11:15">
      <c r="K1088" s="1663">
        <v>43145</v>
      </c>
      <c r="L1088" s="1664" t="s">
        <v>2293</v>
      </c>
      <c r="M1088" s="1665">
        <v>2.5551999999999998E-2</v>
      </c>
      <c r="N1088" s="1666">
        <v>1.4062904206293996</v>
      </c>
      <c r="O1088" s="1666"/>
    </row>
    <row r="1089" spans="11:15">
      <c r="K1089" s="1663">
        <v>43146</v>
      </c>
      <c r="L1089" s="1664" t="s">
        <v>2293</v>
      </c>
      <c r="M1089" s="1665">
        <v>2.5551999999999998E-2</v>
      </c>
      <c r="N1089" s="1666">
        <v>1.4066497559576789</v>
      </c>
      <c r="O1089" s="1666"/>
    </row>
    <row r="1090" spans="11:15">
      <c r="K1090" s="1663">
        <v>43147</v>
      </c>
      <c r="L1090" s="1664" t="s">
        <v>2293</v>
      </c>
      <c r="M1090" s="1665">
        <v>2.5551999999999998E-2</v>
      </c>
      <c r="N1090" s="1666">
        <v>1.4070091831033213</v>
      </c>
      <c r="O1090" s="1666"/>
    </row>
    <row r="1091" spans="11:15">
      <c r="K1091" s="1663">
        <v>43148</v>
      </c>
      <c r="L1091" s="1664"/>
      <c r="M1091" s="1665">
        <v>0</v>
      </c>
      <c r="N1091" s="1666">
        <v>1.4070091831033213</v>
      </c>
      <c r="O1091" s="1666"/>
    </row>
    <row r="1092" spans="11:15">
      <c r="K1092" s="1663">
        <v>43149</v>
      </c>
      <c r="L1092" s="1664"/>
      <c r="M1092" s="1665">
        <v>0</v>
      </c>
      <c r="N1092" s="1666">
        <v>1.4070091831033213</v>
      </c>
      <c r="O1092" s="1666"/>
    </row>
    <row r="1093" spans="11:15">
      <c r="K1093" s="1663">
        <v>43150</v>
      </c>
      <c r="L1093" s="1664" t="s">
        <v>2293</v>
      </c>
      <c r="M1093" s="1665">
        <v>2.5551999999999998E-2</v>
      </c>
      <c r="N1093" s="1666">
        <v>1.407368702089788</v>
      </c>
      <c r="O1093" s="1666"/>
    </row>
    <row r="1094" spans="11:15">
      <c r="K1094" s="1663">
        <v>43151</v>
      </c>
      <c r="L1094" s="1664" t="s">
        <v>2293</v>
      </c>
      <c r="M1094" s="1665">
        <v>2.5551999999999998E-2</v>
      </c>
      <c r="N1094" s="1666">
        <v>1.407728312940546</v>
      </c>
      <c r="O1094" s="1666"/>
    </row>
    <row r="1095" spans="11:15">
      <c r="K1095" s="1663">
        <v>43152</v>
      </c>
      <c r="L1095" s="1664" t="s">
        <v>2293</v>
      </c>
      <c r="M1095" s="1665">
        <v>2.5551999999999998E-2</v>
      </c>
      <c r="N1095" s="1666">
        <v>1.4080880156790687</v>
      </c>
      <c r="O1095" s="1666"/>
    </row>
    <row r="1096" spans="11:15">
      <c r="K1096" s="1663">
        <v>43153</v>
      </c>
      <c r="L1096" s="1664" t="s">
        <v>2293</v>
      </c>
      <c r="M1096" s="1665">
        <v>2.5551999999999998E-2</v>
      </c>
      <c r="N1096" s="1666">
        <v>1.4084478103288351</v>
      </c>
      <c r="O1096" s="1666"/>
    </row>
    <row r="1097" spans="11:15">
      <c r="K1097" s="1663">
        <v>43154</v>
      </c>
      <c r="L1097" s="1664" t="s">
        <v>2293</v>
      </c>
      <c r="M1097" s="1665">
        <v>2.5551999999999998E-2</v>
      </c>
      <c r="N1097" s="1666">
        <v>1.4088076969133305</v>
      </c>
      <c r="O1097" s="1666"/>
    </row>
    <row r="1098" spans="11:15">
      <c r="K1098" s="1663">
        <v>43155</v>
      </c>
      <c r="L1098" s="1664"/>
      <c r="M1098" s="1665">
        <v>0</v>
      </c>
      <c r="N1098" s="1666">
        <v>1.4088076969133305</v>
      </c>
      <c r="O1098" s="1666"/>
    </row>
    <row r="1099" spans="11:15">
      <c r="K1099" s="1663">
        <v>43156</v>
      </c>
      <c r="L1099" s="1664"/>
      <c r="M1099" s="1665">
        <v>0</v>
      </c>
      <c r="N1099" s="1666">
        <v>1.4088076969133305</v>
      </c>
      <c r="O1099" s="1666"/>
    </row>
    <row r="1100" spans="11:15">
      <c r="K1100" s="1663">
        <v>43157</v>
      </c>
      <c r="L1100" s="1664" t="s">
        <v>2293</v>
      </c>
      <c r="M1100" s="1665">
        <v>2.5551999999999998E-2</v>
      </c>
      <c r="N1100" s="1666">
        <v>1.4091676754560458</v>
      </c>
      <c r="O1100" s="1666"/>
    </row>
    <row r="1101" spans="11:15">
      <c r="K1101" s="1663">
        <v>43158</v>
      </c>
      <c r="L1101" s="1664" t="s">
        <v>2293</v>
      </c>
      <c r="M1101" s="1665">
        <v>2.5551999999999998E-2</v>
      </c>
      <c r="N1101" s="1666">
        <v>1.4095277459804785</v>
      </c>
      <c r="O1101" s="1666"/>
    </row>
    <row r="1102" spans="11:15">
      <c r="K1102" s="1663">
        <v>43159</v>
      </c>
      <c r="L1102" s="1664" t="s">
        <v>2293</v>
      </c>
      <c r="M1102" s="1665">
        <v>2.5551999999999998E-2</v>
      </c>
      <c r="N1102" s="1666">
        <v>1.4098879085101315</v>
      </c>
      <c r="O1102" s="1666"/>
    </row>
    <row r="1103" spans="11:15">
      <c r="K1103" s="1663">
        <v>43160</v>
      </c>
      <c r="L1103" s="1664" t="s">
        <v>2293</v>
      </c>
      <c r="M1103" s="1665">
        <v>2.5551999999999998E-2</v>
      </c>
      <c r="N1103" s="1666">
        <v>1.410248163068514</v>
      </c>
      <c r="O1103" s="1666"/>
    </row>
    <row r="1104" spans="11:15">
      <c r="K1104" s="1663">
        <v>43161</v>
      </c>
      <c r="L1104" s="1664" t="s">
        <v>2293</v>
      </c>
      <c r="M1104" s="1665">
        <v>2.5551999999999998E-2</v>
      </c>
      <c r="N1104" s="1666">
        <v>1.4106085096791414</v>
      </c>
      <c r="O1104" s="1666"/>
    </row>
    <row r="1105" spans="11:15">
      <c r="K1105" s="1663">
        <v>43162</v>
      </c>
      <c r="L1105" s="1664"/>
      <c r="M1105" s="1665">
        <v>0</v>
      </c>
      <c r="N1105" s="1666">
        <v>1.4106085096791414</v>
      </c>
      <c r="O1105" s="1666"/>
    </row>
    <row r="1106" spans="11:15">
      <c r="K1106" s="1663">
        <v>43163</v>
      </c>
      <c r="L1106" s="1664"/>
      <c r="M1106" s="1665">
        <v>0</v>
      </c>
      <c r="N1106" s="1666">
        <v>1.4106085096791414</v>
      </c>
      <c r="O1106" s="1666"/>
    </row>
    <row r="1107" spans="11:15">
      <c r="K1107" s="1663">
        <v>43164</v>
      </c>
      <c r="L1107" s="1664" t="s">
        <v>2293</v>
      </c>
      <c r="M1107" s="1665">
        <v>2.5551999999999998E-2</v>
      </c>
      <c r="N1107" s="1666">
        <v>1.4109689483655348</v>
      </c>
      <c r="O1107" s="1666"/>
    </row>
    <row r="1108" spans="11:15">
      <c r="K1108" s="1663">
        <v>43165</v>
      </c>
      <c r="L1108" s="1664" t="s">
        <v>2293</v>
      </c>
      <c r="M1108" s="1665">
        <v>2.5551999999999998E-2</v>
      </c>
      <c r="N1108" s="1666">
        <v>1.4113294791512212</v>
      </c>
      <c r="O1108" s="1666"/>
    </row>
    <row r="1109" spans="11:15">
      <c r="K1109" s="1663">
        <v>43166</v>
      </c>
      <c r="L1109" s="1664" t="s">
        <v>2293</v>
      </c>
      <c r="M1109" s="1665">
        <v>2.5551999999999998E-2</v>
      </c>
      <c r="N1109" s="1666">
        <v>1.4116901020597341</v>
      </c>
      <c r="O1109" s="1666"/>
    </row>
    <row r="1110" spans="11:15">
      <c r="K1110" s="1663">
        <v>43167</v>
      </c>
      <c r="L1110" s="1664" t="s">
        <v>2293</v>
      </c>
      <c r="M1110" s="1665">
        <v>2.5551999999999998E-2</v>
      </c>
      <c r="N1110" s="1666">
        <v>1.4120508171146124</v>
      </c>
      <c r="O1110" s="1666"/>
    </row>
    <row r="1111" spans="11:15">
      <c r="K1111" s="1663">
        <v>43168</v>
      </c>
      <c r="L1111" s="1664" t="s">
        <v>2293</v>
      </c>
      <c r="M1111" s="1665">
        <v>2.5551999999999998E-2</v>
      </c>
      <c r="N1111" s="1666">
        <v>1.4124116243394016</v>
      </c>
      <c r="O1111" s="1666"/>
    </row>
    <row r="1112" spans="11:15">
      <c r="K1112" s="1663">
        <v>43169</v>
      </c>
      <c r="L1112" s="1664"/>
      <c r="M1112" s="1665">
        <v>0</v>
      </c>
      <c r="N1112" s="1666">
        <v>1.4124116243394016</v>
      </c>
      <c r="O1112" s="1666"/>
    </row>
    <row r="1113" spans="11:15">
      <c r="K1113" s="1663">
        <v>43170</v>
      </c>
      <c r="L1113" s="1664"/>
      <c r="M1113" s="1665">
        <v>0</v>
      </c>
      <c r="N1113" s="1666">
        <v>1.4124116243394016</v>
      </c>
      <c r="O1113" s="1666"/>
    </row>
    <row r="1114" spans="11:15">
      <c r="K1114" s="1663">
        <v>43171</v>
      </c>
      <c r="L1114" s="1664" t="s">
        <v>2293</v>
      </c>
      <c r="M1114" s="1665">
        <v>2.5551999999999998E-2</v>
      </c>
      <c r="N1114" s="1666">
        <v>1.4127725237576529</v>
      </c>
      <c r="O1114" s="1666"/>
    </row>
    <row r="1115" spans="11:15">
      <c r="K1115" s="1663">
        <v>43172</v>
      </c>
      <c r="L1115" s="1664" t="s">
        <v>2293</v>
      </c>
      <c r="M1115" s="1665">
        <v>2.5551999999999998E-2</v>
      </c>
      <c r="N1115" s="1666">
        <v>1.4131335153929236</v>
      </c>
      <c r="O1115" s="1666"/>
    </row>
    <row r="1116" spans="11:15">
      <c r="K1116" s="1663">
        <v>43173</v>
      </c>
      <c r="L1116" s="1664" t="s">
        <v>2293</v>
      </c>
      <c r="M1116" s="1665">
        <v>2.5551999999999998E-2</v>
      </c>
      <c r="N1116" s="1666">
        <v>1.4134945992687769</v>
      </c>
      <c r="O1116" s="1666"/>
    </row>
    <row r="1117" spans="11:15">
      <c r="K1117" s="1663">
        <v>43174</v>
      </c>
      <c r="L1117" s="1664" t="s">
        <v>2293</v>
      </c>
      <c r="M1117" s="1665">
        <v>2.5551999999999998E-2</v>
      </c>
      <c r="N1117" s="1666">
        <v>1.4138557754087822</v>
      </c>
      <c r="O1117" s="1666"/>
    </row>
    <row r="1118" spans="11:15">
      <c r="K1118" s="1663">
        <v>43175</v>
      </c>
      <c r="L1118" s="1664" t="s">
        <v>2293</v>
      </c>
      <c r="M1118" s="1665">
        <v>2.5551999999999998E-2</v>
      </c>
      <c r="N1118" s="1666">
        <v>1.4142170438365147</v>
      </c>
      <c r="O1118" s="1666"/>
    </row>
    <row r="1119" spans="11:15">
      <c r="K1119" s="1663">
        <v>43176</v>
      </c>
      <c r="L1119" s="1664"/>
      <c r="M1119" s="1665">
        <v>0</v>
      </c>
      <c r="N1119" s="1666">
        <v>1.4142170438365147</v>
      </c>
      <c r="O1119" s="1666"/>
    </row>
    <row r="1120" spans="11:15">
      <c r="K1120" s="1663">
        <v>43177</v>
      </c>
      <c r="L1120" s="1664"/>
      <c r="M1120" s="1665">
        <v>0</v>
      </c>
      <c r="N1120" s="1666">
        <v>1.4142170438365147</v>
      </c>
      <c r="O1120" s="1666"/>
    </row>
    <row r="1121" spans="11:15">
      <c r="K1121" s="1663">
        <v>43178</v>
      </c>
      <c r="L1121" s="1664" t="s">
        <v>2293</v>
      </c>
      <c r="M1121" s="1665">
        <v>2.5551999999999998E-2</v>
      </c>
      <c r="N1121" s="1666">
        <v>1.4145784045755558</v>
      </c>
      <c r="O1121" s="1666"/>
    </row>
    <row r="1122" spans="11:15">
      <c r="K1122" s="1663">
        <v>43179</v>
      </c>
      <c r="L1122" s="1664" t="s">
        <v>2293</v>
      </c>
      <c r="M1122" s="1665">
        <v>2.5551999999999998E-2</v>
      </c>
      <c r="N1122" s="1666">
        <v>1.4149398576494931</v>
      </c>
      <c r="O1122" s="1666"/>
    </row>
    <row r="1123" spans="11:15">
      <c r="K1123" s="1663">
        <v>43180</v>
      </c>
      <c r="L1123" s="1664" t="s">
        <v>2293</v>
      </c>
      <c r="M1123" s="1665">
        <v>2.5551999999999998E-2</v>
      </c>
      <c r="N1123" s="1666">
        <v>1.4153014030819198</v>
      </c>
      <c r="O1123" s="1666"/>
    </row>
    <row r="1124" spans="11:15">
      <c r="K1124" s="1663">
        <v>43181</v>
      </c>
      <c r="L1124" s="1664" t="s">
        <v>2293</v>
      </c>
      <c r="M1124" s="1665">
        <v>2.462E-2</v>
      </c>
      <c r="N1124" s="1666">
        <v>1.4156498502873587</v>
      </c>
      <c r="O1124" s="1666"/>
    </row>
    <row r="1125" spans="11:15">
      <c r="K1125" s="1663">
        <v>43182</v>
      </c>
      <c r="L1125" s="1664" t="s">
        <v>2293</v>
      </c>
      <c r="M1125" s="1665">
        <v>2.462E-2</v>
      </c>
      <c r="N1125" s="1666">
        <v>1.4159983832804997</v>
      </c>
      <c r="O1125" s="1666"/>
    </row>
    <row r="1126" spans="11:15">
      <c r="K1126" s="1663">
        <v>43183</v>
      </c>
      <c r="L1126" s="1664"/>
      <c r="M1126" s="1665">
        <v>0</v>
      </c>
      <c r="N1126" s="1666">
        <v>1.4159983832804997</v>
      </c>
      <c r="O1126" s="1666"/>
    </row>
    <row r="1127" spans="11:15">
      <c r="K1127" s="1663">
        <v>43184</v>
      </c>
      <c r="L1127" s="1664"/>
      <c r="M1127" s="1665">
        <v>0</v>
      </c>
      <c r="N1127" s="1666">
        <v>1.4159983832804997</v>
      </c>
      <c r="O1127" s="1666"/>
    </row>
    <row r="1128" spans="11:15">
      <c r="K1128" s="1663">
        <v>43185</v>
      </c>
      <c r="L1128" s="1664" t="s">
        <v>2293</v>
      </c>
      <c r="M1128" s="1665">
        <v>2.462E-2</v>
      </c>
      <c r="N1128" s="1666">
        <v>1.4163470020824633</v>
      </c>
      <c r="O1128" s="1666"/>
    </row>
    <row r="1129" spans="11:15">
      <c r="K1129" s="1663">
        <v>43186</v>
      </c>
      <c r="L1129" s="1664" t="s">
        <v>2293</v>
      </c>
      <c r="M1129" s="1665">
        <v>2.462E-2</v>
      </c>
      <c r="N1129" s="1666">
        <v>1.4166957067143762</v>
      </c>
      <c r="O1129" s="1666"/>
    </row>
    <row r="1130" spans="11:15">
      <c r="K1130" s="1663">
        <v>43187</v>
      </c>
      <c r="L1130" s="1664" t="s">
        <v>2293</v>
      </c>
      <c r="M1130" s="1665">
        <v>2.462E-2</v>
      </c>
      <c r="N1130" s="1666">
        <v>1.4170444971973695</v>
      </c>
      <c r="O1130" s="1666"/>
    </row>
    <row r="1131" spans="11:15">
      <c r="K1131" s="1663">
        <v>43188</v>
      </c>
      <c r="L1131" s="1664" t="s">
        <v>2293</v>
      </c>
      <c r="M1131" s="1665">
        <v>2.462E-2</v>
      </c>
      <c r="N1131" s="1666">
        <v>1.4173933735525797</v>
      </c>
      <c r="O1131" s="1666"/>
    </row>
    <row r="1132" spans="11:15">
      <c r="K1132" s="1663">
        <v>43189</v>
      </c>
      <c r="L1132" s="1664"/>
      <c r="M1132" s="1665">
        <v>0</v>
      </c>
      <c r="N1132" s="1666">
        <v>1.4173933735525797</v>
      </c>
      <c r="O1132" s="1666"/>
    </row>
    <row r="1133" spans="11:15">
      <c r="K1133" s="1663">
        <v>43190</v>
      </c>
      <c r="L1133" s="1664"/>
      <c r="M1133" s="1665">
        <v>0</v>
      </c>
      <c r="N1133" s="1666">
        <v>1.4173933735525797</v>
      </c>
      <c r="O1133" s="1666"/>
    </row>
    <row r="1134" spans="11:15">
      <c r="K1134" s="1663">
        <v>43191</v>
      </c>
      <c r="L1134" s="1664"/>
      <c r="M1134" s="1665">
        <v>0</v>
      </c>
      <c r="N1134" s="1666">
        <v>1.4173933735525797</v>
      </c>
      <c r="O1134" s="1666"/>
    </row>
    <row r="1135" spans="11:15">
      <c r="K1135" s="1663">
        <v>43192</v>
      </c>
      <c r="L1135" s="1664" t="s">
        <v>2293</v>
      </c>
      <c r="M1135" s="1665">
        <v>2.462E-2</v>
      </c>
      <c r="N1135" s="1666">
        <v>1.4177423358011485</v>
      </c>
      <c r="O1135" s="1666"/>
    </row>
    <row r="1136" spans="11:15">
      <c r="K1136" s="1663">
        <v>43193</v>
      </c>
      <c r="L1136" s="1664" t="s">
        <v>2293</v>
      </c>
      <c r="M1136" s="1665">
        <v>2.462E-2</v>
      </c>
      <c r="N1136" s="1666">
        <v>1.4180913839642229</v>
      </c>
      <c r="O1136" s="1666"/>
    </row>
    <row r="1137" spans="11:15">
      <c r="K1137" s="1663">
        <v>43194</v>
      </c>
      <c r="L1137" s="1664" t="s">
        <v>2293</v>
      </c>
      <c r="M1137" s="1665">
        <v>2.462E-2</v>
      </c>
      <c r="N1137" s="1666">
        <v>1.4184405180629549</v>
      </c>
      <c r="O1137" s="1666"/>
    </row>
    <row r="1138" spans="11:15">
      <c r="K1138" s="1663">
        <v>43195</v>
      </c>
      <c r="L1138" s="1664" t="s">
        <v>2293</v>
      </c>
      <c r="M1138" s="1665">
        <v>2.462E-2</v>
      </c>
      <c r="N1138" s="1666">
        <v>1.4187897381185022</v>
      </c>
      <c r="O1138" s="1666"/>
    </row>
    <row r="1139" spans="11:15">
      <c r="K1139" s="1663">
        <v>43196</v>
      </c>
      <c r="L1139" s="1664" t="s">
        <v>2293</v>
      </c>
      <c r="M1139" s="1665">
        <v>2.462E-2</v>
      </c>
      <c r="N1139" s="1666">
        <v>1.4191390441520271</v>
      </c>
      <c r="O1139" s="1666"/>
    </row>
    <row r="1140" spans="11:15">
      <c r="K1140" s="1663">
        <v>43197</v>
      </c>
      <c r="L1140" s="1664"/>
      <c r="M1140" s="1665">
        <v>0</v>
      </c>
      <c r="N1140" s="1666">
        <v>1.4191390441520271</v>
      </c>
      <c r="O1140" s="1666"/>
    </row>
    <row r="1141" spans="11:15">
      <c r="K1141" s="1663">
        <v>43198</v>
      </c>
      <c r="L1141" s="1664"/>
      <c r="M1141" s="1665">
        <v>0</v>
      </c>
      <c r="N1141" s="1666">
        <v>1.4191390441520271</v>
      </c>
      <c r="O1141" s="1666"/>
    </row>
    <row r="1142" spans="11:15">
      <c r="K1142" s="1663">
        <v>43199</v>
      </c>
      <c r="L1142" s="1664" t="s">
        <v>2293</v>
      </c>
      <c r="M1142" s="1665">
        <v>2.462E-2</v>
      </c>
      <c r="N1142" s="1666">
        <v>1.4194884361846973</v>
      </c>
      <c r="O1142" s="1666"/>
    </row>
    <row r="1143" spans="11:15">
      <c r="K1143" s="1663">
        <v>43200</v>
      </c>
      <c r="L1143" s="1664" t="s">
        <v>2293</v>
      </c>
      <c r="M1143" s="1665">
        <v>2.462E-2</v>
      </c>
      <c r="N1143" s="1666">
        <v>1.419837914237686</v>
      </c>
      <c r="O1143" s="1666"/>
    </row>
    <row r="1144" spans="11:15">
      <c r="K1144" s="1663">
        <v>43201</v>
      </c>
      <c r="L1144" s="1664" t="s">
        <v>2293</v>
      </c>
      <c r="M1144" s="1665">
        <v>2.462E-2</v>
      </c>
      <c r="N1144" s="1666">
        <v>1.4201874783321715</v>
      </c>
      <c r="O1144" s="1666"/>
    </row>
    <row r="1145" spans="11:15">
      <c r="K1145" s="1663">
        <v>43202</v>
      </c>
      <c r="L1145" s="1664" t="s">
        <v>2293</v>
      </c>
      <c r="M1145" s="1665">
        <v>2.462E-2</v>
      </c>
      <c r="N1145" s="1666">
        <v>1.4205371284893371</v>
      </c>
      <c r="O1145" s="1666"/>
    </row>
    <row r="1146" spans="11:15">
      <c r="K1146" s="1663">
        <v>43203</v>
      </c>
      <c r="L1146" s="1664" t="s">
        <v>2293</v>
      </c>
      <c r="M1146" s="1665">
        <v>2.462E-2</v>
      </c>
      <c r="N1146" s="1666">
        <v>1.4208868647303714</v>
      </c>
      <c r="O1146" s="1666"/>
    </row>
    <row r="1147" spans="11:15">
      <c r="K1147" s="1663">
        <v>43204</v>
      </c>
      <c r="L1147" s="1664"/>
      <c r="M1147" s="1665">
        <v>0</v>
      </c>
      <c r="N1147" s="1666">
        <v>1.4208868647303714</v>
      </c>
      <c r="O1147" s="1666"/>
    </row>
    <row r="1148" spans="11:15">
      <c r="K1148" s="1663">
        <v>43205</v>
      </c>
      <c r="L1148" s="1664"/>
      <c r="M1148" s="1665">
        <v>0</v>
      </c>
      <c r="N1148" s="1666">
        <v>1.4208868647303714</v>
      </c>
      <c r="O1148" s="1666"/>
    </row>
    <row r="1149" spans="11:15">
      <c r="K1149" s="1663">
        <v>43206</v>
      </c>
      <c r="L1149" s="1664" t="s">
        <v>2293</v>
      </c>
      <c r="M1149" s="1665">
        <v>2.462E-2</v>
      </c>
      <c r="N1149" s="1666">
        <v>1.4212366870764681</v>
      </c>
      <c r="O1149" s="1666"/>
    </row>
    <row r="1150" spans="11:15">
      <c r="K1150" s="1663">
        <v>43207</v>
      </c>
      <c r="L1150" s="1664" t="s">
        <v>2293</v>
      </c>
      <c r="M1150" s="1665">
        <v>2.462E-2</v>
      </c>
      <c r="N1150" s="1666">
        <v>1.4215865955488265</v>
      </c>
      <c r="O1150" s="1666"/>
    </row>
    <row r="1151" spans="11:15">
      <c r="K1151" s="1663">
        <v>43208</v>
      </c>
      <c r="L1151" s="1664" t="s">
        <v>2293</v>
      </c>
      <c r="M1151" s="1665">
        <v>2.462E-2</v>
      </c>
      <c r="N1151" s="1666">
        <v>1.4219365901686507</v>
      </c>
      <c r="O1151" s="1666"/>
    </row>
    <row r="1152" spans="11:15">
      <c r="K1152" s="1663">
        <v>43209</v>
      </c>
      <c r="L1152" s="1664" t="s">
        <v>2293</v>
      </c>
      <c r="M1152" s="1665">
        <v>2.462E-2</v>
      </c>
      <c r="N1152" s="1666">
        <v>1.4222866709571504</v>
      </c>
      <c r="O1152" s="1666"/>
    </row>
    <row r="1153" spans="11:15">
      <c r="K1153" s="1663">
        <v>43210</v>
      </c>
      <c r="L1153" s="1664" t="s">
        <v>2293</v>
      </c>
      <c r="M1153" s="1665">
        <v>2.462E-2</v>
      </c>
      <c r="N1153" s="1666">
        <v>1.4226368379355403</v>
      </c>
      <c r="O1153" s="1666"/>
    </row>
    <row r="1154" spans="11:15">
      <c r="K1154" s="1663">
        <v>43211</v>
      </c>
      <c r="L1154" s="1664"/>
      <c r="M1154" s="1665">
        <v>0</v>
      </c>
      <c r="N1154" s="1666">
        <v>1.4226368379355403</v>
      </c>
      <c r="O1154" s="1666"/>
    </row>
    <row r="1155" spans="11:15">
      <c r="K1155" s="1663">
        <v>43212</v>
      </c>
      <c r="L1155" s="1664"/>
      <c r="M1155" s="1665">
        <v>0</v>
      </c>
      <c r="N1155" s="1666">
        <v>1.4226368379355403</v>
      </c>
      <c r="O1155" s="1666"/>
    </row>
    <row r="1156" spans="11:15">
      <c r="K1156" s="1663">
        <v>43213</v>
      </c>
      <c r="L1156" s="1664" t="s">
        <v>2293</v>
      </c>
      <c r="M1156" s="1665">
        <v>2.462E-2</v>
      </c>
      <c r="N1156" s="1666">
        <v>1.4229870911250402</v>
      </c>
      <c r="O1156" s="1666"/>
    </row>
    <row r="1157" spans="11:15">
      <c r="K1157" s="1663">
        <v>43214</v>
      </c>
      <c r="L1157" s="1664" t="s">
        <v>2293</v>
      </c>
      <c r="M1157" s="1665">
        <v>2.462E-2</v>
      </c>
      <c r="N1157" s="1666">
        <v>1.4233374305468753</v>
      </c>
      <c r="O1157" s="1666"/>
    </row>
    <row r="1158" spans="11:15">
      <c r="K1158" s="1663">
        <v>43215</v>
      </c>
      <c r="L1158" s="1664" t="s">
        <v>2293</v>
      </c>
      <c r="M1158" s="1665">
        <v>2.462E-2</v>
      </c>
      <c r="N1158" s="1666">
        <v>1.4236878562222761</v>
      </c>
      <c r="O1158" s="1666"/>
    </row>
    <row r="1159" spans="11:15">
      <c r="K1159" s="1663">
        <v>43216</v>
      </c>
      <c r="L1159" s="1664" t="s">
        <v>2293</v>
      </c>
      <c r="M1159" s="1665">
        <v>2.462E-2</v>
      </c>
      <c r="N1159" s="1666">
        <v>1.4240383681724782</v>
      </c>
      <c r="O1159" s="1666"/>
    </row>
    <row r="1160" spans="11:15">
      <c r="K1160" s="1663">
        <v>43217</v>
      </c>
      <c r="L1160" s="1664" t="s">
        <v>2293</v>
      </c>
      <c r="M1160" s="1665">
        <v>2.462E-2</v>
      </c>
      <c r="N1160" s="1666">
        <v>1.4243889664187224</v>
      </c>
      <c r="O1160" s="1666"/>
    </row>
    <row r="1161" spans="11:15">
      <c r="K1161" s="1663">
        <v>43218</v>
      </c>
      <c r="L1161" s="1664"/>
      <c r="M1161" s="1665">
        <v>0</v>
      </c>
      <c r="N1161" s="1666">
        <v>1.4243889664187224</v>
      </c>
      <c r="O1161" s="1666"/>
    </row>
    <row r="1162" spans="11:15">
      <c r="K1162" s="1663">
        <v>43219</v>
      </c>
      <c r="L1162" s="1664"/>
      <c r="M1162" s="1665">
        <v>0</v>
      </c>
      <c r="N1162" s="1666">
        <v>1.4243889664187224</v>
      </c>
      <c r="O1162" s="1666"/>
    </row>
    <row r="1163" spans="11:15">
      <c r="K1163" s="1663">
        <v>43220</v>
      </c>
      <c r="L1163" s="1664" t="s">
        <v>2293</v>
      </c>
      <c r="M1163" s="1665">
        <v>2.462E-2</v>
      </c>
      <c r="N1163" s="1666">
        <v>1.4247396509822547</v>
      </c>
      <c r="O1163" s="1666"/>
    </row>
    <row r="1164" spans="11:15">
      <c r="K1164" s="1663">
        <v>43221</v>
      </c>
      <c r="L1164" s="1664"/>
      <c r="M1164" s="1665">
        <v>0</v>
      </c>
      <c r="N1164" s="1666">
        <v>1.4247396509822547</v>
      </c>
      <c r="O1164" s="1666"/>
    </row>
    <row r="1165" spans="11:15">
      <c r="K1165" s="1663">
        <v>43222</v>
      </c>
      <c r="L1165" s="1664" t="s">
        <v>2293</v>
      </c>
      <c r="M1165" s="1665">
        <v>2.462E-2</v>
      </c>
      <c r="N1165" s="1666">
        <v>1.4250904218843268</v>
      </c>
      <c r="O1165" s="1666"/>
    </row>
    <row r="1166" spans="11:15">
      <c r="K1166" s="1663">
        <v>43223</v>
      </c>
      <c r="L1166" s="1664" t="s">
        <v>2293</v>
      </c>
      <c r="M1166" s="1665">
        <v>2.462E-2</v>
      </c>
      <c r="N1166" s="1666">
        <v>1.4254412791461948</v>
      </c>
      <c r="O1166" s="1666"/>
    </row>
    <row r="1167" spans="11:15">
      <c r="K1167" s="1663">
        <v>43224</v>
      </c>
      <c r="L1167" s="1664" t="s">
        <v>2293</v>
      </c>
      <c r="M1167" s="1665">
        <v>2.462E-2</v>
      </c>
      <c r="N1167" s="1666">
        <v>1.4257922227891207</v>
      </c>
      <c r="O1167" s="1666"/>
    </row>
    <row r="1168" spans="11:15">
      <c r="K1168" s="1663">
        <v>43225</v>
      </c>
      <c r="L1168" s="1664"/>
      <c r="M1168" s="1665">
        <v>0</v>
      </c>
      <c r="N1168" s="1666">
        <v>1.4257922227891207</v>
      </c>
      <c r="O1168" s="1666"/>
    </row>
    <row r="1169" spans="11:15">
      <c r="K1169" s="1663">
        <v>43226</v>
      </c>
      <c r="L1169" s="1664"/>
      <c r="M1169" s="1665">
        <v>0</v>
      </c>
      <c r="N1169" s="1666">
        <v>1.4257922227891207</v>
      </c>
      <c r="O1169" s="1666"/>
    </row>
    <row r="1170" spans="11:15">
      <c r="K1170" s="1663">
        <v>43227</v>
      </c>
      <c r="L1170" s="1664" t="s">
        <v>2293</v>
      </c>
      <c r="M1170" s="1665">
        <v>2.462E-2</v>
      </c>
      <c r="N1170" s="1666">
        <v>1.4261432528343714</v>
      </c>
      <c r="O1170" s="1666"/>
    </row>
    <row r="1171" spans="11:15">
      <c r="K1171" s="1663">
        <v>43228</v>
      </c>
      <c r="L1171" s="1664" t="s">
        <v>2293</v>
      </c>
      <c r="M1171" s="1665">
        <v>2.462E-2</v>
      </c>
      <c r="N1171" s="1666">
        <v>1.4264943693032193</v>
      </c>
      <c r="O1171" s="1666"/>
    </row>
    <row r="1172" spans="11:15">
      <c r="K1172" s="1663">
        <v>43229</v>
      </c>
      <c r="L1172" s="1664" t="s">
        <v>2293</v>
      </c>
      <c r="M1172" s="1665">
        <v>2.462E-2</v>
      </c>
      <c r="N1172" s="1666">
        <v>1.4268455722169417</v>
      </c>
      <c r="O1172" s="1666"/>
    </row>
    <row r="1173" spans="11:15">
      <c r="K1173" s="1663">
        <v>43230</v>
      </c>
      <c r="L1173" s="1664" t="s">
        <v>2293</v>
      </c>
      <c r="M1173" s="1665">
        <v>2.462E-2</v>
      </c>
      <c r="N1173" s="1666">
        <v>1.4271968615968216</v>
      </c>
      <c r="O1173" s="1666"/>
    </row>
    <row r="1174" spans="11:15">
      <c r="K1174" s="1663">
        <v>43231</v>
      </c>
      <c r="L1174" s="1664" t="s">
        <v>2293</v>
      </c>
      <c r="M1174" s="1665">
        <v>2.462E-2</v>
      </c>
      <c r="N1174" s="1666">
        <v>1.4275482374641468</v>
      </c>
      <c r="O1174" s="1666"/>
    </row>
    <row r="1175" spans="11:15">
      <c r="K1175" s="1663">
        <v>43232</v>
      </c>
      <c r="L1175" s="1664"/>
      <c r="M1175" s="1665">
        <v>0</v>
      </c>
      <c r="N1175" s="1666">
        <v>1.4275482374641468</v>
      </c>
      <c r="O1175" s="1666"/>
    </row>
    <row r="1176" spans="11:15">
      <c r="K1176" s="1663">
        <v>43233</v>
      </c>
      <c r="L1176" s="1664"/>
      <c r="M1176" s="1665">
        <v>0</v>
      </c>
      <c r="N1176" s="1666">
        <v>1.4275482374641468</v>
      </c>
      <c r="O1176" s="1666"/>
    </row>
    <row r="1177" spans="11:15">
      <c r="K1177" s="1663">
        <v>43234</v>
      </c>
      <c r="L1177" s="1664" t="s">
        <v>2293</v>
      </c>
      <c r="M1177" s="1665">
        <v>2.462E-2</v>
      </c>
      <c r="N1177" s="1666">
        <v>1.4278996998402107</v>
      </c>
      <c r="O1177" s="1666"/>
    </row>
    <row r="1178" spans="11:15">
      <c r="K1178" s="1663">
        <v>43235</v>
      </c>
      <c r="L1178" s="1664" t="s">
        <v>2293</v>
      </c>
      <c r="M1178" s="1665">
        <v>2.462E-2</v>
      </c>
      <c r="N1178" s="1666">
        <v>1.4282512487463115</v>
      </c>
      <c r="O1178" s="1666"/>
    </row>
    <row r="1179" spans="11:15">
      <c r="K1179" s="1663">
        <v>43236</v>
      </c>
      <c r="L1179" s="1664" t="s">
        <v>2293</v>
      </c>
      <c r="M1179" s="1665">
        <v>2.462E-2</v>
      </c>
      <c r="N1179" s="1666">
        <v>1.428602884203753</v>
      </c>
      <c r="O1179" s="1666"/>
    </row>
    <row r="1180" spans="11:15">
      <c r="K1180" s="1663">
        <v>43237</v>
      </c>
      <c r="L1180" s="1664" t="s">
        <v>2293</v>
      </c>
      <c r="M1180" s="1665">
        <v>2.462E-2</v>
      </c>
      <c r="N1180" s="1666">
        <v>1.4289546062338441</v>
      </c>
      <c r="O1180" s="1666"/>
    </row>
    <row r="1181" spans="11:15">
      <c r="K1181" s="1663">
        <v>43238</v>
      </c>
      <c r="L1181" s="1664" t="s">
        <v>2293</v>
      </c>
      <c r="M1181" s="1665">
        <v>2.462E-2</v>
      </c>
      <c r="N1181" s="1666">
        <v>1.4293064148578989</v>
      </c>
      <c r="O1181" s="1666"/>
    </row>
    <row r="1182" spans="11:15">
      <c r="K1182" s="1663">
        <v>43239</v>
      </c>
      <c r="L1182" s="1664"/>
      <c r="M1182" s="1665">
        <v>0</v>
      </c>
      <c r="N1182" s="1666">
        <v>1.4293064148578989</v>
      </c>
      <c r="O1182" s="1666"/>
    </row>
    <row r="1183" spans="11:15">
      <c r="K1183" s="1663">
        <v>43240</v>
      </c>
      <c r="L1183" s="1664"/>
      <c r="M1183" s="1665">
        <v>0</v>
      </c>
      <c r="N1183" s="1666">
        <v>1.4293064148578989</v>
      </c>
      <c r="O1183" s="1666"/>
    </row>
    <row r="1184" spans="11:15">
      <c r="K1184" s="1663">
        <v>43241</v>
      </c>
      <c r="L1184" s="1664" t="s">
        <v>2293</v>
      </c>
      <c r="M1184" s="1665">
        <v>2.462E-2</v>
      </c>
      <c r="N1184" s="1666">
        <v>1.4296583100972371</v>
      </c>
      <c r="O1184" s="1666"/>
    </row>
    <row r="1185" spans="11:15">
      <c r="K1185" s="1663">
        <v>43242</v>
      </c>
      <c r="L1185" s="1664" t="s">
        <v>2293</v>
      </c>
      <c r="M1185" s="1665">
        <v>2.462E-2</v>
      </c>
      <c r="N1185" s="1666">
        <v>1.4300102919731832</v>
      </c>
      <c r="O1185" s="1666"/>
    </row>
    <row r="1186" spans="11:15">
      <c r="K1186" s="1663">
        <v>43243</v>
      </c>
      <c r="L1186" s="1664" t="s">
        <v>2293</v>
      </c>
      <c r="M1186" s="1665">
        <v>2.462E-2</v>
      </c>
      <c r="N1186" s="1666">
        <v>1.430362360507067</v>
      </c>
      <c r="O1186" s="1666"/>
    </row>
    <row r="1187" spans="11:15">
      <c r="K1187" s="1663">
        <v>43244</v>
      </c>
      <c r="L1187" s="1664" t="s">
        <v>2293</v>
      </c>
      <c r="M1187" s="1665">
        <v>2.462E-2</v>
      </c>
      <c r="N1187" s="1666">
        <v>1.4307145157202239</v>
      </c>
      <c r="O1187" s="1666"/>
    </row>
    <row r="1188" spans="11:15">
      <c r="K1188" s="1663">
        <v>43245</v>
      </c>
      <c r="L1188" s="1664" t="s">
        <v>2293</v>
      </c>
      <c r="M1188" s="1665">
        <v>2.462E-2</v>
      </c>
      <c r="N1188" s="1666">
        <v>1.4310667576339944</v>
      </c>
      <c r="O1188" s="1666"/>
    </row>
    <row r="1189" spans="11:15">
      <c r="K1189" s="1663">
        <v>43246</v>
      </c>
      <c r="L1189" s="1664"/>
      <c r="M1189" s="1665">
        <v>0</v>
      </c>
      <c r="N1189" s="1666">
        <v>1.4310667576339944</v>
      </c>
      <c r="O1189" s="1666"/>
    </row>
    <row r="1190" spans="11:15">
      <c r="K1190" s="1663">
        <v>43247</v>
      </c>
      <c r="L1190" s="1664"/>
      <c r="M1190" s="1665">
        <v>0</v>
      </c>
      <c r="N1190" s="1666">
        <v>1.4310667576339944</v>
      </c>
      <c r="O1190" s="1666"/>
    </row>
    <row r="1191" spans="11:15">
      <c r="K1191" s="1663">
        <v>43248</v>
      </c>
      <c r="L1191" s="1664" t="s">
        <v>2293</v>
      </c>
      <c r="M1191" s="1665">
        <v>2.462E-2</v>
      </c>
      <c r="N1191" s="1666">
        <v>1.431419086269724</v>
      </c>
      <c r="O1191" s="1666"/>
    </row>
    <row r="1192" spans="11:15">
      <c r="K1192" s="1663">
        <v>43249</v>
      </c>
      <c r="L1192" s="1664" t="s">
        <v>2293</v>
      </c>
      <c r="M1192" s="1665">
        <v>2.462E-2</v>
      </c>
      <c r="N1192" s="1666">
        <v>1.4317715016487638</v>
      </c>
      <c r="O1192" s="1666"/>
    </row>
    <row r="1193" spans="11:15">
      <c r="K1193" s="1663">
        <v>43250</v>
      </c>
      <c r="L1193" s="1664" t="s">
        <v>2293</v>
      </c>
      <c r="M1193" s="1665">
        <v>2.462E-2</v>
      </c>
      <c r="N1193" s="1666">
        <v>1.4321240037924698</v>
      </c>
      <c r="O1193" s="1666"/>
    </row>
    <row r="1194" spans="11:15">
      <c r="K1194" s="1663">
        <v>43251</v>
      </c>
      <c r="L1194" s="1664"/>
      <c r="M1194" s="1665">
        <v>0</v>
      </c>
      <c r="N1194" s="1666">
        <v>1.4321240037924698</v>
      </c>
      <c r="O1194" s="1666"/>
    </row>
    <row r="1195" spans="11:15">
      <c r="K1195" s="1663">
        <v>43252</v>
      </c>
      <c r="L1195" s="1664" t="s">
        <v>2293</v>
      </c>
      <c r="M1195" s="1665">
        <v>2.462E-2</v>
      </c>
      <c r="N1195" s="1666">
        <v>1.4324765927222036</v>
      </c>
      <c r="O1195" s="1666"/>
    </row>
    <row r="1196" spans="11:15">
      <c r="K1196" s="1663">
        <v>43253</v>
      </c>
      <c r="L1196" s="1664"/>
      <c r="M1196" s="1665">
        <v>0</v>
      </c>
      <c r="N1196" s="1666">
        <v>1.4324765927222036</v>
      </c>
      <c r="O1196" s="1666"/>
    </row>
    <row r="1197" spans="11:15">
      <c r="K1197" s="1663">
        <v>43254</v>
      </c>
      <c r="L1197" s="1664"/>
      <c r="M1197" s="1665">
        <v>0</v>
      </c>
      <c r="N1197" s="1666">
        <v>1.4324765927222036</v>
      </c>
      <c r="O1197" s="1666"/>
    </row>
    <row r="1198" spans="11:15">
      <c r="K1198" s="1663">
        <v>43255</v>
      </c>
      <c r="L1198" s="1664" t="s">
        <v>2293</v>
      </c>
      <c r="M1198" s="1665">
        <v>2.462E-2</v>
      </c>
      <c r="N1198" s="1666">
        <v>1.432829268459332</v>
      </c>
      <c r="O1198" s="1666"/>
    </row>
    <row r="1199" spans="11:15">
      <c r="K1199" s="1663">
        <v>43256</v>
      </c>
      <c r="L1199" s="1664" t="s">
        <v>2293</v>
      </c>
      <c r="M1199" s="1665">
        <v>2.462E-2</v>
      </c>
      <c r="N1199" s="1666">
        <v>1.4331820310252268</v>
      </c>
      <c r="O1199" s="1666"/>
    </row>
    <row r="1200" spans="11:15">
      <c r="K1200" s="1663">
        <v>43257</v>
      </c>
      <c r="L1200" s="1664" t="s">
        <v>2293</v>
      </c>
      <c r="M1200" s="1665">
        <v>2.462E-2</v>
      </c>
      <c r="N1200" s="1666">
        <v>1.4335348804412653</v>
      </c>
      <c r="O1200" s="1666"/>
    </row>
    <row r="1201" spans="11:15">
      <c r="K1201" s="1663">
        <v>43258</v>
      </c>
      <c r="L1201" s="1664" t="s">
        <v>2293</v>
      </c>
      <c r="M1201" s="1665">
        <v>2.462E-2</v>
      </c>
      <c r="N1201" s="1666">
        <v>1.43388781672883</v>
      </c>
      <c r="O1201" s="1666"/>
    </row>
    <row r="1202" spans="11:15">
      <c r="K1202" s="1663">
        <v>43259</v>
      </c>
      <c r="L1202" s="1664" t="s">
        <v>2293</v>
      </c>
      <c r="M1202" s="1665">
        <v>2.462E-2</v>
      </c>
      <c r="N1202" s="1666">
        <v>1.4342408399093087</v>
      </c>
      <c r="O1202" s="1666"/>
    </row>
    <row r="1203" spans="11:15">
      <c r="K1203" s="1663">
        <v>43260</v>
      </c>
      <c r="L1203" s="1664"/>
      <c r="M1203" s="1665">
        <v>0</v>
      </c>
      <c r="N1203" s="1666">
        <v>1.4342408399093087</v>
      </c>
      <c r="O1203" s="1666"/>
    </row>
    <row r="1204" spans="11:15">
      <c r="K1204" s="1663">
        <v>43261</v>
      </c>
      <c r="L1204" s="1664"/>
      <c r="M1204" s="1665">
        <v>0</v>
      </c>
      <c r="N1204" s="1666">
        <v>1.4342408399093087</v>
      </c>
      <c r="O1204" s="1666"/>
    </row>
    <row r="1205" spans="11:15">
      <c r="K1205" s="1663">
        <v>43262</v>
      </c>
      <c r="L1205" s="1664" t="s">
        <v>2293</v>
      </c>
      <c r="M1205" s="1665">
        <v>2.462E-2</v>
      </c>
      <c r="N1205" s="1666">
        <v>1.4345939500040945</v>
      </c>
      <c r="O1205" s="1666"/>
    </row>
    <row r="1206" spans="11:15">
      <c r="K1206" s="1663">
        <v>43263</v>
      </c>
      <c r="L1206" s="1664" t="s">
        <v>2293</v>
      </c>
      <c r="M1206" s="1665">
        <v>2.462E-2</v>
      </c>
      <c r="N1206" s="1666">
        <v>1.4349471470345856</v>
      </c>
      <c r="O1206" s="1666"/>
    </row>
    <row r="1207" spans="11:15">
      <c r="K1207" s="1663">
        <v>43264</v>
      </c>
      <c r="L1207" s="1664" t="s">
        <v>2293</v>
      </c>
      <c r="M1207" s="1665">
        <v>2.462E-2</v>
      </c>
      <c r="N1207" s="1666">
        <v>1.4353004310221855</v>
      </c>
      <c r="O1207" s="1666"/>
    </row>
    <row r="1208" spans="11:15">
      <c r="K1208" s="1663">
        <v>43265</v>
      </c>
      <c r="L1208" s="1664" t="s">
        <v>2293</v>
      </c>
      <c r="M1208" s="1665">
        <v>2.462E-2</v>
      </c>
      <c r="N1208" s="1666">
        <v>1.4356538019883034</v>
      </c>
      <c r="O1208" s="1666"/>
    </row>
    <row r="1209" spans="11:15">
      <c r="K1209" s="1663">
        <v>43266</v>
      </c>
      <c r="L1209" s="1664" t="s">
        <v>2293</v>
      </c>
      <c r="M1209" s="1665">
        <v>2.462E-2</v>
      </c>
      <c r="N1209" s="1666">
        <v>1.436007259954353</v>
      </c>
      <c r="O1209" s="1666"/>
    </row>
    <row r="1210" spans="11:15">
      <c r="K1210" s="1663">
        <v>43267</v>
      </c>
      <c r="L1210" s="1664"/>
      <c r="M1210" s="1665">
        <v>0</v>
      </c>
      <c r="N1210" s="1666">
        <v>1.436007259954353</v>
      </c>
      <c r="O1210" s="1666"/>
    </row>
    <row r="1211" spans="11:15">
      <c r="K1211" s="1663">
        <v>43268</v>
      </c>
      <c r="L1211" s="1664"/>
      <c r="M1211" s="1665">
        <v>0</v>
      </c>
      <c r="N1211" s="1666">
        <v>1.436007259954353</v>
      </c>
      <c r="O1211" s="1666"/>
    </row>
    <row r="1212" spans="11:15">
      <c r="K1212" s="1663">
        <v>43269</v>
      </c>
      <c r="L1212" s="1664" t="s">
        <v>2293</v>
      </c>
      <c r="M1212" s="1665">
        <v>2.462E-2</v>
      </c>
      <c r="N1212" s="1666">
        <v>1.4363608049417538</v>
      </c>
      <c r="O1212" s="1666"/>
    </row>
    <row r="1213" spans="11:15">
      <c r="K1213" s="1663">
        <v>43270</v>
      </c>
      <c r="L1213" s="1664" t="s">
        <v>2293</v>
      </c>
      <c r="M1213" s="1665">
        <v>2.462E-2</v>
      </c>
      <c r="N1213" s="1666">
        <v>1.4367144369719305</v>
      </c>
      <c r="O1213" s="1666"/>
    </row>
    <row r="1214" spans="11:15">
      <c r="K1214" s="1663">
        <v>43271</v>
      </c>
      <c r="L1214" s="1664" t="s">
        <v>2293</v>
      </c>
      <c r="M1214" s="1665">
        <v>2.462E-2</v>
      </c>
      <c r="N1214" s="1666">
        <v>1.437068156066313</v>
      </c>
      <c r="O1214" s="1666"/>
    </row>
    <row r="1215" spans="11:15">
      <c r="K1215" s="1663">
        <v>43272</v>
      </c>
      <c r="L1215" s="1664" t="s">
        <v>2293</v>
      </c>
      <c r="M1215" s="1665">
        <v>2.462E-2</v>
      </c>
      <c r="N1215" s="1666">
        <v>1.4374219622463367</v>
      </c>
      <c r="O1215" s="1666"/>
    </row>
    <row r="1216" spans="11:15">
      <c r="K1216" s="1663">
        <v>43273</v>
      </c>
      <c r="L1216" s="1664" t="s">
        <v>2293</v>
      </c>
      <c r="M1216" s="1665">
        <v>2.462E-2</v>
      </c>
      <c r="N1216" s="1666">
        <v>1.4377758555334419</v>
      </c>
      <c r="O1216" s="1666"/>
    </row>
    <row r="1217" spans="11:15">
      <c r="K1217" s="1663">
        <v>43274</v>
      </c>
      <c r="L1217" s="1664"/>
      <c r="M1217" s="1665">
        <v>0</v>
      </c>
      <c r="N1217" s="1666">
        <v>1.4377758555334419</v>
      </c>
      <c r="O1217" s="1666"/>
    </row>
    <row r="1218" spans="11:15">
      <c r="K1218" s="1663">
        <v>43275</v>
      </c>
      <c r="L1218" s="1664"/>
      <c r="M1218" s="1665">
        <v>0</v>
      </c>
      <c r="N1218" s="1666">
        <v>1.4377758555334419</v>
      </c>
      <c r="O1218" s="1666"/>
    </row>
    <row r="1219" spans="11:15">
      <c r="K1219" s="1663">
        <v>43276</v>
      </c>
      <c r="L1219" s="1664" t="s">
        <v>2293</v>
      </c>
      <c r="M1219" s="1665">
        <v>2.462E-2</v>
      </c>
      <c r="N1219" s="1666">
        <v>1.4381298359490744</v>
      </c>
      <c r="O1219" s="1666"/>
    </row>
    <row r="1220" spans="11:15">
      <c r="K1220" s="1663">
        <v>43277</v>
      </c>
      <c r="L1220" s="1664" t="s">
        <v>2293</v>
      </c>
      <c r="M1220" s="1665">
        <v>2.462E-2</v>
      </c>
      <c r="N1220" s="1666">
        <v>1.4384839035146852</v>
      </c>
      <c r="O1220" s="1666"/>
    </row>
    <row r="1221" spans="11:15">
      <c r="K1221" s="1663">
        <v>43278</v>
      </c>
      <c r="L1221" s="1664" t="s">
        <v>2293</v>
      </c>
      <c r="M1221" s="1665">
        <v>2.462E-2</v>
      </c>
      <c r="N1221" s="1666">
        <v>1.4388380582517306</v>
      </c>
      <c r="O1221" s="1666"/>
    </row>
    <row r="1222" spans="11:15">
      <c r="K1222" s="1663">
        <v>43279</v>
      </c>
      <c r="L1222" s="1664" t="s">
        <v>2293</v>
      </c>
      <c r="M1222" s="1665">
        <v>2.462E-2</v>
      </c>
      <c r="N1222" s="1666">
        <v>1.4391923001816722</v>
      </c>
      <c r="O1222" s="1666"/>
    </row>
    <row r="1223" spans="11:15">
      <c r="K1223" s="1663">
        <v>43280</v>
      </c>
      <c r="L1223" s="1664" t="s">
        <v>2293</v>
      </c>
      <c r="M1223" s="1665">
        <v>2.462E-2</v>
      </c>
      <c r="N1223" s="1666">
        <v>1.4395466293259771</v>
      </c>
      <c r="O1223" s="1666"/>
    </row>
    <row r="1224" spans="11:15">
      <c r="K1224" s="1663">
        <v>43281</v>
      </c>
      <c r="L1224" s="1664"/>
      <c r="M1224" s="1665">
        <v>0</v>
      </c>
      <c r="N1224" s="1666">
        <v>1.4395466293259771</v>
      </c>
      <c r="O1224" s="1666"/>
    </row>
    <row r="1225" spans="11:15">
      <c r="K1225" s="1663">
        <v>43282</v>
      </c>
      <c r="L1225" s="1664"/>
      <c r="M1225" s="1665">
        <v>0</v>
      </c>
      <c r="N1225" s="1666">
        <v>1.4395466293259771</v>
      </c>
      <c r="O1225" s="1666"/>
    </row>
    <row r="1226" spans="11:15">
      <c r="K1226" s="1663">
        <v>43283</v>
      </c>
      <c r="L1226" s="1664" t="s">
        <v>2293</v>
      </c>
      <c r="M1226" s="1665">
        <v>2.462E-2</v>
      </c>
      <c r="N1226" s="1666">
        <v>1.4399010457061172</v>
      </c>
      <c r="O1226" s="1666"/>
    </row>
    <row r="1227" spans="11:15">
      <c r="K1227" s="1663">
        <v>43284</v>
      </c>
      <c r="L1227" s="1664" t="s">
        <v>2293</v>
      </c>
      <c r="M1227" s="1665">
        <v>2.462E-2</v>
      </c>
      <c r="N1227" s="1666">
        <v>1.4402555493435703</v>
      </c>
      <c r="O1227" s="1666"/>
    </row>
    <row r="1228" spans="11:15">
      <c r="K1228" s="1663">
        <v>43285</v>
      </c>
      <c r="L1228" s="1664" t="s">
        <v>2293</v>
      </c>
      <c r="M1228" s="1665">
        <v>2.462E-2</v>
      </c>
      <c r="N1228" s="1666">
        <v>1.4406101402598188</v>
      </c>
      <c r="O1228" s="1666"/>
    </row>
    <row r="1229" spans="11:15">
      <c r="K1229" s="1663">
        <v>43286</v>
      </c>
      <c r="L1229" s="1664" t="s">
        <v>2293</v>
      </c>
      <c r="M1229" s="1665">
        <v>2.462E-2</v>
      </c>
      <c r="N1229" s="1666">
        <v>1.4409648184763508</v>
      </c>
      <c r="O1229" s="1666"/>
    </row>
    <row r="1230" spans="11:15">
      <c r="K1230" s="1663">
        <v>43287</v>
      </c>
      <c r="L1230" s="1664" t="s">
        <v>2293</v>
      </c>
      <c r="M1230" s="1665">
        <v>2.462E-2</v>
      </c>
      <c r="N1230" s="1666">
        <v>1.4413195840146598</v>
      </c>
      <c r="O1230" s="1666"/>
    </row>
    <row r="1231" spans="11:15">
      <c r="K1231" s="1663">
        <v>43288</v>
      </c>
      <c r="L1231" s="1664"/>
      <c r="M1231" s="1665">
        <v>0</v>
      </c>
      <c r="N1231" s="1666">
        <v>1.4413195840146598</v>
      </c>
      <c r="O1231" s="1666"/>
    </row>
    <row r="1232" spans="11:15">
      <c r="K1232" s="1663">
        <v>43289</v>
      </c>
      <c r="L1232" s="1664"/>
      <c r="M1232" s="1665">
        <v>0</v>
      </c>
      <c r="N1232" s="1666">
        <v>1.4413195840146598</v>
      </c>
      <c r="O1232" s="1666"/>
    </row>
    <row r="1233" spans="11:15">
      <c r="K1233" s="1663">
        <v>43290</v>
      </c>
      <c r="L1233" s="1664" t="s">
        <v>2293</v>
      </c>
      <c r="M1233" s="1665">
        <v>2.462E-2</v>
      </c>
      <c r="N1233" s="1666">
        <v>1.4416744368962442</v>
      </c>
      <c r="O1233" s="1666"/>
    </row>
    <row r="1234" spans="11:15">
      <c r="K1234" s="1663">
        <v>43291</v>
      </c>
      <c r="L1234" s="1664" t="s">
        <v>2293</v>
      </c>
      <c r="M1234" s="1665">
        <v>2.462E-2</v>
      </c>
      <c r="N1234" s="1666">
        <v>1.4420293771426083</v>
      </c>
      <c r="O1234" s="1666"/>
    </row>
    <row r="1235" spans="11:15">
      <c r="K1235" s="1663">
        <v>43292</v>
      </c>
      <c r="L1235" s="1664" t="s">
        <v>2293</v>
      </c>
      <c r="M1235" s="1665">
        <v>2.462E-2</v>
      </c>
      <c r="N1235" s="1666">
        <v>1.442384404775261</v>
      </c>
      <c r="O1235" s="1666"/>
    </row>
    <row r="1236" spans="11:15">
      <c r="K1236" s="1663">
        <v>43293</v>
      </c>
      <c r="L1236" s="1664" t="s">
        <v>2293</v>
      </c>
      <c r="M1236" s="1665">
        <v>2.462E-2</v>
      </c>
      <c r="N1236" s="1666">
        <v>1.4427395198157167</v>
      </c>
      <c r="O1236" s="1666"/>
    </row>
    <row r="1237" spans="11:15">
      <c r="K1237" s="1663">
        <v>43294</v>
      </c>
      <c r="L1237" s="1664" t="s">
        <v>2293</v>
      </c>
      <c r="M1237" s="1665">
        <v>2.462E-2</v>
      </c>
      <c r="N1237" s="1666">
        <v>1.4430947222854955</v>
      </c>
      <c r="O1237" s="1666"/>
    </row>
    <row r="1238" spans="11:15">
      <c r="K1238" s="1663">
        <v>43295</v>
      </c>
      <c r="L1238" s="1664"/>
      <c r="M1238" s="1665">
        <v>0</v>
      </c>
      <c r="N1238" s="1666">
        <v>1.4430947222854955</v>
      </c>
      <c r="O1238" s="1666"/>
    </row>
    <row r="1239" spans="11:15">
      <c r="K1239" s="1663">
        <v>43296</v>
      </c>
      <c r="L1239" s="1664"/>
      <c r="M1239" s="1665">
        <v>0</v>
      </c>
      <c r="N1239" s="1666">
        <v>1.4430947222854955</v>
      </c>
      <c r="O1239" s="1666"/>
    </row>
    <row r="1240" spans="11:15">
      <c r="K1240" s="1663">
        <v>43297</v>
      </c>
      <c r="L1240" s="1664" t="s">
        <v>2293</v>
      </c>
      <c r="M1240" s="1665">
        <v>2.462E-2</v>
      </c>
      <c r="N1240" s="1666">
        <v>1.4434500122061222</v>
      </c>
      <c r="O1240" s="1666"/>
    </row>
    <row r="1241" spans="11:15">
      <c r="K1241" s="1663">
        <v>43298</v>
      </c>
      <c r="L1241" s="1664" t="s">
        <v>2293</v>
      </c>
      <c r="M1241" s="1665">
        <v>2.462E-2</v>
      </c>
      <c r="N1241" s="1666">
        <v>1.4438053895991274</v>
      </c>
      <c r="O1241" s="1666"/>
    </row>
    <row r="1242" spans="11:15">
      <c r="K1242" s="1663">
        <v>43299</v>
      </c>
      <c r="L1242" s="1664" t="s">
        <v>2293</v>
      </c>
      <c r="M1242" s="1665">
        <v>2.462E-2</v>
      </c>
      <c r="N1242" s="1666">
        <v>1.4441608544860469</v>
      </c>
      <c r="O1242" s="1666"/>
    </row>
    <row r="1243" spans="11:15">
      <c r="K1243" s="1663">
        <v>43300</v>
      </c>
      <c r="L1243" s="1664" t="s">
        <v>2293</v>
      </c>
      <c r="M1243" s="1665">
        <v>2.462E-2</v>
      </c>
      <c r="N1243" s="1666">
        <v>1.4445164068884215</v>
      </c>
      <c r="O1243" s="1666"/>
    </row>
    <row r="1244" spans="11:15">
      <c r="K1244" s="1663">
        <v>43301</v>
      </c>
      <c r="L1244" s="1664" t="s">
        <v>2293</v>
      </c>
      <c r="M1244" s="1665">
        <v>2.462E-2</v>
      </c>
      <c r="N1244" s="1666">
        <v>1.4448720468277976</v>
      </c>
      <c r="O1244" s="1666"/>
    </row>
    <row r="1245" spans="11:15">
      <c r="K1245" s="1663">
        <v>43302</v>
      </c>
      <c r="L1245" s="1664"/>
      <c r="M1245" s="1665">
        <v>0</v>
      </c>
      <c r="N1245" s="1666">
        <v>1.4448720468277976</v>
      </c>
      <c r="O1245" s="1666"/>
    </row>
    <row r="1246" spans="11:15">
      <c r="K1246" s="1663">
        <v>43303</v>
      </c>
      <c r="L1246" s="1664"/>
      <c r="M1246" s="1665">
        <v>0</v>
      </c>
      <c r="N1246" s="1666">
        <v>1.4448720468277976</v>
      </c>
      <c r="O1246" s="1666"/>
    </row>
    <row r="1247" spans="11:15">
      <c r="K1247" s="1663">
        <v>43304</v>
      </c>
      <c r="L1247" s="1664" t="s">
        <v>2293</v>
      </c>
      <c r="M1247" s="1665">
        <v>2.462E-2</v>
      </c>
      <c r="N1247" s="1666">
        <v>1.4452277743257267</v>
      </c>
      <c r="O1247" s="1666"/>
    </row>
    <row r="1248" spans="11:15">
      <c r="K1248" s="1663">
        <v>43305</v>
      </c>
      <c r="L1248" s="1664" t="s">
        <v>2293</v>
      </c>
      <c r="M1248" s="1665">
        <v>2.462E-2</v>
      </c>
      <c r="N1248" s="1666">
        <v>1.4455835894037659</v>
      </c>
      <c r="O1248" s="1666"/>
    </row>
    <row r="1249" spans="11:15">
      <c r="K1249" s="1663">
        <v>43306</v>
      </c>
      <c r="L1249" s="1664" t="s">
        <v>2293</v>
      </c>
      <c r="M1249" s="1665">
        <v>2.462E-2</v>
      </c>
      <c r="N1249" s="1666">
        <v>1.4459394920834772</v>
      </c>
      <c r="O1249" s="1666"/>
    </row>
    <row r="1250" spans="11:15">
      <c r="K1250" s="1663">
        <v>43307</v>
      </c>
      <c r="L1250" s="1664" t="s">
        <v>2293</v>
      </c>
      <c r="M1250" s="1665">
        <v>2.462E-2</v>
      </c>
      <c r="N1250" s="1666">
        <v>1.4462954823864282</v>
      </c>
      <c r="O1250" s="1666"/>
    </row>
    <row r="1251" spans="11:15">
      <c r="K1251" s="1663">
        <v>43308</v>
      </c>
      <c r="L1251" s="1664" t="s">
        <v>2293</v>
      </c>
      <c r="M1251" s="1665">
        <v>2.462E-2</v>
      </c>
      <c r="N1251" s="1666">
        <v>1.4466515603341918</v>
      </c>
      <c r="O1251" s="1666"/>
    </row>
    <row r="1252" spans="11:15">
      <c r="K1252" s="1663">
        <v>43309</v>
      </c>
      <c r="L1252" s="1664"/>
      <c r="M1252" s="1665">
        <v>0</v>
      </c>
      <c r="N1252" s="1666">
        <v>1.4466515603341918</v>
      </c>
      <c r="O1252" s="1666"/>
    </row>
    <row r="1253" spans="11:15">
      <c r="K1253" s="1663">
        <v>43310</v>
      </c>
      <c r="L1253" s="1664"/>
      <c r="M1253" s="1665">
        <v>0</v>
      </c>
      <c r="N1253" s="1666">
        <v>1.4466515603341918</v>
      </c>
      <c r="O1253" s="1666"/>
    </row>
    <row r="1254" spans="11:15">
      <c r="K1254" s="1663">
        <v>43311</v>
      </c>
      <c r="L1254" s="1664" t="s">
        <v>2293</v>
      </c>
      <c r="M1254" s="1665">
        <v>2.462E-2</v>
      </c>
      <c r="N1254" s="1666">
        <v>1.4470077259483463</v>
      </c>
      <c r="O1254" s="1666"/>
    </row>
    <row r="1255" spans="11:15">
      <c r="K1255" s="1663">
        <v>43312</v>
      </c>
      <c r="L1255" s="1664" t="s">
        <v>2293</v>
      </c>
      <c r="M1255" s="1665">
        <v>2.462E-2</v>
      </c>
      <c r="N1255" s="1666">
        <v>1.4473639792504749</v>
      </c>
      <c r="O1255" s="1666"/>
    </row>
    <row r="1256" spans="11:15">
      <c r="K1256" s="1663">
        <v>43313</v>
      </c>
      <c r="L1256" s="1664" t="s">
        <v>2293</v>
      </c>
      <c r="M1256" s="1665">
        <v>2.462E-2</v>
      </c>
      <c r="N1256" s="1666">
        <v>1.4477203202621665</v>
      </c>
      <c r="O1256" s="1666"/>
    </row>
    <row r="1257" spans="11:15">
      <c r="K1257" s="1663">
        <v>43314</v>
      </c>
      <c r="L1257" s="1664" t="s">
        <v>2293</v>
      </c>
      <c r="M1257" s="1665">
        <v>2.462E-2</v>
      </c>
      <c r="N1257" s="1666">
        <v>1.448076749005015</v>
      </c>
      <c r="O1257" s="1666"/>
    </row>
    <row r="1258" spans="11:15">
      <c r="K1258" s="1663">
        <v>43315</v>
      </c>
      <c r="L1258" s="1664" t="s">
        <v>2293</v>
      </c>
      <c r="M1258" s="1665">
        <v>2.462E-2</v>
      </c>
      <c r="N1258" s="1666">
        <v>1.4484332655006202</v>
      </c>
      <c r="O1258" s="1666"/>
    </row>
    <row r="1259" spans="11:15">
      <c r="K1259" s="1663">
        <v>43316</v>
      </c>
      <c r="L1259" s="1664"/>
      <c r="M1259" s="1665">
        <v>0</v>
      </c>
      <c r="N1259" s="1666">
        <v>1.4484332655006202</v>
      </c>
      <c r="O1259" s="1666"/>
    </row>
    <row r="1260" spans="11:15">
      <c r="K1260" s="1663">
        <v>43317</v>
      </c>
      <c r="L1260" s="1664"/>
      <c r="M1260" s="1665">
        <v>0</v>
      </c>
      <c r="N1260" s="1666">
        <v>1.4484332655006202</v>
      </c>
      <c r="O1260" s="1666"/>
    </row>
    <row r="1261" spans="11:15">
      <c r="K1261" s="1663">
        <v>43318</v>
      </c>
      <c r="L1261" s="1664" t="s">
        <v>2293</v>
      </c>
      <c r="M1261" s="1665">
        <v>2.462E-2</v>
      </c>
      <c r="N1261" s="1666">
        <v>1.4487898697705865</v>
      </c>
      <c r="O1261" s="1666"/>
    </row>
    <row r="1262" spans="11:15">
      <c r="K1262" s="1663">
        <v>43319</v>
      </c>
      <c r="L1262" s="1664" t="s">
        <v>2293</v>
      </c>
      <c r="M1262" s="1665">
        <v>2.462E-2</v>
      </c>
      <c r="N1262" s="1666">
        <v>1.4491465618365242</v>
      </c>
      <c r="O1262" s="1666"/>
    </row>
    <row r="1263" spans="11:15">
      <c r="K1263" s="1663">
        <v>43320</v>
      </c>
      <c r="L1263" s="1664" t="s">
        <v>2293</v>
      </c>
      <c r="M1263" s="1665">
        <v>2.462E-2</v>
      </c>
      <c r="N1263" s="1666">
        <v>1.4495033417200485</v>
      </c>
      <c r="O1263" s="1666"/>
    </row>
    <row r="1264" spans="11:15">
      <c r="K1264" s="1663">
        <v>43321</v>
      </c>
      <c r="L1264" s="1664" t="s">
        <v>2293</v>
      </c>
      <c r="M1264" s="1665">
        <v>2.462E-2</v>
      </c>
      <c r="N1264" s="1666">
        <v>1.4498602094427802</v>
      </c>
      <c r="O1264" s="1666"/>
    </row>
    <row r="1265" spans="11:15">
      <c r="K1265" s="1663">
        <v>43322</v>
      </c>
      <c r="L1265" s="1664" t="s">
        <v>2293</v>
      </c>
      <c r="M1265" s="1665">
        <v>2.462E-2</v>
      </c>
      <c r="N1265" s="1666">
        <v>1.4502171650263451</v>
      </c>
      <c r="O1265" s="1666"/>
    </row>
    <row r="1266" spans="11:15">
      <c r="K1266" s="1663">
        <v>43323</v>
      </c>
      <c r="L1266" s="1664"/>
      <c r="M1266" s="1665">
        <v>0</v>
      </c>
      <c r="N1266" s="1666">
        <v>1.4502171650263451</v>
      </c>
      <c r="O1266" s="1666"/>
    </row>
    <row r="1267" spans="11:15">
      <c r="K1267" s="1663">
        <v>43324</v>
      </c>
      <c r="L1267" s="1664"/>
      <c r="M1267" s="1665">
        <v>0</v>
      </c>
      <c r="N1267" s="1666">
        <v>1.4502171650263451</v>
      </c>
      <c r="O1267" s="1666"/>
    </row>
    <row r="1268" spans="11:15">
      <c r="K1268" s="1663">
        <v>43325</v>
      </c>
      <c r="L1268" s="1664" t="s">
        <v>2293</v>
      </c>
      <c r="M1268" s="1665">
        <v>2.462E-2</v>
      </c>
      <c r="N1268" s="1666">
        <v>1.4505742084923747</v>
      </c>
      <c r="O1268" s="1666"/>
    </row>
    <row r="1269" spans="11:15">
      <c r="K1269" s="1663">
        <v>43326</v>
      </c>
      <c r="L1269" s="1664" t="s">
        <v>2293</v>
      </c>
      <c r="M1269" s="1665">
        <v>2.462E-2</v>
      </c>
      <c r="N1269" s="1666">
        <v>1.4509313398625057</v>
      </c>
      <c r="O1269" s="1666"/>
    </row>
    <row r="1270" spans="11:15">
      <c r="K1270" s="1663">
        <v>43327</v>
      </c>
      <c r="L1270" s="1664" t="s">
        <v>2293</v>
      </c>
      <c r="M1270" s="1665">
        <v>2.462E-2</v>
      </c>
      <c r="N1270" s="1666">
        <v>1.45128855915838</v>
      </c>
      <c r="O1270" s="1666"/>
    </row>
    <row r="1271" spans="11:15">
      <c r="K1271" s="1663">
        <v>43328</v>
      </c>
      <c r="L1271" s="1664" t="s">
        <v>2293</v>
      </c>
      <c r="M1271" s="1665">
        <v>2.462E-2</v>
      </c>
      <c r="N1271" s="1666">
        <v>1.4516458664016449</v>
      </c>
      <c r="O1271" s="1666"/>
    </row>
    <row r="1272" spans="11:15">
      <c r="K1272" s="1663">
        <v>43329</v>
      </c>
      <c r="L1272" s="1664" t="s">
        <v>2293</v>
      </c>
      <c r="M1272" s="1665">
        <v>2.462E-2</v>
      </c>
      <c r="N1272" s="1666">
        <v>1.4520032616139531</v>
      </c>
      <c r="O1272" s="1666"/>
    </row>
    <row r="1273" spans="11:15">
      <c r="K1273" s="1663">
        <v>43330</v>
      </c>
      <c r="L1273" s="1664"/>
      <c r="M1273" s="1665">
        <v>0</v>
      </c>
      <c r="N1273" s="1666">
        <v>1.4520032616139531</v>
      </c>
      <c r="O1273" s="1666"/>
    </row>
    <row r="1274" spans="11:15">
      <c r="K1274" s="1663">
        <v>43331</v>
      </c>
      <c r="L1274" s="1664"/>
      <c r="M1274" s="1665">
        <v>0</v>
      </c>
      <c r="N1274" s="1666">
        <v>1.4520032616139531</v>
      </c>
      <c r="O1274" s="1666"/>
    </row>
    <row r="1275" spans="11:15">
      <c r="K1275" s="1663">
        <v>43332</v>
      </c>
      <c r="L1275" s="1664" t="s">
        <v>2293</v>
      </c>
      <c r="M1275" s="1665">
        <v>2.462E-2</v>
      </c>
      <c r="N1275" s="1666">
        <v>1.4523607448169626</v>
      </c>
      <c r="O1275" s="1666"/>
    </row>
    <row r="1276" spans="11:15">
      <c r="K1276" s="1663">
        <v>43333</v>
      </c>
      <c r="L1276" s="1664" t="s">
        <v>2293</v>
      </c>
      <c r="M1276" s="1665">
        <v>2.462E-2</v>
      </c>
      <c r="N1276" s="1666">
        <v>1.4527183160323367</v>
      </c>
      <c r="O1276" s="1666"/>
    </row>
    <row r="1277" spans="11:15">
      <c r="K1277" s="1663">
        <v>43334</v>
      </c>
      <c r="L1277" s="1664" t="s">
        <v>2293</v>
      </c>
      <c r="M1277" s="1665">
        <v>2.462E-2</v>
      </c>
      <c r="N1277" s="1666">
        <v>1.4530759752817439</v>
      </c>
      <c r="O1277" s="1666"/>
    </row>
    <row r="1278" spans="11:15">
      <c r="K1278" s="1663">
        <v>43335</v>
      </c>
      <c r="L1278" s="1664" t="s">
        <v>2293</v>
      </c>
      <c r="M1278" s="1665">
        <v>2.462E-2</v>
      </c>
      <c r="N1278" s="1666">
        <v>1.4534337225868583</v>
      </c>
      <c r="O1278" s="1666"/>
    </row>
    <row r="1279" spans="11:15">
      <c r="K1279" s="1663">
        <v>43336</v>
      </c>
      <c r="L1279" s="1664" t="s">
        <v>2293</v>
      </c>
      <c r="M1279" s="1665">
        <v>2.462E-2</v>
      </c>
      <c r="N1279" s="1666">
        <v>1.4537915579693594</v>
      </c>
      <c r="O1279" s="1666"/>
    </row>
    <row r="1280" spans="11:15">
      <c r="K1280" s="1663">
        <v>43337</v>
      </c>
      <c r="L1280" s="1664"/>
      <c r="M1280" s="1665">
        <v>0</v>
      </c>
      <c r="N1280" s="1666">
        <v>1.4537915579693594</v>
      </c>
      <c r="O1280" s="1666"/>
    </row>
    <row r="1281" spans="11:15">
      <c r="K1281" s="1663">
        <v>43338</v>
      </c>
      <c r="L1281" s="1664"/>
      <c r="M1281" s="1665">
        <v>0</v>
      </c>
      <c r="N1281" s="1666">
        <v>1.4537915579693594</v>
      </c>
      <c r="O1281" s="1666"/>
    </row>
    <row r="1282" spans="11:15">
      <c r="K1282" s="1663">
        <v>43339</v>
      </c>
      <c r="L1282" s="1664" t="s">
        <v>2293</v>
      </c>
      <c r="M1282" s="1665">
        <v>2.462E-2</v>
      </c>
      <c r="N1282" s="1666">
        <v>1.4541494814509317</v>
      </c>
      <c r="O1282" s="1666"/>
    </row>
    <row r="1283" spans="11:15">
      <c r="K1283" s="1663">
        <v>43340</v>
      </c>
      <c r="L1283" s="1664" t="s">
        <v>2293</v>
      </c>
      <c r="M1283" s="1665">
        <v>2.462E-2</v>
      </c>
      <c r="N1283" s="1666">
        <v>1.4545074930532651</v>
      </c>
      <c r="O1283" s="1666"/>
    </row>
    <row r="1284" spans="11:15">
      <c r="K1284" s="1663">
        <v>43341</v>
      </c>
      <c r="L1284" s="1664" t="s">
        <v>2293</v>
      </c>
      <c r="M1284" s="1665">
        <v>2.462E-2</v>
      </c>
      <c r="N1284" s="1666">
        <v>1.4548655927980549</v>
      </c>
      <c r="O1284" s="1666"/>
    </row>
    <row r="1285" spans="11:15">
      <c r="K1285" s="1663">
        <v>43342</v>
      </c>
      <c r="L1285" s="1664" t="s">
        <v>2293</v>
      </c>
      <c r="M1285" s="1665">
        <v>2.462E-2</v>
      </c>
      <c r="N1285" s="1666">
        <v>1.4552237807070019</v>
      </c>
      <c r="O1285" s="1666"/>
    </row>
    <row r="1286" spans="11:15">
      <c r="K1286" s="1663">
        <v>43343</v>
      </c>
      <c r="L1286" s="1664" t="s">
        <v>2293</v>
      </c>
      <c r="M1286" s="1665">
        <v>2.462E-2</v>
      </c>
      <c r="N1286" s="1666">
        <v>1.4555820568018121</v>
      </c>
      <c r="O1286" s="1666"/>
    </row>
    <row r="1287" spans="11:15">
      <c r="K1287" s="1663">
        <v>43344</v>
      </c>
      <c r="L1287" s="1664"/>
      <c r="M1287" s="1665">
        <v>0</v>
      </c>
      <c r="N1287" s="1666">
        <v>1.4555820568018121</v>
      </c>
      <c r="O1287" s="1666"/>
    </row>
    <row r="1288" spans="11:15">
      <c r="K1288" s="1663">
        <v>43345</v>
      </c>
      <c r="L1288" s="1664"/>
      <c r="M1288" s="1665">
        <v>0</v>
      </c>
      <c r="N1288" s="1666">
        <v>1.4555820568018121</v>
      </c>
      <c r="O1288" s="1666"/>
    </row>
    <row r="1289" spans="11:15">
      <c r="K1289" s="1663">
        <v>43346</v>
      </c>
      <c r="L1289" s="1664" t="s">
        <v>2293</v>
      </c>
      <c r="M1289" s="1665">
        <v>2.462E-2</v>
      </c>
      <c r="N1289" s="1666">
        <v>1.4559404211041969</v>
      </c>
      <c r="O1289" s="1666"/>
    </row>
    <row r="1290" spans="11:15">
      <c r="K1290" s="1663">
        <v>43347</v>
      </c>
      <c r="L1290" s="1664" t="s">
        <v>2293</v>
      </c>
      <c r="M1290" s="1665">
        <v>2.462E-2</v>
      </c>
      <c r="N1290" s="1666">
        <v>1.4562988736358728</v>
      </c>
      <c r="O1290" s="1666"/>
    </row>
    <row r="1291" spans="11:15">
      <c r="K1291" s="1663">
        <v>43348</v>
      </c>
      <c r="L1291" s="1664" t="s">
        <v>2293</v>
      </c>
      <c r="M1291" s="1665">
        <v>2.462E-2</v>
      </c>
      <c r="N1291" s="1666">
        <v>1.4566574144185622</v>
      </c>
      <c r="O1291" s="1666"/>
    </row>
    <row r="1292" spans="11:15">
      <c r="K1292" s="1663">
        <v>43349</v>
      </c>
      <c r="L1292" s="1664" t="s">
        <v>2293</v>
      </c>
      <c r="M1292" s="1665">
        <v>2.462E-2</v>
      </c>
      <c r="N1292" s="1666">
        <v>1.4570160434739923</v>
      </c>
      <c r="O1292" s="1666"/>
    </row>
    <row r="1293" spans="11:15">
      <c r="K1293" s="1663">
        <v>43350</v>
      </c>
      <c r="L1293" s="1664"/>
      <c r="M1293" s="1665">
        <v>0</v>
      </c>
      <c r="N1293" s="1666">
        <v>1.4570160434739923</v>
      </c>
      <c r="O1293" s="1666"/>
    </row>
    <row r="1294" spans="11:15">
      <c r="K1294" s="1663">
        <v>43351</v>
      </c>
      <c r="L1294" s="1664"/>
      <c r="M1294" s="1665">
        <v>0</v>
      </c>
      <c r="N1294" s="1666">
        <v>1.4570160434739923</v>
      </c>
      <c r="O1294" s="1666"/>
    </row>
    <row r="1295" spans="11:15">
      <c r="K1295" s="1663">
        <v>43352</v>
      </c>
      <c r="L1295" s="1664"/>
      <c r="M1295" s="1665">
        <v>0</v>
      </c>
      <c r="N1295" s="1666">
        <v>1.4570160434739923</v>
      </c>
      <c r="O1295" s="1666"/>
    </row>
    <row r="1296" spans="11:15">
      <c r="K1296" s="1663">
        <v>43353</v>
      </c>
      <c r="L1296" s="1664" t="s">
        <v>2293</v>
      </c>
      <c r="M1296" s="1665">
        <v>2.462E-2</v>
      </c>
      <c r="N1296" s="1666">
        <v>1.4573747608238956</v>
      </c>
      <c r="O1296" s="1666"/>
    </row>
    <row r="1297" spans="11:15">
      <c r="K1297" s="1663">
        <v>43354</v>
      </c>
      <c r="L1297" s="1664" t="s">
        <v>2293</v>
      </c>
      <c r="M1297" s="1665">
        <v>2.462E-2</v>
      </c>
      <c r="N1297" s="1666">
        <v>1.4577335664900106</v>
      </c>
      <c r="O1297" s="1666"/>
    </row>
    <row r="1298" spans="11:15">
      <c r="K1298" s="1663">
        <v>43355</v>
      </c>
      <c r="L1298" s="1664" t="s">
        <v>2293</v>
      </c>
      <c r="M1298" s="1665">
        <v>2.462E-2</v>
      </c>
      <c r="N1298" s="1666">
        <v>1.4580924604940806</v>
      </c>
      <c r="O1298" s="1666"/>
    </row>
    <row r="1299" spans="11:15">
      <c r="K1299" s="1663">
        <v>43356</v>
      </c>
      <c r="L1299" s="1664" t="s">
        <v>2293</v>
      </c>
      <c r="M1299" s="1665">
        <v>2.462E-2</v>
      </c>
      <c r="N1299" s="1666">
        <v>1.4584514428578543</v>
      </c>
      <c r="O1299" s="1666"/>
    </row>
    <row r="1300" spans="11:15">
      <c r="K1300" s="1663">
        <v>43357</v>
      </c>
      <c r="L1300" s="1664" t="s">
        <v>2293</v>
      </c>
      <c r="M1300" s="1665">
        <v>2.462E-2</v>
      </c>
      <c r="N1300" s="1666">
        <v>1.458810513603086</v>
      </c>
      <c r="O1300" s="1666"/>
    </row>
    <row r="1301" spans="11:15">
      <c r="K1301" s="1663">
        <v>43358</v>
      </c>
      <c r="L1301" s="1664"/>
      <c r="M1301" s="1665">
        <v>0</v>
      </c>
      <c r="N1301" s="1666">
        <v>1.458810513603086</v>
      </c>
      <c r="O1301" s="1666"/>
    </row>
    <row r="1302" spans="11:15">
      <c r="K1302" s="1663">
        <v>43359</v>
      </c>
      <c r="L1302" s="1664"/>
      <c r="M1302" s="1665">
        <v>0</v>
      </c>
      <c r="N1302" s="1666">
        <v>1.458810513603086</v>
      </c>
      <c r="O1302" s="1666"/>
    </row>
    <row r="1303" spans="11:15">
      <c r="K1303" s="1663">
        <v>43360</v>
      </c>
      <c r="L1303" s="1664" t="s">
        <v>2293</v>
      </c>
      <c r="M1303" s="1665">
        <v>2.462E-2</v>
      </c>
      <c r="N1303" s="1666">
        <v>1.4591696727515353</v>
      </c>
      <c r="O1303" s="1666"/>
    </row>
    <row r="1304" spans="11:15">
      <c r="K1304" s="1663">
        <v>43361</v>
      </c>
      <c r="L1304" s="1664" t="s">
        <v>2293</v>
      </c>
      <c r="M1304" s="1665">
        <v>2.462E-2</v>
      </c>
      <c r="N1304" s="1666">
        <v>1.4595289203249668</v>
      </c>
      <c r="O1304" s="1666"/>
    </row>
    <row r="1305" spans="11:15">
      <c r="K1305" s="1663">
        <v>43362</v>
      </c>
      <c r="L1305" s="1664" t="s">
        <v>2293</v>
      </c>
      <c r="M1305" s="1665">
        <v>2.462E-2</v>
      </c>
      <c r="N1305" s="1666">
        <v>1.459888256345151</v>
      </c>
      <c r="O1305" s="1666"/>
    </row>
    <row r="1306" spans="11:15">
      <c r="K1306" s="1663">
        <v>43363</v>
      </c>
      <c r="L1306" s="1664" t="s">
        <v>2293</v>
      </c>
      <c r="M1306" s="1665">
        <v>2.462E-2</v>
      </c>
      <c r="N1306" s="1666">
        <v>1.4602476808338634</v>
      </c>
      <c r="O1306" s="1666"/>
    </row>
    <row r="1307" spans="11:15">
      <c r="K1307" s="1663">
        <v>43364</v>
      </c>
      <c r="L1307" s="1664" t="s">
        <v>2293</v>
      </c>
      <c r="M1307" s="1665">
        <v>2.462E-2</v>
      </c>
      <c r="N1307" s="1666">
        <v>1.4606071938128848</v>
      </c>
      <c r="O1307" s="1666"/>
    </row>
    <row r="1308" spans="11:15">
      <c r="K1308" s="1663">
        <v>43365</v>
      </c>
      <c r="L1308" s="1664"/>
      <c r="M1308" s="1665">
        <v>0</v>
      </c>
      <c r="N1308" s="1666">
        <v>1.4606071938128848</v>
      </c>
      <c r="O1308" s="1666"/>
    </row>
    <row r="1309" spans="11:15">
      <c r="K1309" s="1663">
        <v>43366</v>
      </c>
      <c r="L1309" s="1664"/>
      <c r="M1309" s="1665">
        <v>0</v>
      </c>
      <c r="N1309" s="1666">
        <v>1.4606071938128848</v>
      </c>
      <c r="O1309" s="1666"/>
    </row>
    <row r="1310" spans="11:15">
      <c r="K1310" s="1663">
        <v>43367</v>
      </c>
      <c r="L1310" s="1664" t="s">
        <v>2293</v>
      </c>
      <c r="M1310" s="1665">
        <v>2.462E-2</v>
      </c>
      <c r="N1310" s="1666">
        <v>1.4609667953040018</v>
      </c>
      <c r="O1310" s="1666"/>
    </row>
    <row r="1311" spans="11:15">
      <c r="K1311" s="1663">
        <v>43368</v>
      </c>
      <c r="L1311" s="1664" t="s">
        <v>2293</v>
      </c>
      <c r="M1311" s="1665">
        <v>2.462E-2</v>
      </c>
      <c r="N1311" s="1666">
        <v>1.4613264853290058</v>
      </c>
      <c r="O1311" s="1666"/>
    </row>
    <row r="1312" spans="11:15">
      <c r="K1312" s="1663">
        <v>43369</v>
      </c>
      <c r="L1312" s="1664" t="s">
        <v>2293</v>
      </c>
      <c r="M1312" s="1665">
        <v>2.462E-2</v>
      </c>
      <c r="N1312" s="1666">
        <v>1.4616862639096939</v>
      </c>
      <c r="O1312" s="1666"/>
    </row>
    <row r="1313" spans="11:15">
      <c r="K1313" s="1663">
        <v>43370</v>
      </c>
      <c r="L1313" s="1664" t="s">
        <v>2293</v>
      </c>
      <c r="M1313" s="1665">
        <v>2.462E-2</v>
      </c>
      <c r="N1313" s="1666">
        <v>1.4620461310678685</v>
      </c>
      <c r="O1313" s="1666"/>
    </row>
    <row r="1314" spans="11:15">
      <c r="K1314" s="1663">
        <v>43371</v>
      </c>
      <c r="L1314" s="1664" t="s">
        <v>2293</v>
      </c>
      <c r="M1314" s="1665">
        <v>2.462E-2</v>
      </c>
      <c r="N1314" s="1666">
        <v>1.4624060868253375</v>
      </c>
      <c r="O1314" s="1666"/>
    </row>
    <row r="1315" spans="11:15">
      <c r="K1315" s="1663">
        <v>43372</v>
      </c>
      <c r="L1315" s="1664"/>
      <c r="M1315" s="1665">
        <v>0</v>
      </c>
      <c r="N1315" s="1666">
        <v>1.4624060868253375</v>
      </c>
      <c r="O1315" s="1666"/>
    </row>
    <row r="1316" spans="11:15">
      <c r="K1316" s="1663">
        <v>43373</v>
      </c>
      <c r="L1316" s="1664"/>
      <c r="M1316" s="1665">
        <v>0</v>
      </c>
      <c r="N1316" s="1666">
        <v>1.4624060868253375</v>
      </c>
      <c r="O1316" s="1666"/>
    </row>
    <row r="1317" spans="11:15">
      <c r="K1317" s="1663">
        <v>43374</v>
      </c>
      <c r="L1317" s="1664" t="s">
        <v>2293</v>
      </c>
      <c r="M1317" s="1665">
        <v>2.462E-2</v>
      </c>
      <c r="N1317" s="1666">
        <v>1.462766131203914</v>
      </c>
      <c r="O1317" s="1666"/>
    </row>
    <row r="1318" spans="11:15">
      <c r="K1318" s="1663">
        <v>43375</v>
      </c>
      <c r="L1318" s="1664" t="s">
        <v>2293</v>
      </c>
      <c r="M1318" s="1665">
        <v>2.462E-2</v>
      </c>
      <c r="N1318" s="1666">
        <v>1.4631262642254166</v>
      </c>
      <c r="O1318" s="1666"/>
    </row>
    <row r="1319" spans="11:15">
      <c r="K1319" s="1663">
        <v>43376</v>
      </c>
      <c r="L1319" s="1664" t="s">
        <v>2293</v>
      </c>
      <c r="M1319" s="1665">
        <v>2.462E-2</v>
      </c>
      <c r="N1319" s="1666">
        <v>1.463486485911669</v>
      </c>
      <c r="O1319" s="1666"/>
    </row>
    <row r="1320" spans="11:15">
      <c r="K1320" s="1663">
        <v>43377</v>
      </c>
      <c r="L1320" s="1664" t="s">
        <v>2293</v>
      </c>
      <c r="M1320" s="1665">
        <v>2.462E-2</v>
      </c>
      <c r="N1320" s="1666">
        <v>1.4638467962845005</v>
      </c>
      <c r="O1320" s="1666"/>
    </row>
    <row r="1321" spans="11:15">
      <c r="K1321" s="1663">
        <v>43378</v>
      </c>
      <c r="L1321" s="1664" t="s">
        <v>2293</v>
      </c>
      <c r="M1321" s="1665">
        <v>2.462E-2</v>
      </c>
      <c r="N1321" s="1666">
        <v>1.4642071953657458</v>
      </c>
      <c r="O1321" s="1666"/>
    </row>
    <row r="1322" spans="11:15">
      <c r="K1322" s="1663">
        <v>43379</v>
      </c>
      <c r="L1322" s="1664"/>
      <c r="M1322" s="1665">
        <v>0</v>
      </c>
      <c r="N1322" s="1666">
        <v>1.4642071953657458</v>
      </c>
      <c r="O1322" s="1666"/>
    </row>
    <row r="1323" spans="11:15">
      <c r="K1323" s="1663">
        <v>43380</v>
      </c>
      <c r="L1323" s="1664"/>
      <c r="M1323" s="1665">
        <v>0</v>
      </c>
      <c r="N1323" s="1666">
        <v>1.4642071953657458</v>
      </c>
      <c r="O1323" s="1666"/>
    </row>
    <row r="1324" spans="11:15">
      <c r="K1324" s="1663">
        <v>43381</v>
      </c>
      <c r="L1324" s="1664" t="s">
        <v>2293</v>
      </c>
      <c r="M1324" s="1665">
        <v>2.462E-2</v>
      </c>
      <c r="N1324" s="1666">
        <v>1.4645676831772449</v>
      </c>
      <c r="O1324" s="1666"/>
    </row>
    <row r="1325" spans="11:15">
      <c r="K1325" s="1663">
        <v>43382</v>
      </c>
      <c r="L1325" s="1664" t="s">
        <v>2293</v>
      </c>
      <c r="M1325" s="1665">
        <v>2.462E-2</v>
      </c>
      <c r="N1325" s="1666">
        <v>1.4649282597408433</v>
      </c>
      <c r="O1325" s="1666"/>
    </row>
    <row r="1326" spans="11:15">
      <c r="K1326" s="1663">
        <v>43383</v>
      </c>
      <c r="L1326" s="1664" t="s">
        <v>2293</v>
      </c>
      <c r="M1326" s="1665">
        <v>2.462E-2</v>
      </c>
      <c r="N1326" s="1666">
        <v>1.4652889250783916</v>
      </c>
      <c r="O1326" s="1666"/>
    </row>
    <row r="1327" spans="11:15">
      <c r="K1327" s="1663">
        <v>43384</v>
      </c>
      <c r="L1327" s="1664" t="s">
        <v>2293</v>
      </c>
      <c r="M1327" s="1665">
        <v>2.462E-2</v>
      </c>
      <c r="N1327" s="1666">
        <v>1.4656496792117459</v>
      </c>
      <c r="O1327" s="1666"/>
    </row>
    <row r="1328" spans="11:15">
      <c r="K1328" s="1663">
        <v>43385</v>
      </c>
      <c r="L1328" s="1664"/>
      <c r="M1328" s="1665">
        <v>0</v>
      </c>
      <c r="N1328" s="1666">
        <v>1.4656496792117459</v>
      </c>
      <c r="O1328" s="1666"/>
    </row>
    <row r="1329" spans="11:15">
      <c r="K1329" s="1663">
        <v>43386</v>
      </c>
      <c r="L1329" s="1664"/>
      <c r="M1329" s="1665">
        <v>0</v>
      </c>
      <c r="N1329" s="1666">
        <v>1.4656496792117459</v>
      </c>
      <c r="O1329" s="1666"/>
    </row>
    <row r="1330" spans="11:15">
      <c r="K1330" s="1663">
        <v>43387</v>
      </c>
      <c r="L1330" s="1664"/>
      <c r="M1330" s="1665">
        <v>0</v>
      </c>
      <c r="N1330" s="1666">
        <v>1.4656496792117459</v>
      </c>
      <c r="O1330" s="1666"/>
    </row>
    <row r="1331" spans="11:15">
      <c r="K1331" s="1663">
        <v>43388</v>
      </c>
      <c r="L1331" s="1664" t="s">
        <v>2293</v>
      </c>
      <c r="M1331" s="1665">
        <v>2.462E-2</v>
      </c>
      <c r="N1331" s="1666">
        <v>1.4660105221627679</v>
      </c>
      <c r="O1331" s="1666"/>
    </row>
    <row r="1332" spans="11:15">
      <c r="K1332" s="1663">
        <v>43389</v>
      </c>
      <c r="L1332" s="1664" t="s">
        <v>2293</v>
      </c>
      <c r="M1332" s="1665">
        <v>2.462E-2</v>
      </c>
      <c r="N1332" s="1666">
        <v>1.4663714539533246</v>
      </c>
      <c r="O1332" s="1666"/>
    </row>
    <row r="1333" spans="11:15">
      <c r="K1333" s="1663">
        <v>43390</v>
      </c>
      <c r="L1333" s="1664" t="s">
        <v>2293</v>
      </c>
      <c r="M1333" s="1665">
        <v>2.462E-2</v>
      </c>
      <c r="N1333" s="1666">
        <v>1.4667324746052881</v>
      </c>
      <c r="O1333" s="1666"/>
    </row>
    <row r="1334" spans="11:15">
      <c r="K1334" s="1663">
        <v>43391</v>
      </c>
      <c r="L1334" s="1664" t="s">
        <v>2293</v>
      </c>
      <c r="M1334" s="1665">
        <v>2.462E-2</v>
      </c>
      <c r="N1334" s="1666">
        <v>1.4670935841405361</v>
      </c>
      <c r="O1334" s="1666"/>
    </row>
    <row r="1335" spans="11:15">
      <c r="K1335" s="1663">
        <v>43392</v>
      </c>
      <c r="L1335" s="1664" t="s">
        <v>2293</v>
      </c>
      <c r="M1335" s="1665">
        <v>2.462E-2</v>
      </c>
      <c r="N1335" s="1666">
        <v>1.4674547825809516</v>
      </c>
      <c r="O1335" s="1666"/>
    </row>
    <row r="1336" spans="11:15">
      <c r="K1336" s="1663">
        <v>43393</v>
      </c>
      <c r="L1336" s="1664"/>
      <c r="M1336" s="1665">
        <v>0</v>
      </c>
      <c r="N1336" s="1666">
        <v>1.4674547825809516</v>
      </c>
      <c r="O1336" s="1666"/>
    </row>
    <row r="1337" spans="11:15">
      <c r="K1337" s="1663">
        <v>43394</v>
      </c>
      <c r="L1337" s="1664"/>
      <c r="M1337" s="1665">
        <v>0</v>
      </c>
      <c r="N1337" s="1666">
        <v>1.4674547825809516</v>
      </c>
      <c r="O1337" s="1666"/>
    </row>
    <row r="1338" spans="11:15">
      <c r="K1338" s="1663">
        <v>43395</v>
      </c>
      <c r="L1338" s="1664" t="s">
        <v>2293</v>
      </c>
      <c r="M1338" s="1665">
        <v>2.462E-2</v>
      </c>
      <c r="N1338" s="1666">
        <v>1.4678160699484233</v>
      </c>
      <c r="O1338" s="1666"/>
    </row>
    <row r="1339" spans="11:15">
      <c r="K1339" s="1663">
        <v>43396</v>
      </c>
      <c r="L1339" s="1664" t="s">
        <v>2293</v>
      </c>
      <c r="M1339" s="1665">
        <v>2.462E-2</v>
      </c>
      <c r="N1339" s="1666">
        <v>1.4681774462648447</v>
      </c>
      <c r="O1339" s="1666"/>
    </row>
    <row r="1340" spans="11:15">
      <c r="K1340" s="1663">
        <v>43397</v>
      </c>
      <c r="L1340" s="1664" t="s">
        <v>2293</v>
      </c>
      <c r="M1340" s="1665">
        <v>2.462E-2</v>
      </c>
      <c r="N1340" s="1666">
        <v>1.4685389115521152</v>
      </c>
      <c r="O1340" s="1666"/>
    </row>
    <row r="1341" spans="11:15">
      <c r="K1341" s="1663">
        <v>43398</v>
      </c>
      <c r="L1341" s="1664" t="s">
        <v>2293</v>
      </c>
      <c r="M1341" s="1665">
        <v>2.462E-2</v>
      </c>
      <c r="N1341" s="1666">
        <v>1.4689004658321394</v>
      </c>
      <c r="O1341" s="1666"/>
    </row>
    <row r="1342" spans="11:15">
      <c r="K1342" s="1663">
        <v>43399</v>
      </c>
      <c r="L1342" s="1664" t="s">
        <v>2293</v>
      </c>
      <c r="M1342" s="1665">
        <v>2.462E-2</v>
      </c>
      <c r="N1342" s="1666">
        <v>1.4692621091268274</v>
      </c>
      <c r="O1342" s="1666"/>
    </row>
    <row r="1343" spans="11:15">
      <c r="K1343" s="1663">
        <v>43400</v>
      </c>
      <c r="L1343" s="1664"/>
      <c r="M1343" s="1665">
        <v>0</v>
      </c>
      <c r="N1343" s="1666">
        <v>1.4692621091268274</v>
      </c>
      <c r="O1343" s="1666"/>
    </row>
    <row r="1344" spans="11:15">
      <c r="K1344" s="1663">
        <v>43401</v>
      </c>
      <c r="L1344" s="1664"/>
      <c r="M1344" s="1665">
        <v>0</v>
      </c>
      <c r="N1344" s="1666">
        <v>1.4692621091268274</v>
      </c>
      <c r="O1344" s="1666"/>
    </row>
    <row r="1345" spans="11:15">
      <c r="K1345" s="1663">
        <v>43402</v>
      </c>
      <c r="L1345" s="1664" t="s">
        <v>2293</v>
      </c>
      <c r="M1345" s="1665">
        <v>2.462E-2</v>
      </c>
      <c r="N1345" s="1666">
        <v>1.4696238414580947</v>
      </c>
      <c r="O1345" s="1666"/>
    </row>
    <row r="1346" spans="11:15">
      <c r="K1346" s="1663">
        <v>43403</v>
      </c>
      <c r="L1346" s="1664" t="s">
        <v>2293</v>
      </c>
      <c r="M1346" s="1665">
        <v>2.462E-2</v>
      </c>
      <c r="N1346" s="1666">
        <v>1.4699856628478618</v>
      </c>
      <c r="O1346" s="1666"/>
    </row>
    <row r="1347" spans="11:15">
      <c r="K1347" s="1663">
        <v>43404</v>
      </c>
      <c r="L1347" s="1664" t="s">
        <v>2293</v>
      </c>
      <c r="M1347" s="1665">
        <v>2.462E-2</v>
      </c>
      <c r="N1347" s="1666">
        <v>1.4703475733180551</v>
      </c>
      <c r="O1347" s="1666"/>
    </row>
    <row r="1348" spans="11:15">
      <c r="K1348" s="1663">
        <v>43405</v>
      </c>
      <c r="L1348" s="1664" t="s">
        <v>2293</v>
      </c>
      <c r="M1348" s="1665">
        <v>2.462E-2</v>
      </c>
      <c r="N1348" s="1666">
        <v>1.4707095728906061</v>
      </c>
      <c r="O1348" s="1666"/>
    </row>
    <row r="1349" spans="11:15">
      <c r="K1349" s="1663">
        <v>43406</v>
      </c>
      <c r="L1349" s="1664"/>
      <c r="M1349" s="1665">
        <v>0</v>
      </c>
      <c r="N1349" s="1666">
        <v>1.4707095728906061</v>
      </c>
      <c r="O1349" s="1666"/>
    </row>
    <row r="1350" spans="11:15">
      <c r="K1350" s="1663">
        <v>43407</v>
      </c>
      <c r="L1350" s="1664"/>
      <c r="M1350" s="1665">
        <v>0</v>
      </c>
      <c r="N1350" s="1666">
        <v>1.4707095728906061</v>
      </c>
      <c r="O1350" s="1666"/>
    </row>
    <row r="1351" spans="11:15">
      <c r="K1351" s="1663">
        <v>43408</v>
      </c>
      <c r="L1351" s="1664"/>
      <c r="M1351" s="1665">
        <v>0</v>
      </c>
      <c r="N1351" s="1666">
        <v>1.4707095728906061</v>
      </c>
      <c r="O1351" s="1666"/>
    </row>
    <row r="1352" spans="11:15">
      <c r="K1352" s="1663">
        <v>43409</v>
      </c>
      <c r="L1352" s="1664" t="s">
        <v>2293</v>
      </c>
      <c r="M1352" s="1665">
        <v>2.462E-2</v>
      </c>
      <c r="N1352" s="1666">
        <v>1.471071661587452</v>
      </c>
      <c r="O1352" s="1666"/>
    </row>
    <row r="1353" spans="11:15">
      <c r="K1353" s="1663">
        <v>43410</v>
      </c>
      <c r="L1353" s="1664" t="s">
        <v>2293</v>
      </c>
      <c r="M1353" s="1665">
        <v>2.462E-2</v>
      </c>
      <c r="N1353" s="1666">
        <v>1.4714338394305349</v>
      </c>
      <c r="O1353" s="1666"/>
    </row>
    <row r="1354" spans="11:15">
      <c r="K1354" s="1663">
        <v>43411</v>
      </c>
      <c r="L1354" s="1664" t="s">
        <v>2293</v>
      </c>
      <c r="M1354" s="1665">
        <v>2.462E-2</v>
      </c>
      <c r="N1354" s="1666">
        <v>1.4717961064418028</v>
      </c>
      <c r="O1354" s="1666"/>
    </row>
    <row r="1355" spans="11:15">
      <c r="K1355" s="1663">
        <v>43412</v>
      </c>
      <c r="L1355" s="1664" t="s">
        <v>2293</v>
      </c>
      <c r="M1355" s="1665">
        <v>2.462E-2</v>
      </c>
      <c r="N1355" s="1666">
        <v>1.4721584626432089</v>
      </c>
      <c r="O1355" s="1666"/>
    </row>
    <row r="1356" spans="11:15">
      <c r="K1356" s="1663">
        <v>43413</v>
      </c>
      <c r="L1356" s="1664" t="s">
        <v>2293</v>
      </c>
      <c r="M1356" s="1665">
        <v>2.462E-2</v>
      </c>
      <c r="N1356" s="1666">
        <v>1.4725209080567119</v>
      </c>
      <c r="O1356" s="1666"/>
    </row>
    <row r="1357" spans="11:15">
      <c r="K1357" s="1663">
        <v>43414</v>
      </c>
      <c r="L1357" s="1664"/>
      <c r="M1357" s="1665">
        <v>0</v>
      </c>
      <c r="N1357" s="1666">
        <v>1.4725209080567119</v>
      </c>
      <c r="O1357" s="1666"/>
    </row>
    <row r="1358" spans="11:15">
      <c r="K1358" s="1663">
        <v>43415</v>
      </c>
      <c r="L1358" s="1664"/>
      <c r="M1358" s="1665">
        <v>0</v>
      </c>
      <c r="N1358" s="1666">
        <v>1.4725209080567119</v>
      </c>
      <c r="O1358" s="1666"/>
    </row>
    <row r="1359" spans="11:15">
      <c r="K1359" s="1663">
        <v>43416</v>
      </c>
      <c r="L1359" s="1664" t="s">
        <v>2293</v>
      </c>
      <c r="M1359" s="1665">
        <v>2.462E-2</v>
      </c>
      <c r="N1359" s="1666">
        <v>1.4728834427042756</v>
      </c>
      <c r="O1359" s="1666"/>
    </row>
    <row r="1360" spans="11:15">
      <c r="K1360" s="1663">
        <v>43417</v>
      </c>
      <c r="L1360" s="1664" t="s">
        <v>2293</v>
      </c>
      <c r="M1360" s="1665">
        <v>2.462E-2</v>
      </c>
      <c r="N1360" s="1666">
        <v>1.4732460666078695</v>
      </c>
      <c r="O1360" s="1666"/>
    </row>
    <row r="1361" spans="11:15">
      <c r="K1361" s="1663">
        <v>43418</v>
      </c>
      <c r="L1361" s="1664" t="s">
        <v>2293</v>
      </c>
      <c r="M1361" s="1665">
        <v>2.462E-2</v>
      </c>
      <c r="N1361" s="1666">
        <v>1.4736087797894686</v>
      </c>
      <c r="O1361" s="1666"/>
    </row>
    <row r="1362" spans="11:15">
      <c r="K1362" s="1663">
        <v>43419</v>
      </c>
      <c r="L1362" s="1664"/>
      <c r="M1362" s="1665">
        <v>0</v>
      </c>
      <c r="N1362" s="1666">
        <v>1.4736087797894686</v>
      </c>
      <c r="O1362" s="1666"/>
    </row>
    <row r="1363" spans="11:15">
      <c r="K1363" s="1663">
        <v>43420</v>
      </c>
      <c r="L1363" s="1664" t="s">
        <v>2293</v>
      </c>
      <c r="M1363" s="1665">
        <v>2.462E-2</v>
      </c>
      <c r="N1363" s="1666">
        <v>1.4739715822710528</v>
      </c>
      <c r="O1363" s="1666"/>
    </row>
    <row r="1364" spans="11:15">
      <c r="K1364" s="1663">
        <v>43421</v>
      </c>
      <c r="L1364" s="1664"/>
      <c r="M1364" s="1665">
        <v>0</v>
      </c>
      <c r="N1364" s="1666">
        <v>1.4739715822710528</v>
      </c>
      <c r="O1364" s="1666"/>
    </row>
    <row r="1365" spans="11:15">
      <c r="K1365" s="1663">
        <v>43422</v>
      </c>
      <c r="L1365" s="1664"/>
      <c r="M1365" s="1665">
        <v>0</v>
      </c>
      <c r="N1365" s="1666">
        <v>1.4739715822710528</v>
      </c>
      <c r="O1365" s="1666"/>
    </row>
    <row r="1366" spans="11:15">
      <c r="K1366" s="1663">
        <v>43423</v>
      </c>
      <c r="L1366" s="1664" t="s">
        <v>2293</v>
      </c>
      <c r="M1366" s="1665">
        <v>2.462E-2</v>
      </c>
      <c r="N1366" s="1666">
        <v>1.474334474074608</v>
      </c>
      <c r="O1366" s="1666"/>
    </row>
    <row r="1367" spans="11:15">
      <c r="K1367" s="1663">
        <v>43424</v>
      </c>
      <c r="L1367" s="1664" t="s">
        <v>2293</v>
      </c>
      <c r="M1367" s="1665">
        <v>2.462E-2</v>
      </c>
      <c r="N1367" s="1666">
        <v>1.4746974552221253</v>
      </c>
      <c r="O1367" s="1666"/>
    </row>
    <row r="1368" spans="11:15">
      <c r="K1368" s="1663">
        <v>43425</v>
      </c>
      <c r="L1368" s="1664" t="s">
        <v>2293</v>
      </c>
      <c r="M1368" s="1665">
        <v>2.462E-2</v>
      </c>
      <c r="N1368" s="1666">
        <v>1.4750605257356011</v>
      </c>
      <c r="O1368" s="1666"/>
    </row>
    <row r="1369" spans="11:15">
      <c r="K1369" s="1663">
        <v>43426</v>
      </c>
      <c r="L1369" s="1664" t="s">
        <v>2293</v>
      </c>
      <c r="M1369" s="1665">
        <v>2.462E-2</v>
      </c>
      <c r="N1369" s="1666">
        <v>1.4754236856370373</v>
      </c>
      <c r="O1369" s="1666"/>
    </row>
    <row r="1370" spans="11:15">
      <c r="K1370" s="1663">
        <v>43427</v>
      </c>
      <c r="L1370" s="1664" t="s">
        <v>2293</v>
      </c>
      <c r="M1370" s="1665">
        <v>2.462E-2</v>
      </c>
      <c r="N1370" s="1666">
        <v>1.4757869349484412</v>
      </c>
      <c r="O1370" s="1666"/>
    </row>
    <row r="1371" spans="11:15">
      <c r="K1371" s="1663">
        <v>43428</v>
      </c>
      <c r="L1371" s="1664"/>
      <c r="M1371" s="1665">
        <v>0</v>
      </c>
      <c r="N1371" s="1666">
        <v>1.4757869349484412</v>
      </c>
      <c r="O1371" s="1666"/>
    </row>
    <row r="1372" spans="11:15">
      <c r="K1372" s="1663">
        <v>43429</v>
      </c>
      <c r="L1372" s="1664"/>
      <c r="M1372" s="1665">
        <v>0</v>
      </c>
      <c r="N1372" s="1666">
        <v>1.4757869349484412</v>
      </c>
      <c r="O1372" s="1666"/>
    </row>
    <row r="1373" spans="11:15">
      <c r="K1373" s="1663">
        <v>43430</v>
      </c>
      <c r="L1373" s="1664" t="s">
        <v>2293</v>
      </c>
      <c r="M1373" s="1665">
        <v>2.462E-2</v>
      </c>
      <c r="N1373" s="1666">
        <v>1.4761502736918255</v>
      </c>
      <c r="O1373" s="1666"/>
    </row>
    <row r="1374" spans="11:15">
      <c r="K1374" s="1663">
        <v>43431</v>
      </c>
      <c r="L1374" s="1664" t="s">
        <v>2293</v>
      </c>
      <c r="M1374" s="1665">
        <v>2.462E-2</v>
      </c>
      <c r="N1374" s="1666">
        <v>1.4765137018892085</v>
      </c>
      <c r="O1374" s="1666"/>
    </row>
    <row r="1375" spans="11:15">
      <c r="K1375" s="1663">
        <v>43432</v>
      </c>
      <c r="L1375" s="1664" t="s">
        <v>2293</v>
      </c>
      <c r="M1375" s="1665">
        <v>2.462E-2</v>
      </c>
      <c r="N1375" s="1666">
        <v>1.4768772195626136</v>
      </c>
      <c r="O1375" s="1666"/>
    </row>
    <row r="1376" spans="11:15">
      <c r="K1376" s="1663">
        <v>43433</v>
      </c>
      <c r="L1376" s="1664" t="s">
        <v>2293</v>
      </c>
      <c r="M1376" s="1665">
        <v>2.462E-2</v>
      </c>
      <c r="N1376" s="1666">
        <v>1.47724082673407</v>
      </c>
      <c r="O1376" s="1666"/>
    </row>
    <row r="1377" spans="11:15">
      <c r="K1377" s="1663">
        <v>43434</v>
      </c>
      <c r="L1377" s="1664" t="s">
        <v>2293</v>
      </c>
      <c r="M1377" s="1665">
        <v>2.462E-2</v>
      </c>
      <c r="N1377" s="1666">
        <v>1.4776045234256121</v>
      </c>
      <c r="O1377" s="1666"/>
    </row>
    <row r="1378" spans="11:15">
      <c r="K1378" s="1663">
        <v>43435</v>
      </c>
      <c r="L1378" s="1664"/>
      <c r="M1378" s="1665">
        <v>0</v>
      </c>
      <c r="N1378" s="1666">
        <v>1.4776045234256121</v>
      </c>
      <c r="O1378" s="1666"/>
    </row>
    <row r="1379" spans="11:15">
      <c r="K1379" s="1663">
        <v>43436</v>
      </c>
      <c r="L1379" s="1664"/>
      <c r="M1379" s="1665">
        <v>0</v>
      </c>
      <c r="N1379" s="1666">
        <v>1.4776045234256121</v>
      </c>
      <c r="O1379" s="1666"/>
    </row>
    <row r="1380" spans="11:15">
      <c r="K1380" s="1663">
        <v>43437</v>
      </c>
      <c r="L1380" s="1664" t="s">
        <v>2293</v>
      </c>
      <c r="M1380" s="1665">
        <v>2.462E-2</v>
      </c>
      <c r="N1380" s="1666">
        <v>1.4779683096592797</v>
      </c>
      <c r="O1380" s="1666"/>
    </row>
    <row r="1381" spans="11:15">
      <c r="K1381" s="1663">
        <v>43438</v>
      </c>
      <c r="L1381" s="1664" t="s">
        <v>2293</v>
      </c>
      <c r="M1381" s="1665">
        <v>2.462E-2</v>
      </c>
      <c r="N1381" s="1666">
        <v>1.4783321854571179</v>
      </c>
      <c r="O1381" s="1666"/>
    </row>
    <row r="1382" spans="11:15">
      <c r="K1382" s="1663">
        <v>43439</v>
      </c>
      <c r="L1382" s="1664" t="s">
        <v>2293</v>
      </c>
      <c r="M1382" s="1665">
        <v>2.462E-2</v>
      </c>
      <c r="N1382" s="1666">
        <v>1.4786961508411776</v>
      </c>
      <c r="O1382" s="1666"/>
    </row>
    <row r="1383" spans="11:15">
      <c r="K1383" s="1663">
        <v>43440</v>
      </c>
      <c r="L1383" s="1664" t="s">
        <v>2293</v>
      </c>
      <c r="M1383" s="1665">
        <v>2.462E-2</v>
      </c>
      <c r="N1383" s="1666">
        <v>1.4790602058335147</v>
      </c>
      <c r="O1383" s="1666"/>
    </row>
    <row r="1384" spans="11:15">
      <c r="K1384" s="1663">
        <v>43441</v>
      </c>
      <c r="L1384" s="1664" t="s">
        <v>2293</v>
      </c>
      <c r="M1384" s="1665">
        <v>2.462E-2</v>
      </c>
      <c r="N1384" s="1666">
        <v>1.479424350456191</v>
      </c>
      <c r="O1384" s="1666"/>
    </row>
    <row r="1385" spans="11:15">
      <c r="K1385" s="1663">
        <v>43442</v>
      </c>
      <c r="L1385" s="1664"/>
      <c r="M1385" s="1665">
        <v>0</v>
      </c>
      <c r="N1385" s="1666">
        <v>1.479424350456191</v>
      </c>
      <c r="O1385" s="1666"/>
    </row>
    <row r="1386" spans="11:15">
      <c r="K1386" s="1663">
        <v>43443</v>
      </c>
      <c r="L1386" s="1664"/>
      <c r="M1386" s="1665">
        <v>0</v>
      </c>
      <c r="N1386" s="1666">
        <v>1.479424350456191</v>
      </c>
      <c r="O1386" s="1666"/>
    </row>
    <row r="1387" spans="11:15">
      <c r="K1387" s="1663">
        <v>43444</v>
      </c>
      <c r="L1387" s="1664" t="s">
        <v>2293</v>
      </c>
      <c r="M1387" s="1665">
        <v>2.462E-2</v>
      </c>
      <c r="N1387" s="1666">
        <v>1.4797885847312735</v>
      </c>
      <c r="O1387" s="1666"/>
    </row>
    <row r="1388" spans="11:15">
      <c r="K1388" s="1663">
        <v>43445</v>
      </c>
      <c r="L1388" s="1664" t="s">
        <v>2293</v>
      </c>
      <c r="M1388" s="1665">
        <v>2.462E-2</v>
      </c>
      <c r="N1388" s="1666">
        <v>1.4801529086808345</v>
      </c>
      <c r="O1388" s="1666"/>
    </row>
    <row r="1389" spans="11:15">
      <c r="K1389" s="1663">
        <v>43446</v>
      </c>
      <c r="L1389" s="1664" t="s">
        <v>2293</v>
      </c>
      <c r="M1389" s="1665">
        <v>2.462E-2</v>
      </c>
      <c r="N1389" s="1666">
        <v>1.4805173223269519</v>
      </c>
      <c r="O1389" s="1666"/>
    </row>
    <row r="1390" spans="11:15">
      <c r="K1390" s="1663">
        <v>43447</v>
      </c>
      <c r="L1390" s="1664" t="s">
        <v>2293</v>
      </c>
      <c r="M1390" s="1665">
        <v>2.462E-2</v>
      </c>
      <c r="N1390" s="1666">
        <v>1.4808818256917089</v>
      </c>
      <c r="O1390" s="1666"/>
    </row>
    <row r="1391" spans="11:15">
      <c r="K1391" s="1663">
        <v>43448</v>
      </c>
      <c r="L1391" s="1664" t="s">
        <v>2293</v>
      </c>
      <c r="M1391" s="1665">
        <v>2.462E-2</v>
      </c>
      <c r="N1391" s="1666">
        <v>1.4812464187971943</v>
      </c>
      <c r="O1391" s="1666"/>
    </row>
    <row r="1392" spans="11:15">
      <c r="K1392" s="1663">
        <v>43449</v>
      </c>
      <c r="L1392" s="1664"/>
      <c r="M1392" s="1665">
        <v>0</v>
      </c>
      <c r="N1392" s="1666">
        <v>1.4812464187971943</v>
      </c>
      <c r="O1392" s="1666"/>
    </row>
    <row r="1393" spans="11:15">
      <c r="K1393" s="1663">
        <v>43450</v>
      </c>
      <c r="L1393" s="1664"/>
      <c r="M1393" s="1665">
        <v>0</v>
      </c>
      <c r="N1393" s="1666">
        <v>1.4812464187971943</v>
      </c>
      <c r="O1393" s="1666"/>
    </row>
    <row r="1394" spans="11:15">
      <c r="K1394" s="1663">
        <v>43451</v>
      </c>
      <c r="L1394" s="1664" t="s">
        <v>2293</v>
      </c>
      <c r="M1394" s="1665">
        <v>2.462E-2</v>
      </c>
      <c r="N1394" s="1666">
        <v>1.4816111016655023</v>
      </c>
      <c r="O1394" s="1666"/>
    </row>
    <row r="1395" spans="11:15">
      <c r="K1395" s="1663">
        <v>43452</v>
      </c>
      <c r="L1395" s="1664" t="s">
        <v>2293</v>
      </c>
      <c r="M1395" s="1665">
        <v>2.462E-2</v>
      </c>
      <c r="N1395" s="1666">
        <v>1.4819758743187323</v>
      </c>
      <c r="O1395" s="1666"/>
    </row>
    <row r="1396" spans="11:15">
      <c r="K1396" s="1663">
        <v>43453</v>
      </c>
      <c r="L1396" s="1664" t="s">
        <v>2293</v>
      </c>
      <c r="M1396" s="1665">
        <v>2.462E-2</v>
      </c>
      <c r="N1396" s="1666">
        <v>1.4823407367789898</v>
      </c>
      <c r="O1396" s="1666"/>
    </row>
    <row r="1397" spans="11:15">
      <c r="K1397" s="1663">
        <v>43454</v>
      </c>
      <c r="L1397" s="1664" t="s">
        <v>2293</v>
      </c>
      <c r="M1397" s="1665">
        <v>2.462E-2</v>
      </c>
      <c r="N1397" s="1666">
        <v>1.482705689068385</v>
      </c>
      <c r="O1397" s="1666"/>
    </row>
    <row r="1398" spans="11:15">
      <c r="K1398" s="1663">
        <v>43455</v>
      </c>
      <c r="L1398" s="1664" t="s">
        <v>2293</v>
      </c>
      <c r="M1398" s="1665">
        <v>2.462E-2</v>
      </c>
      <c r="N1398" s="1666">
        <v>1.4830707312090337</v>
      </c>
      <c r="O1398" s="1666"/>
    </row>
    <row r="1399" spans="11:15">
      <c r="K1399" s="1663">
        <v>43456</v>
      </c>
      <c r="L1399" s="1664"/>
      <c r="M1399" s="1665">
        <v>0</v>
      </c>
      <c r="N1399" s="1666">
        <v>1.4830707312090337</v>
      </c>
      <c r="O1399" s="1666"/>
    </row>
    <row r="1400" spans="11:15">
      <c r="K1400" s="1663">
        <v>43457</v>
      </c>
      <c r="L1400" s="1664"/>
      <c r="M1400" s="1665">
        <v>0</v>
      </c>
      <c r="N1400" s="1666">
        <v>1.4830707312090337</v>
      </c>
      <c r="O1400" s="1666"/>
    </row>
    <row r="1401" spans="11:15">
      <c r="K1401" s="1663">
        <v>43458</v>
      </c>
      <c r="L1401" s="1664" t="s">
        <v>2293</v>
      </c>
      <c r="M1401" s="1665">
        <v>2.462E-2</v>
      </c>
      <c r="N1401" s="1666">
        <v>1.4834358632230575</v>
      </c>
      <c r="O1401" s="1666"/>
    </row>
    <row r="1402" spans="11:15">
      <c r="K1402" s="1663">
        <v>43459</v>
      </c>
      <c r="L1402" s="1664"/>
      <c r="M1402" s="1665">
        <v>0</v>
      </c>
      <c r="N1402" s="1666">
        <v>1.4834358632230575</v>
      </c>
      <c r="O1402" s="1666"/>
    </row>
    <row r="1403" spans="11:15">
      <c r="K1403" s="1663">
        <v>43460</v>
      </c>
      <c r="L1403" s="1664" t="s">
        <v>2293</v>
      </c>
      <c r="M1403" s="1665">
        <v>2.462E-2</v>
      </c>
      <c r="N1403" s="1666">
        <v>1.4838010851325831</v>
      </c>
      <c r="O1403" s="1666"/>
    </row>
    <row r="1404" spans="11:15">
      <c r="K1404" s="1663">
        <v>43461</v>
      </c>
      <c r="L1404" s="1664" t="s">
        <v>2293</v>
      </c>
      <c r="M1404" s="1665">
        <v>2.462E-2</v>
      </c>
      <c r="N1404" s="1666">
        <v>1.484166396959743</v>
      </c>
      <c r="O1404" s="1666"/>
    </row>
    <row r="1405" spans="11:15">
      <c r="K1405" s="1663">
        <v>43462</v>
      </c>
      <c r="L1405" s="1664" t="s">
        <v>2293</v>
      </c>
      <c r="M1405" s="1665">
        <v>2.462E-2</v>
      </c>
      <c r="N1405" s="1666">
        <v>1.4845317987266746</v>
      </c>
      <c r="O1405" s="1666"/>
    </row>
    <row r="1406" spans="11:15">
      <c r="K1406" s="1663">
        <v>43463</v>
      </c>
      <c r="L1406" s="1664"/>
      <c r="M1406" s="1665">
        <v>0</v>
      </c>
      <c r="N1406" s="1666">
        <v>1.4845317987266746</v>
      </c>
      <c r="O1406" s="1666"/>
    </row>
    <row r="1407" spans="11:15">
      <c r="K1407" s="1663">
        <v>43464</v>
      </c>
      <c r="L1407" s="1664"/>
      <c r="M1407" s="1665">
        <v>0</v>
      </c>
      <c r="N1407" s="1666">
        <v>1.4845317987266746</v>
      </c>
      <c r="O1407" s="1666"/>
    </row>
    <row r="1408" spans="11:15">
      <c r="K1408" s="1663">
        <v>43465</v>
      </c>
      <c r="L1408" s="1664" t="s">
        <v>2293</v>
      </c>
      <c r="M1408" s="1665">
        <v>2.462E-2</v>
      </c>
      <c r="N1408" s="1666">
        <v>1.4848972904555213</v>
      </c>
      <c r="O1408" s="1666"/>
    </row>
    <row r="1409" spans="11:15">
      <c r="K1409" s="1663">
        <v>43466</v>
      </c>
      <c r="L1409" s="1664"/>
      <c r="M1409" s="1665">
        <v>0</v>
      </c>
      <c r="N1409" s="1666">
        <v>1.4848972904555213</v>
      </c>
      <c r="O1409" s="1666"/>
    </row>
    <row r="1410" spans="11:15">
      <c r="K1410" s="1663">
        <v>43467</v>
      </c>
      <c r="L1410" s="1664" t="s">
        <v>2293</v>
      </c>
      <c r="M1410" s="1665">
        <v>2.462E-2</v>
      </c>
      <c r="N1410" s="1666">
        <v>1.4852628721684316</v>
      </c>
      <c r="O1410" s="1666"/>
    </row>
    <row r="1411" spans="11:15">
      <c r="K1411" s="1663">
        <v>43468</v>
      </c>
      <c r="L1411" s="1664" t="s">
        <v>2293</v>
      </c>
      <c r="M1411" s="1665">
        <v>2.462E-2</v>
      </c>
      <c r="N1411" s="1666">
        <v>1.4856285438875596</v>
      </c>
      <c r="O1411" s="1666"/>
    </row>
    <row r="1412" spans="11:15">
      <c r="K1412" s="1663">
        <v>43469</v>
      </c>
      <c r="L1412" s="1664" t="s">
        <v>2293</v>
      </c>
      <c r="M1412" s="1665">
        <v>2.462E-2</v>
      </c>
      <c r="N1412" s="1666">
        <v>1.4859943056350648</v>
      </c>
      <c r="O1412" s="1666"/>
    </row>
    <row r="1413" spans="11:15">
      <c r="K1413" s="1663">
        <v>43470</v>
      </c>
      <c r="L1413" s="1664"/>
      <c r="M1413" s="1665">
        <v>0</v>
      </c>
      <c r="N1413" s="1666">
        <v>1.4859943056350648</v>
      </c>
      <c r="O1413" s="1666"/>
    </row>
    <row r="1414" spans="11:15">
      <c r="K1414" s="1663">
        <v>43471</v>
      </c>
      <c r="L1414" s="1664"/>
      <c r="M1414" s="1665">
        <v>0</v>
      </c>
      <c r="N1414" s="1666">
        <v>1.4859943056350648</v>
      </c>
      <c r="O1414" s="1666"/>
    </row>
    <row r="1415" spans="11:15">
      <c r="K1415" s="1663">
        <v>43472</v>
      </c>
      <c r="L1415" s="1664" t="s">
        <v>2293</v>
      </c>
      <c r="M1415" s="1665">
        <v>2.462E-2</v>
      </c>
      <c r="N1415" s="1666">
        <v>1.4863601574331122</v>
      </c>
      <c r="O1415" s="1666"/>
    </row>
    <row r="1416" spans="11:15">
      <c r="K1416" s="1663">
        <v>43473</v>
      </c>
      <c r="L1416" s="1664" t="s">
        <v>2293</v>
      </c>
      <c r="M1416" s="1665">
        <v>2.462E-2</v>
      </c>
      <c r="N1416" s="1666">
        <v>1.4867260993038725</v>
      </c>
      <c r="O1416" s="1666"/>
    </row>
    <row r="1417" spans="11:15">
      <c r="K1417" s="1663">
        <v>43474</v>
      </c>
      <c r="L1417" s="1664" t="s">
        <v>2293</v>
      </c>
      <c r="M1417" s="1665">
        <v>2.462E-2</v>
      </c>
      <c r="N1417" s="1666">
        <v>1.4870921312695211</v>
      </c>
      <c r="O1417" s="1666"/>
    </row>
    <row r="1418" spans="11:15">
      <c r="K1418" s="1663">
        <v>43475</v>
      </c>
      <c r="L1418" s="1664" t="s">
        <v>2293</v>
      </c>
      <c r="M1418" s="1665">
        <v>2.462E-2</v>
      </c>
      <c r="N1418" s="1666">
        <v>1.4874582533522398</v>
      </c>
      <c r="O1418" s="1666"/>
    </row>
    <row r="1419" spans="11:15">
      <c r="K1419" s="1663">
        <v>43476</v>
      </c>
      <c r="L1419" s="1664" t="s">
        <v>2293</v>
      </c>
      <c r="M1419" s="1665">
        <v>2.462E-2</v>
      </c>
      <c r="N1419" s="1666">
        <v>1.4878244655742152</v>
      </c>
      <c r="O1419" s="1666"/>
    </row>
    <row r="1420" spans="11:15">
      <c r="K1420" s="1663">
        <v>43477</v>
      </c>
      <c r="L1420" s="1664"/>
      <c r="M1420" s="1665">
        <v>0</v>
      </c>
      <c r="N1420" s="1666">
        <v>1.4878244655742152</v>
      </c>
      <c r="O1420" s="1666"/>
    </row>
    <row r="1421" spans="11:15">
      <c r="K1421" s="1663">
        <v>43478</v>
      </c>
      <c r="L1421" s="1664"/>
      <c r="M1421" s="1665">
        <v>0</v>
      </c>
      <c r="N1421" s="1666">
        <v>1.4878244655742152</v>
      </c>
      <c r="O1421" s="1666"/>
    </row>
    <row r="1422" spans="11:15">
      <c r="K1422" s="1663">
        <v>43479</v>
      </c>
      <c r="L1422" s="1664" t="s">
        <v>2293</v>
      </c>
      <c r="M1422" s="1665">
        <v>2.462E-2</v>
      </c>
      <c r="N1422" s="1666">
        <v>1.4881907679576396</v>
      </c>
      <c r="O1422" s="1666"/>
    </row>
    <row r="1423" spans="11:15">
      <c r="K1423" s="1663">
        <v>43480</v>
      </c>
      <c r="L1423" s="1664" t="s">
        <v>2293</v>
      </c>
      <c r="M1423" s="1665">
        <v>2.462E-2</v>
      </c>
      <c r="N1423" s="1666">
        <v>1.488557160524711</v>
      </c>
      <c r="O1423" s="1666"/>
    </row>
    <row r="1424" spans="11:15">
      <c r="K1424" s="1663">
        <v>43481</v>
      </c>
      <c r="L1424" s="1664" t="s">
        <v>2293</v>
      </c>
      <c r="M1424" s="1665">
        <v>2.462E-2</v>
      </c>
      <c r="N1424" s="1666">
        <v>1.4889236432976323</v>
      </c>
      <c r="O1424" s="1666"/>
    </row>
    <row r="1425" spans="11:15">
      <c r="K1425" s="1663">
        <v>43482</v>
      </c>
      <c r="L1425" s="1664" t="s">
        <v>2293</v>
      </c>
      <c r="M1425" s="1665">
        <v>2.462E-2</v>
      </c>
      <c r="N1425" s="1666">
        <v>1.4892902162986124</v>
      </c>
      <c r="O1425" s="1666"/>
    </row>
    <row r="1426" spans="11:15">
      <c r="K1426" s="1663">
        <v>43483</v>
      </c>
      <c r="L1426" s="1664" t="s">
        <v>2293</v>
      </c>
      <c r="M1426" s="1665">
        <v>2.462E-2</v>
      </c>
      <c r="N1426" s="1666">
        <v>1.4896568795498653</v>
      </c>
      <c r="O1426" s="1666"/>
    </row>
    <row r="1427" spans="11:15">
      <c r="K1427" s="1663">
        <v>43484</v>
      </c>
      <c r="L1427" s="1664"/>
      <c r="M1427" s="1665">
        <v>0</v>
      </c>
      <c r="N1427" s="1666">
        <v>1.4896568795498653</v>
      </c>
      <c r="O1427" s="1666"/>
    </row>
    <row r="1428" spans="11:15">
      <c r="K1428" s="1663">
        <v>43485</v>
      </c>
      <c r="L1428" s="1664"/>
      <c r="M1428" s="1665">
        <v>0</v>
      </c>
      <c r="N1428" s="1666">
        <v>1.4896568795498653</v>
      </c>
      <c r="O1428" s="1666"/>
    </row>
    <row r="1429" spans="11:15">
      <c r="K1429" s="1663">
        <v>43486</v>
      </c>
      <c r="L1429" s="1664" t="s">
        <v>2293</v>
      </c>
      <c r="M1429" s="1665">
        <v>2.462E-2</v>
      </c>
      <c r="N1429" s="1666">
        <v>1.4900236330736105</v>
      </c>
      <c r="O1429" s="1666"/>
    </row>
    <row r="1430" spans="11:15">
      <c r="K1430" s="1663">
        <v>43487</v>
      </c>
      <c r="L1430" s="1664" t="s">
        <v>2293</v>
      </c>
      <c r="M1430" s="1665">
        <v>2.462E-2</v>
      </c>
      <c r="N1430" s="1666">
        <v>1.4903904768920733</v>
      </c>
      <c r="O1430" s="1666"/>
    </row>
    <row r="1431" spans="11:15">
      <c r="K1431" s="1663">
        <v>43488</v>
      </c>
      <c r="L1431" s="1664" t="s">
        <v>2293</v>
      </c>
      <c r="M1431" s="1665">
        <v>2.462E-2</v>
      </c>
      <c r="N1431" s="1666">
        <v>1.4907574110274842</v>
      </c>
      <c r="O1431" s="1666"/>
    </row>
    <row r="1432" spans="11:15">
      <c r="K1432" s="1663">
        <v>43489</v>
      </c>
      <c r="L1432" s="1664" t="s">
        <v>2293</v>
      </c>
      <c r="M1432" s="1665">
        <v>2.462E-2</v>
      </c>
      <c r="N1432" s="1666">
        <v>1.4911244355020792</v>
      </c>
      <c r="O1432" s="1666"/>
    </row>
    <row r="1433" spans="11:15">
      <c r="K1433" s="1663">
        <v>43490</v>
      </c>
      <c r="L1433" s="1664" t="s">
        <v>2293</v>
      </c>
      <c r="M1433" s="1665">
        <v>2.462E-2</v>
      </c>
      <c r="N1433" s="1666">
        <v>1.4914915503380999</v>
      </c>
      <c r="O1433" s="1666"/>
    </row>
    <row r="1434" spans="11:15">
      <c r="K1434" s="1663">
        <v>43491</v>
      </c>
      <c r="L1434" s="1664"/>
      <c r="M1434" s="1665">
        <v>0</v>
      </c>
      <c r="N1434" s="1666">
        <v>1.4914915503380999</v>
      </c>
      <c r="O1434" s="1666"/>
    </row>
    <row r="1435" spans="11:15">
      <c r="K1435" s="1663">
        <v>43492</v>
      </c>
      <c r="L1435" s="1664"/>
      <c r="M1435" s="1665">
        <v>0</v>
      </c>
      <c r="N1435" s="1666">
        <v>1.4914915503380999</v>
      </c>
      <c r="O1435" s="1666"/>
    </row>
    <row r="1436" spans="11:15">
      <c r="K1436" s="1663">
        <v>43493</v>
      </c>
      <c r="L1436" s="1664" t="s">
        <v>2293</v>
      </c>
      <c r="M1436" s="1665">
        <v>2.462E-2</v>
      </c>
      <c r="N1436" s="1666">
        <v>1.4918587555577933</v>
      </c>
      <c r="O1436" s="1666"/>
    </row>
    <row r="1437" spans="11:15">
      <c r="K1437" s="1663">
        <v>43494</v>
      </c>
      <c r="L1437" s="1664" t="s">
        <v>2293</v>
      </c>
      <c r="M1437" s="1665">
        <v>2.462E-2</v>
      </c>
      <c r="N1437" s="1666">
        <v>1.4922260511834118</v>
      </c>
      <c r="O1437" s="1666"/>
    </row>
    <row r="1438" spans="11:15">
      <c r="K1438" s="1663">
        <v>43495</v>
      </c>
      <c r="L1438" s="1664" t="s">
        <v>2293</v>
      </c>
      <c r="M1438" s="1665">
        <v>2.462E-2</v>
      </c>
      <c r="N1438" s="1666">
        <v>1.4925934372372132</v>
      </c>
      <c r="O1438" s="1666"/>
    </row>
    <row r="1439" spans="11:15">
      <c r="K1439" s="1663">
        <v>43496</v>
      </c>
      <c r="L1439" s="1664" t="s">
        <v>2293</v>
      </c>
      <c r="M1439" s="1665">
        <v>2.462E-2</v>
      </c>
      <c r="N1439" s="1666">
        <v>1.492960913741461</v>
      </c>
      <c r="O1439" s="1666"/>
    </row>
    <row r="1440" spans="11:15">
      <c r="K1440" s="1663">
        <v>43497</v>
      </c>
      <c r="L1440" s="1664" t="s">
        <v>2293</v>
      </c>
      <c r="M1440" s="1665">
        <v>2.462E-2</v>
      </c>
      <c r="N1440" s="1666">
        <v>1.4933284807184244</v>
      </c>
      <c r="O1440" s="1666"/>
    </row>
    <row r="1441" spans="11:15">
      <c r="K1441" s="1663">
        <v>43498</v>
      </c>
      <c r="L1441" s="1664"/>
      <c r="M1441" s="1665">
        <v>0</v>
      </c>
      <c r="N1441" s="1666">
        <v>1.4933284807184244</v>
      </c>
      <c r="O1441" s="1666"/>
    </row>
    <row r="1442" spans="11:15">
      <c r="K1442" s="1663">
        <v>43499</v>
      </c>
      <c r="L1442" s="1664"/>
      <c r="M1442" s="1665">
        <v>0</v>
      </c>
      <c r="N1442" s="1666">
        <v>1.4933284807184244</v>
      </c>
      <c r="O1442" s="1666"/>
    </row>
    <row r="1443" spans="11:15">
      <c r="K1443" s="1663">
        <v>43500</v>
      </c>
      <c r="L1443" s="1664" t="s">
        <v>2293</v>
      </c>
      <c r="M1443" s="1665">
        <v>2.462E-2</v>
      </c>
      <c r="N1443" s="1666">
        <v>1.4936961381903775</v>
      </c>
      <c r="O1443" s="1666"/>
    </row>
    <row r="1444" spans="11:15">
      <c r="K1444" s="1663">
        <v>43501</v>
      </c>
      <c r="L1444" s="1664" t="s">
        <v>2293</v>
      </c>
      <c r="M1444" s="1665">
        <v>2.462E-2</v>
      </c>
      <c r="N1444" s="1666">
        <v>1.4940638861796001</v>
      </c>
      <c r="O1444" s="1666"/>
    </row>
    <row r="1445" spans="11:15">
      <c r="K1445" s="1663">
        <v>43502</v>
      </c>
      <c r="L1445" s="1664" t="s">
        <v>2293</v>
      </c>
      <c r="M1445" s="1665">
        <v>2.462E-2</v>
      </c>
      <c r="N1445" s="1666">
        <v>1.4944317247083776</v>
      </c>
      <c r="O1445" s="1666"/>
    </row>
    <row r="1446" spans="11:15">
      <c r="K1446" s="1663">
        <v>43503</v>
      </c>
      <c r="L1446" s="1664" t="s">
        <v>2293</v>
      </c>
      <c r="M1446" s="1665">
        <v>2.462E-2</v>
      </c>
      <c r="N1446" s="1666">
        <v>1.4947996537990009</v>
      </c>
      <c r="O1446" s="1666"/>
    </row>
    <row r="1447" spans="11:15">
      <c r="K1447" s="1663">
        <v>43504</v>
      </c>
      <c r="L1447" s="1664" t="s">
        <v>2293</v>
      </c>
      <c r="M1447" s="1665">
        <v>2.462E-2</v>
      </c>
      <c r="N1447" s="1666">
        <v>1.4951676734737664</v>
      </c>
      <c r="O1447" s="1666"/>
    </row>
    <row r="1448" spans="11:15">
      <c r="K1448" s="1663">
        <v>43505</v>
      </c>
      <c r="L1448" s="1664"/>
      <c r="M1448" s="1665">
        <v>0</v>
      </c>
      <c r="N1448" s="1666">
        <v>1.4951676734737664</v>
      </c>
      <c r="O1448" s="1666"/>
    </row>
    <row r="1449" spans="11:15">
      <c r="K1449" s="1663">
        <v>43506</v>
      </c>
      <c r="L1449" s="1664"/>
      <c r="M1449" s="1665">
        <v>0</v>
      </c>
      <c r="N1449" s="1666">
        <v>1.4951676734737664</v>
      </c>
      <c r="O1449" s="1666"/>
    </row>
    <row r="1450" spans="11:15">
      <c r="K1450" s="1663">
        <v>43507</v>
      </c>
      <c r="L1450" s="1664" t="s">
        <v>2293</v>
      </c>
      <c r="M1450" s="1665">
        <v>2.462E-2</v>
      </c>
      <c r="N1450" s="1666">
        <v>1.4955357837549759</v>
      </c>
      <c r="O1450" s="1666"/>
    </row>
    <row r="1451" spans="11:15">
      <c r="K1451" s="1663">
        <v>43508</v>
      </c>
      <c r="L1451" s="1664" t="s">
        <v>2293</v>
      </c>
      <c r="M1451" s="1665">
        <v>2.462E-2</v>
      </c>
      <c r="N1451" s="1666">
        <v>1.4959039846649365</v>
      </c>
      <c r="O1451" s="1666"/>
    </row>
    <row r="1452" spans="11:15">
      <c r="K1452" s="1663">
        <v>43509</v>
      </c>
      <c r="L1452" s="1664" t="s">
        <v>2293</v>
      </c>
      <c r="M1452" s="1665">
        <v>2.462E-2</v>
      </c>
      <c r="N1452" s="1666">
        <v>1.496272276225961</v>
      </c>
      <c r="O1452" s="1666"/>
    </row>
    <row r="1453" spans="11:15">
      <c r="K1453" s="1663">
        <v>43510</v>
      </c>
      <c r="L1453" s="1664" t="s">
        <v>2293</v>
      </c>
      <c r="M1453" s="1665">
        <v>2.462E-2</v>
      </c>
      <c r="N1453" s="1666">
        <v>1.496640658460368</v>
      </c>
      <c r="O1453" s="1666"/>
    </row>
    <row r="1454" spans="11:15">
      <c r="K1454" s="1663">
        <v>43511</v>
      </c>
      <c r="L1454" s="1664" t="s">
        <v>2293</v>
      </c>
      <c r="M1454" s="1665">
        <v>2.462E-2</v>
      </c>
      <c r="N1454" s="1666">
        <v>1.497009131390481</v>
      </c>
      <c r="O1454" s="1666"/>
    </row>
    <row r="1455" spans="11:15">
      <c r="K1455" s="1663">
        <v>43512</v>
      </c>
      <c r="L1455" s="1664"/>
      <c r="M1455" s="1665">
        <v>0</v>
      </c>
      <c r="N1455" s="1666">
        <v>1.497009131390481</v>
      </c>
      <c r="O1455" s="1666"/>
    </row>
    <row r="1456" spans="11:15">
      <c r="K1456" s="1663">
        <v>43513</v>
      </c>
      <c r="L1456" s="1664"/>
      <c r="M1456" s="1665">
        <v>0</v>
      </c>
      <c r="N1456" s="1666">
        <v>1.497009131390481</v>
      </c>
      <c r="O1456" s="1666"/>
    </row>
    <row r="1457" spans="11:15">
      <c r="K1457" s="1663">
        <v>43514</v>
      </c>
      <c r="L1457" s="1664" t="s">
        <v>2293</v>
      </c>
      <c r="M1457" s="1665">
        <v>2.462E-2</v>
      </c>
      <c r="N1457" s="1666">
        <v>1.4973776950386295</v>
      </c>
      <c r="O1457" s="1666"/>
    </row>
    <row r="1458" spans="11:15">
      <c r="K1458" s="1663">
        <v>43515</v>
      </c>
      <c r="L1458" s="1664" t="s">
        <v>2293</v>
      </c>
      <c r="M1458" s="1665">
        <v>2.462E-2</v>
      </c>
      <c r="N1458" s="1666">
        <v>1.4977463494271481</v>
      </c>
      <c r="O1458" s="1666"/>
    </row>
    <row r="1459" spans="11:15">
      <c r="K1459" s="1663">
        <v>43516</v>
      </c>
      <c r="L1459" s="1664" t="s">
        <v>2293</v>
      </c>
      <c r="M1459" s="1665">
        <v>2.462E-2</v>
      </c>
      <c r="N1459" s="1666">
        <v>1.4981150945783772</v>
      </c>
      <c r="O1459" s="1666"/>
    </row>
    <row r="1460" spans="11:15">
      <c r="K1460" s="1663">
        <v>43517</v>
      </c>
      <c r="L1460" s="1664" t="s">
        <v>2293</v>
      </c>
      <c r="M1460" s="1665">
        <v>2.462E-2</v>
      </c>
      <c r="N1460" s="1666">
        <v>1.4984839305146624</v>
      </c>
      <c r="O1460" s="1666"/>
    </row>
    <row r="1461" spans="11:15">
      <c r="K1461" s="1663">
        <v>43518</v>
      </c>
      <c r="L1461" s="1664" t="s">
        <v>2293</v>
      </c>
      <c r="M1461" s="1665">
        <v>2.462E-2</v>
      </c>
      <c r="N1461" s="1666">
        <v>1.4988528572583553</v>
      </c>
      <c r="O1461" s="1666"/>
    </row>
    <row r="1462" spans="11:15">
      <c r="K1462" s="1663">
        <v>43519</v>
      </c>
      <c r="L1462" s="1664"/>
      <c r="M1462" s="1665">
        <v>0</v>
      </c>
      <c r="N1462" s="1666">
        <v>1.4988528572583553</v>
      </c>
      <c r="O1462" s="1666"/>
    </row>
    <row r="1463" spans="11:15">
      <c r="K1463" s="1663">
        <v>43520</v>
      </c>
      <c r="L1463" s="1664"/>
      <c r="M1463" s="1665">
        <v>0</v>
      </c>
      <c r="N1463" s="1666">
        <v>1.4988528572583553</v>
      </c>
      <c r="O1463" s="1666"/>
    </row>
    <row r="1464" spans="11:15">
      <c r="K1464" s="1663">
        <v>43521</v>
      </c>
      <c r="L1464" s="1664" t="s">
        <v>2293</v>
      </c>
      <c r="M1464" s="1665">
        <v>2.462E-2</v>
      </c>
      <c r="N1464" s="1666">
        <v>1.4992218748318125</v>
      </c>
      <c r="O1464" s="1666"/>
    </row>
    <row r="1465" spans="11:15">
      <c r="K1465" s="1663">
        <v>43522</v>
      </c>
      <c r="L1465" s="1664" t="s">
        <v>2293</v>
      </c>
      <c r="M1465" s="1665">
        <v>2.462E-2</v>
      </c>
      <c r="N1465" s="1666">
        <v>1.4995909832573961</v>
      </c>
      <c r="O1465" s="1666"/>
    </row>
    <row r="1466" spans="11:15">
      <c r="K1466" s="1663">
        <v>43523</v>
      </c>
      <c r="L1466" s="1664" t="s">
        <v>2293</v>
      </c>
      <c r="M1466" s="1665">
        <v>2.462E-2</v>
      </c>
      <c r="N1466" s="1666">
        <v>1.4999601825574742</v>
      </c>
      <c r="O1466" s="1666"/>
    </row>
    <row r="1467" spans="11:15">
      <c r="K1467" s="1663">
        <v>43524</v>
      </c>
      <c r="L1467" s="1664" t="s">
        <v>2293</v>
      </c>
      <c r="M1467" s="1665">
        <v>2.462E-2</v>
      </c>
      <c r="N1467" s="1666">
        <v>1.5003294727544201</v>
      </c>
      <c r="O1467" s="1666"/>
    </row>
    <row r="1468" spans="11:15">
      <c r="K1468" s="1663">
        <v>43525</v>
      </c>
      <c r="L1468" s="1664" t="s">
        <v>2293</v>
      </c>
      <c r="M1468" s="1665">
        <v>2.462E-2</v>
      </c>
      <c r="N1468" s="1666">
        <v>1.5006988538706123</v>
      </c>
      <c r="O1468" s="1666"/>
    </row>
    <row r="1469" spans="11:15">
      <c r="K1469" s="1663">
        <v>43526</v>
      </c>
      <c r="L1469" s="1664"/>
      <c r="M1469" s="1665">
        <v>0</v>
      </c>
      <c r="N1469" s="1666">
        <v>1.5006988538706123</v>
      </c>
      <c r="O1469" s="1666"/>
    </row>
    <row r="1470" spans="11:15">
      <c r="K1470" s="1663">
        <v>43527</v>
      </c>
      <c r="L1470" s="1664"/>
      <c r="M1470" s="1665">
        <v>0</v>
      </c>
      <c r="N1470" s="1666">
        <v>1.5006988538706123</v>
      </c>
      <c r="O1470" s="1666"/>
    </row>
    <row r="1471" spans="11:15">
      <c r="K1471" s="1663">
        <v>43528</v>
      </c>
      <c r="L1471" s="1664"/>
      <c r="M1471" s="1665">
        <v>0</v>
      </c>
      <c r="N1471" s="1666">
        <v>1.5006988538706123</v>
      </c>
      <c r="O1471" s="1666"/>
    </row>
    <row r="1472" spans="11:15">
      <c r="K1472" s="1663">
        <v>43529</v>
      </c>
      <c r="L1472" s="1664"/>
      <c r="M1472" s="1665">
        <v>0</v>
      </c>
      <c r="N1472" s="1666">
        <v>1.5006988538706123</v>
      </c>
      <c r="O1472" s="1666"/>
    </row>
    <row r="1473" spans="11:15">
      <c r="K1473" s="1663">
        <v>43530</v>
      </c>
      <c r="L1473" s="1664" t="s">
        <v>2293</v>
      </c>
      <c r="M1473" s="1665">
        <v>2.462E-2</v>
      </c>
      <c r="N1473" s="1666">
        <v>1.5010683259284354</v>
      </c>
      <c r="O1473" s="1666"/>
    </row>
    <row r="1474" spans="11:15">
      <c r="K1474" s="1663">
        <v>43531</v>
      </c>
      <c r="L1474" s="1664" t="s">
        <v>2293</v>
      </c>
      <c r="M1474" s="1665">
        <v>2.462E-2</v>
      </c>
      <c r="N1474" s="1666">
        <v>1.5014378889502791</v>
      </c>
      <c r="O1474" s="1666"/>
    </row>
    <row r="1475" spans="11:15">
      <c r="K1475" s="1663">
        <v>43532</v>
      </c>
      <c r="L1475" s="1664" t="s">
        <v>2293</v>
      </c>
      <c r="M1475" s="1665">
        <v>2.462E-2</v>
      </c>
      <c r="N1475" s="1666">
        <v>1.5018075429585387</v>
      </c>
      <c r="O1475" s="1666"/>
    </row>
    <row r="1476" spans="11:15">
      <c r="K1476" s="1663">
        <v>43533</v>
      </c>
      <c r="L1476" s="1664"/>
      <c r="M1476" s="1665">
        <v>0</v>
      </c>
      <c r="N1476" s="1666">
        <v>1.5018075429585387</v>
      </c>
      <c r="O1476" s="1666"/>
    </row>
    <row r="1477" spans="11:15">
      <c r="K1477" s="1663">
        <v>43534</v>
      </c>
      <c r="L1477" s="1664"/>
      <c r="M1477" s="1665">
        <v>0</v>
      </c>
      <c r="N1477" s="1666">
        <v>1.5018075429585387</v>
      </c>
      <c r="O1477" s="1666"/>
    </row>
    <row r="1478" spans="11:15">
      <c r="K1478" s="1663">
        <v>43535</v>
      </c>
      <c r="L1478" s="1664" t="s">
        <v>2293</v>
      </c>
      <c r="M1478" s="1665">
        <v>2.462E-2</v>
      </c>
      <c r="N1478" s="1666">
        <v>1.5021772879756152</v>
      </c>
      <c r="O1478" s="1666"/>
    </row>
    <row r="1479" spans="11:15">
      <c r="K1479" s="1663">
        <v>43536</v>
      </c>
      <c r="L1479" s="1664" t="s">
        <v>2293</v>
      </c>
      <c r="M1479" s="1665">
        <v>2.462E-2</v>
      </c>
      <c r="N1479" s="1666">
        <v>1.502547124023915</v>
      </c>
      <c r="O1479" s="1666"/>
    </row>
    <row r="1480" spans="11:15">
      <c r="K1480" s="1663">
        <v>43537</v>
      </c>
      <c r="L1480" s="1664" t="s">
        <v>2293</v>
      </c>
      <c r="M1480" s="1665">
        <v>2.462E-2</v>
      </c>
      <c r="N1480" s="1666">
        <v>1.5029170511258498</v>
      </c>
      <c r="O1480" s="1666"/>
    </row>
    <row r="1481" spans="11:15">
      <c r="K1481" s="1663">
        <v>43538</v>
      </c>
      <c r="L1481" s="1664" t="s">
        <v>2293</v>
      </c>
      <c r="M1481" s="1665">
        <v>2.462E-2</v>
      </c>
      <c r="N1481" s="1666">
        <v>1.5032870693038372</v>
      </c>
      <c r="O1481" s="1666"/>
    </row>
    <row r="1482" spans="11:15">
      <c r="K1482" s="1663">
        <v>43539</v>
      </c>
      <c r="L1482" s="1664" t="s">
        <v>2293</v>
      </c>
      <c r="M1482" s="1665">
        <v>2.462E-2</v>
      </c>
      <c r="N1482" s="1666">
        <v>1.5036571785802999</v>
      </c>
      <c r="O1482" s="1666"/>
    </row>
    <row r="1483" spans="11:15">
      <c r="K1483" s="1663">
        <v>43540</v>
      </c>
      <c r="L1483" s="1664"/>
      <c r="M1483" s="1665">
        <v>0</v>
      </c>
      <c r="N1483" s="1666">
        <v>1.5036571785802999</v>
      </c>
      <c r="O1483" s="1666"/>
    </row>
    <row r="1484" spans="11:15">
      <c r="K1484" s="1663">
        <v>43541</v>
      </c>
      <c r="L1484" s="1664"/>
      <c r="M1484" s="1665">
        <v>0</v>
      </c>
      <c r="N1484" s="1666">
        <v>1.5036571785802999</v>
      </c>
      <c r="O1484" s="1666"/>
    </row>
    <row r="1485" spans="11:15">
      <c r="K1485" s="1663">
        <v>43542</v>
      </c>
      <c r="L1485" s="1664" t="s">
        <v>2293</v>
      </c>
      <c r="M1485" s="1665">
        <v>2.462E-2</v>
      </c>
      <c r="N1485" s="1666">
        <v>1.5040273789776666</v>
      </c>
      <c r="O1485" s="1666"/>
    </row>
    <row r="1486" spans="11:15">
      <c r="K1486" s="1663">
        <v>43543</v>
      </c>
      <c r="L1486" s="1664" t="s">
        <v>2293</v>
      </c>
      <c r="M1486" s="1665">
        <v>2.462E-2</v>
      </c>
      <c r="N1486" s="1666">
        <v>1.504397670518371</v>
      </c>
      <c r="O1486" s="1666"/>
    </row>
    <row r="1487" spans="11:15">
      <c r="K1487" s="1663">
        <v>43544</v>
      </c>
      <c r="L1487" s="1664" t="s">
        <v>2293</v>
      </c>
      <c r="M1487" s="1665">
        <v>2.462E-2</v>
      </c>
      <c r="N1487" s="1666">
        <v>1.5047680532248529</v>
      </c>
      <c r="O1487" s="1666"/>
    </row>
    <row r="1488" spans="11:15">
      <c r="K1488" s="1663">
        <v>43545</v>
      </c>
      <c r="L1488" s="1664" t="s">
        <v>2293</v>
      </c>
      <c r="M1488" s="1665">
        <v>2.462E-2</v>
      </c>
      <c r="N1488" s="1666">
        <v>1.505138527119557</v>
      </c>
      <c r="O1488" s="1666"/>
    </row>
    <row r="1489" spans="11:15">
      <c r="K1489" s="1663">
        <v>43546</v>
      </c>
      <c r="L1489" s="1664" t="s">
        <v>2293</v>
      </c>
      <c r="M1489" s="1665">
        <v>2.462E-2</v>
      </c>
      <c r="N1489" s="1666">
        <v>1.5055090922249339</v>
      </c>
      <c r="O1489" s="1666"/>
    </row>
    <row r="1490" spans="11:15">
      <c r="K1490" s="1663">
        <v>43547</v>
      </c>
      <c r="L1490" s="1664"/>
      <c r="M1490" s="1665">
        <v>0</v>
      </c>
      <c r="N1490" s="1666">
        <v>1.5055090922249339</v>
      </c>
      <c r="O1490" s="1666"/>
    </row>
    <row r="1491" spans="11:15">
      <c r="K1491" s="1663">
        <v>43548</v>
      </c>
      <c r="L1491" s="1664"/>
      <c r="M1491" s="1665">
        <v>0</v>
      </c>
      <c r="N1491" s="1666">
        <v>1.5055090922249339</v>
      </c>
      <c r="O1491" s="1666"/>
    </row>
    <row r="1492" spans="11:15">
      <c r="K1492" s="1663">
        <v>43549</v>
      </c>
      <c r="L1492" s="1664" t="s">
        <v>2293</v>
      </c>
      <c r="M1492" s="1665">
        <v>2.462E-2</v>
      </c>
      <c r="N1492" s="1666">
        <v>1.5058797485634399</v>
      </c>
      <c r="O1492" s="1666"/>
    </row>
    <row r="1493" spans="11:15">
      <c r="K1493" s="1663">
        <v>43550</v>
      </c>
      <c r="L1493" s="1664" t="s">
        <v>2293</v>
      </c>
      <c r="M1493" s="1665">
        <v>2.462E-2</v>
      </c>
      <c r="N1493" s="1666">
        <v>1.5062504961575363</v>
      </c>
      <c r="O1493" s="1666"/>
    </row>
    <row r="1494" spans="11:15">
      <c r="K1494" s="1663">
        <v>43551</v>
      </c>
      <c r="L1494" s="1664" t="s">
        <v>2293</v>
      </c>
      <c r="M1494" s="1665">
        <v>2.462E-2</v>
      </c>
      <c r="N1494" s="1666">
        <v>1.5066213350296904</v>
      </c>
      <c r="O1494" s="1666"/>
    </row>
    <row r="1495" spans="11:15">
      <c r="K1495" s="1663">
        <v>43552</v>
      </c>
      <c r="L1495" s="1664" t="s">
        <v>2293</v>
      </c>
      <c r="M1495" s="1665">
        <v>2.462E-2</v>
      </c>
      <c r="N1495" s="1666">
        <v>1.5069922652023748</v>
      </c>
      <c r="O1495" s="1666"/>
    </row>
    <row r="1496" spans="11:15">
      <c r="K1496" s="1663">
        <v>43553</v>
      </c>
      <c r="L1496" s="1664" t="s">
        <v>2293</v>
      </c>
      <c r="M1496" s="1665">
        <v>2.462E-2</v>
      </c>
      <c r="N1496" s="1666">
        <v>1.5073632866980677</v>
      </c>
      <c r="O1496" s="1666"/>
    </row>
    <row r="1497" spans="11:15">
      <c r="K1497" s="1663">
        <v>43554</v>
      </c>
      <c r="L1497" s="1664"/>
      <c r="M1497" s="1665">
        <v>0</v>
      </c>
      <c r="N1497" s="1666">
        <v>1.5073632866980677</v>
      </c>
      <c r="O1497" s="1666"/>
    </row>
    <row r="1498" spans="11:15">
      <c r="K1498" s="1663">
        <v>43555</v>
      </c>
      <c r="L1498" s="1664"/>
      <c r="M1498" s="1665">
        <v>0</v>
      </c>
      <c r="N1498" s="1666">
        <v>1.5073632866980677</v>
      </c>
      <c r="O1498" s="1666"/>
    </row>
    <row r="1499" spans="11:15">
      <c r="K1499" s="1663">
        <v>43556</v>
      </c>
      <c r="L1499" s="1664" t="s">
        <v>2293</v>
      </c>
      <c r="M1499" s="1665">
        <v>2.462E-2</v>
      </c>
      <c r="N1499" s="1666">
        <v>1.5077343995392529</v>
      </c>
      <c r="O1499" s="1666"/>
    </row>
    <row r="1500" spans="11:15">
      <c r="K1500" s="1663">
        <v>43557</v>
      </c>
      <c r="L1500" s="1664" t="s">
        <v>2293</v>
      </c>
      <c r="M1500" s="1665">
        <v>2.462E-2</v>
      </c>
      <c r="N1500" s="1666">
        <v>1.5081056037484195</v>
      </c>
      <c r="O1500" s="1666"/>
    </row>
    <row r="1501" spans="11:15">
      <c r="K1501" s="1663">
        <v>43558</v>
      </c>
      <c r="L1501" s="1664" t="s">
        <v>2293</v>
      </c>
      <c r="M1501" s="1665">
        <v>2.462E-2</v>
      </c>
      <c r="N1501" s="1666">
        <v>1.5084768993480624</v>
      </c>
      <c r="O1501" s="1666"/>
    </row>
    <row r="1502" spans="11:15">
      <c r="K1502" s="1663">
        <v>43559</v>
      </c>
      <c r="L1502" s="1664" t="s">
        <v>2293</v>
      </c>
      <c r="M1502" s="1665">
        <v>2.462E-2</v>
      </c>
      <c r="N1502" s="1666">
        <v>1.508848286360682</v>
      </c>
      <c r="O1502" s="1666"/>
    </row>
    <row r="1503" spans="11:15">
      <c r="K1503" s="1663">
        <v>43560</v>
      </c>
      <c r="L1503" s="1664" t="s">
        <v>2293</v>
      </c>
      <c r="M1503" s="1665">
        <v>2.462E-2</v>
      </c>
      <c r="N1503" s="1666">
        <v>1.5092197648087842</v>
      </c>
      <c r="O1503" s="1666"/>
    </row>
    <row r="1504" spans="11:15">
      <c r="K1504" s="1663">
        <v>43561</v>
      </c>
      <c r="L1504" s="1664"/>
      <c r="M1504" s="1665">
        <v>0</v>
      </c>
      <c r="N1504" s="1666">
        <v>1.5092197648087842</v>
      </c>
      <c r="O1504" s="1666"/>
    </row>
    <row r="1505" spans="11:15">
      <c r="K1505" s="1663">
        <v>43562</v>
      </c>
      <c r="L1505" s="1664"/>
      <c r="M1505" s="1665">
        <v>0</v>
      </c>
      <c r="N1505" s="1666">
        <v>1.5092197648087842</v>
      </c>
      <c r="O1505" s="1666"/>
    </row>
    <row r="1506" spans="11:15">
      <c r="K1506" s="1663">
        <v>43563</v>
      </c>
      <c r="L1506" s="1664" t="s">
        <v>2293</v>
      </c>
      <c r="M1506" s="1665">
        <v>2.462E-2</v>
      </c>
      <c r="N1506" s="1666">
        <v>1.5095913347148802</v>
      </c>
      <c r="O1506" s="1666"/>
    </row>
    <row r="1507" spans="11:15">
      <c r="K1507" s="1663">
        <v>43564</v>
      </c>
      <c r="L1507" s="1664" t="s">
        <v>2293</v>
      </c>
      <c r="M1507" s="1665">
        <v>2.462E-2</v>
      </c>
      <c r="N1507" s="1666">
        <v>1.5099629961014871</v>
      </c>
      <c r="O1507" s="1666"/>
    </row>
    <row r="1508" spans="11:15">
      <c r="K1508" s="1663">
        <v>43565</v>
      </c>
      <c r="L1508" s="1664" t="s">
        <v>2293</v>
      </c>
      <c r="M1508" s="1665">
        <v>2.462E-2</v>
      </c>
      <c r="N1508" s="1666">
        <v>1.5103347489911274</v>
      </c>
      <c r="O1508" s="1666"/>
    </row>
    <row r="1509" spans="11:15">
      <c r="K1509" s="1663">
        <v>43566</v>
      </c>
      <c r="L1509" s="1664" t="s">
        <v>2293</v>
      </c>
      <c r="M1509" s="1665">
        <v>2.462E-2</v>
      </c>
      <c r="N1509" s="1666">
        <v>1.5107065934063291</v>
      </c>
      <c r="O1509" s="1666"/>
    </row>
    <row r="1510" spans="11:15">
      <c r="K1510" s="1663">
        <v>43567</v>
      </c>
      <c r="L1510" s="1664" t="s">
        <v>2293</v>
      </c>
      <c r="M1510" s="1665">
        <v>2.462E-2</v>
      </c>
      <c r="N1510" s="1666">
        <v>1.5110785293696258</v>
      </c>
      <c r="O1510" s="1666"/>
    </row>
    <row r="1511" spans="11:15">
      <c r="K1511" s="1663">
        <v>43568</v>
      </c>
      <c r="L1511" s="1664"/>
      <c r="M1511" s="1665">
        <v>0</v>
      </c>
      <c r="N1511" s="1666">
        <v>1.5110785293696258</v>
      </c>
      <c r="O1511" s="1666"/>
    </row>
    <row r="1512" spans="11:15">
      <c r="K1512" s="1663">
        <v>43569</v>
      </c>
      <c r="L1512" s="1664"/>
      <c r="M1512" s="1665">
        <v>0</v>
      </c>
      <c r="N1512" s="1666">
        <v>1.5110785293696258</v>
      </c>
      <c r="O1512" s="1666"/>
    </row>
    <row r="1513" spans="11:15">
      <c r="K1513" s="1663">
        <v>43570</v>
      </c>
      <c r="L1513" s="1664" t="s">
        <v>2293</v>
      </c>
      <c r="M1513" s="1665">
        <v>2.462E-2</v>
      </c>
      <c r="N1513" s="1666">
        <v>1.5114505569035568</v>
      </c>
      <c r="O1513" s="1666"/>
    </row>
    <row r="1514" spans="11:15">
      <c r="K1514" s="1663">
        <v>43571</v>
      </c>
      <c r="L1514" s="1664" t="s">
        <v>2293</v>
      </c>
      <c r="M1514" s="1665">
        <v>2.462E-2</v>
      </c>
      <c r="N1514" s="1666">
        <v>1.5118226760306666</v>
      </c>
      <c r="O1514" s="1666"/>
    </row>
    <row r="1515" spans="11:15">
      <c r="K1515" s="1663">
        <v>43572</v>
      </c>
      <c r="L1515" s="1664" t="s">
        <v>2293</v>
      </c>
      <c r="M1515" s="1665">
        <v>2.462E-2</v>
      </c>
      <c r="N1515" s="1666">
        <v>1.5121948867735053</v>
      </c>
      <c r="O1515" s="1666"/>
    </row>
    <row r="1516" spans="11:15">
      <c r="K1516" s="1663">
        <v>43573</v>
      </c>
      <c r="L1516" s="1664" t="s">
        <v>2293</v>
      </c>
      <c r="M1516" s="1665">
        <v>2.462E-2</v>
      </c>
      <c r="N1516" s="1666">
        <v>1.5125671891546291</v>
      </c>
      <c r="O1516" s="1666"/>
    </row>
    <row r="1517" spans="11:15">
      <c r="K1517" s="1663">
        <v>43574</v>
      </c>
      <c r="L1517" s="1664"/>
      <c r="M1517" s="1665">
        <v>0</v>
      </c>
      <c r="N1517" s="1666">
        <v>1.5125671891546291</v>
      </c>
      <c r="O1517" s="1666"/>
    </row>
    <row r="1518" spans="11:15">
      <c r="K1518" s="1663">
        <v>43575</v>
      </c>
      <c r="L1518" s="1664"/>
      <c r="M1518" s="1665">
        <v>0</v>
      </c>
      <c r="N1518" s="1666">
        <v>1.5125671891546291</v>
      </c>
      <c r="O1518" s="1666"/>
    </row>
    <row r="1519" spans="11:15">
      <c r="K1519" s="1663">
        <v>43576</v>
      </c>
      <c r="L1519" s="1664"/>
      <c r="M1519" s="1665">
        <v>0</v>
      </c>
      <c r="N1519" s="1666">
        <v>1.5125671891546291</v>
      </c>
      <c r="O1519" s="1666"/>
    </row>
    <row r="1520" spans="11:15">
      <c r="K1520" s="1663">
        <v>43577</v>
      </c>
      <c r="L1520" s="1664" t="s">
        <v>2293</v>
      </c>
      <c r="M1520" s="1665">
        <v>2.462E-2</v>
      </c>
      <c r="N1520" s="1666">
        <v>1.512939583196599</v>
      </c>
      <c r="O1520" s="1666"/>
    </row>
    <row r="1521" spans="11:15">
      <c r="K1521" s="1663">
        <v>43578</v>
      </c>
      <c r="L1521" s="1664" t="s">
        <v>2293</v>
      </c>
      <c r="M1521" s="1665">
        <v>2.462E-2</v>
      </c>
      <c r="N1521" s="1666">
        <v>1.5133120689219821</v>
      </c>
      <c r="O1521" s="1666"/>
    </row>
    <row r="1522" spans="11:15">
      <c r="K1522" s="1663">
        <v>43579</v>
      </c>
      <c r="L1522" s="1664" t="s">
        <v>2293</v>
      </c>
      <c r="M1522" s="1665">
        <v>2.462E-2</v>
      </c>
      <c r="N1522" s="1666">
        <v>1.5136846463533509</v>
      </c>
      <c r="O1522" s="1666"/>
    </row>
    <row r="1523" spans="11:15">
      <c r="K1523" s="1663">
        <v>43580</v>
      </c>
      <c r="L1523" s="1664" t="s">
        <v>2293</v>
      </c>
      <c r="M1523" s="1665">
        <v>2.462E-2</v>
      </c>
      <c r="N1523" s="1666">
        <v>1.5140573155132833</v>
      </c>
      <c r="O1523" s="1666"/>
    </row>
    <row r="1524" spans="11:15">
      <c r="K1524" s="1663">
        <v>43581</v>
      </c>
      <c r="L1524" s="1664" t="s">
        <v>2293</v>
      </c>
      <c r="M1524" s="1665">
        <v>2.462E-2</v>
      </c>
      <c r="N1524" s="1666">
        <v>1.5144300764243628</v>
      </c>
      <c r="O1524" s="1666"/>
    </row>
    <row r="1525" spans="11:15">
      <c r="K1525" s="1663">
        <v>43582</v>
      </c>
      <c r="L1525" s="1664"/>
      <c r="M1525" s="1665">
        <v>0</v>
      </c>
      <c r="N1525" s="1666">
        <v>1.5144300764243628</v>
      </c>
      <c r="O1525" s="1666"/>
    </row>
    <row r="1526" spans="11:15">
      <c r="K1526" s="1663">
        <v>43583</v>
      </c>
      <c r="L1526" s="1664"/>
      <c r="M1526" s="1665">
        <v>0</v>
      </c>
      <c r="N1526" s="1666">
        <v>1.5144300764243628</v>
      </c>
      <c r="O1526" s="1666"/>
    </row>
    <row r="1527" spans="11:15">
      <c r="K1527" s="1663">
        <v>43584</v>
      </c>
      <c r="L1527" s="1664" t="s">
        <v>2293</v>
      </c>
      <c r="M1527" s="1665">
        <v>2.462E-2</v>
      </c>
      <c r="N1527" s="1666">
        <v>1.5148029291091787</v>
      </c>
      <c r="O1527" s="1666"/>
    </row>
    <row r="1528" spans="11:15">
      <c r="K1528" s="1663">
        <v>43585</v>
      </c>
      <c r="L1528" s="1664" t="s">
        <v>2293</v>
      </c>
      <c r="M1528" s="1665">
        <v>2.462E-2</v>
      </c>
      <c r="N1528" s="1666">
        <v>1.5151758735903256</v>
      </c>
      <c r="O1528" s="1666"/>
    </row>
    <row r="1529" spans="11:15">
      <c r="K1529" s="1663">
        <v>43586</v>
      </c>
      <c r="L1529" s="1664"/>
      <c r="M1529" s="1665">
        <v>0</v>
      </c>
      <c r="N1529" s="1666">
        <v>1.5151758735903256</v>
      </c>
      <c r="O1529" s="1666"/>
    </row>
    <row r="1530" spans="11:15">
      <c r="K1530" s="1663">
        <v>43587</v>
      </c>
      <c r="L1530" s="1664" t="s">
        <v>2293</v>
      </c>
      <c r="M1530" s="1665">
        <v>2.462E-2</v>
      </c>
      <c r="N1530" s="1666">
        <v>1.5155489098904036</v>
      </c>
      <c r="O1530" s="1666"/>
    </row>
    <row r="1531" spans="11:15">
      <c r="K1531" s="1663">
        <v>43588</v>
      </c>
      <c r="L1531" s="1664" t="s">
        <v>2293</v>
      </c>
      <c r="M1531" s="1665">
        <v>2.462E-2</v>
      </c>
      <c r="N1531" s="1666">
        <v>1.5159220380320186</v>
      </c>
      <c r="O1531" s="1666"/>
    </row>
    <row r="1532" spans="11:15">
      <c r="K1532" s="1663">
        <v>43589</v>
      </c>
      <c r="L1532" s="1664"/>
      <c r="M1532" s="1665">
        <v>0</v>
      </c>
      <c r="N1532" s="1666">
        <v>1.5159220380320186</v>
      </c>
      <c r="O1532" s="1666"/>
    </row>
    <row r="1533" spans="11:15">
      <c r="K1533" s="1663">
        <v>43590</v>
      </c>
      <c r="L1533" s="1664"/>
      <c r="M1533" s="1665">
        <v>0</v>
      </c>
      <c r="N1533" s="1666">
        <v>1.5159220380320186</v>
      </c>
      <c r="O1533" s="1666"/>
    </row>
    <row r="1534" spans="11:15">
      <c r="K1534" s="1663">
        <v>43591</v>
      </c>
      <c r="L1534" s="1664" t="s">
        <v>2293</v>
      </c>
      <c r="M1534" s="1665">
        <v>2.462E-2</v>
      </c>
      <c r="N1534" s="1666">
        <v>1.5162952580377822</v>
      </c>
      <c r="O1534" s="1666"/>
    </row>
    <row r="1535" spans="11:15">
      <c r="K1535" s="1663">
        <v>43592</v>
      </c>
      <c r="L1535" s="1664" t="s">
        <v>2293</v>
      </c>
      <c r="M1535" s="1665">
        <v>2.462E-2</v>
      </c>
      <c r="N1535" s="1666">
        <v>1.5166685699303113</v>
      </c>
      <c r="O1535" s="1666"/>
    </row>
    <row r="1536" spans="11:15">
      <c r="K1536" s="1663">
        <v>43593</v>
      </c>
      <c r="L1536" s="1664" t="s">
        <v>2293</v>
      </c>
      <c r="M1536" s="1665">
        <v>2.462E-2</v>
      </c>
      <c r="N1536" s="1666">
        <v>1.5170419737322283</v>
      </c>
      <c r="O1536" s="1666"/>
    </row>
    <row r="1537" spans="11:15">
      <c r="K1537" s="1663">
        <v>43594</v>
      </c>
      <c r="L1537" s="1664" t="s">
        <v>2293</v>
      </c>
      <c r="M1537" s="1665">
        <v>2.462E-2</v>
      </c>
      <c r="N1537" s="1666">
        <v>1.5174154694661612</v>
      </c>
      <c r="O1537" s="1666"/>
    </row>
    <row r="1538" spans="11:15">
      <c r="K1538" s="1663">
        <v>43595</v>
      </c>
      <c r="L1538" s="1664" t="s">
        <v>2293</v>
      </c>
      <c r="M1538" s="1665">
        <v>2.462E-2</v>
      </c>
      <c r="N1538" s="1666">
        <v>1.5177890571547439</v>
      </c>
      <c r="O1538" s="1666"/>
    </row>
    <row r="1539" spans="11:15">
      <c r="K1539" s="1663">
        <v>43596</v>
      </c>
      <c r="L1539" s="1664"/>
      <c r="M1539" s="1665">
        <v>0</v>
      </c>
      <c r="N1539" s="1666">
        <v>1.5177890571547439</v>
      </c>
      <c r="O1539" s="1666"/>
    </row>
    <row r="1540" spans="11:15">
      <c r="K1540" s="1663">
        <v>43597</v>
      </c>
      <c r="L1540" s="1664"/>
      <c r="M1540" s="1665">
        <v>0</v>
      </c>
      <c r="N1540" s="1666">
        <v>1.5177890571547439</v>
      </c>
      <c r="O1540" s="1666"/>
    </row>
    <row r="1541" spans="11:15">
      <c r="K1541" s="1663">
        <v>43598</v>
      </c>
      <c r="L1541" s="1664" t="s">
        <v>2293</v>
      </c>
      <c r="M1541" s="1665">
        <v>2.462E-2</v>
      </c>
      <c r="N1541" s="1666">
        <v>1.5181627368206154</v>
      </c>
      <c r="O1541" s="1666"/>
    </row>
    <row r="1542" spans="11:15">
      <c r="K1542" s="1663">
        <v>43599</v>
      </c>
      <c r="L1542" s="1664" t="s">
        <v>2293</v>
      </c>
      <c r="M1542" s="1665">
        <v>2.462E-2</v>
      </c>
      <c r="N1542" s="1666">
        <v>1.5185365084864209</v>
      </c>
      <c r="O1542" s="1666"/>
    </row>
    <row r="1543" spans="11:15">
      <c r="K1543" s="1663">
        <v>43600</v>
      </c>
      <c r="L1543" s="1664" t="s">
        <v>2293</v>
      </c>
      <c r="M1543" s="1665">
        <v>2.462E-2</v>
      </c>
      <c r="N1543" s="1666">
        <v>1.5189103721748103</v>
      </c>
      <c r="O1543" s="1666"/>
    </row>
    <row r="1544" spans="11:15">
      <c r="K1544" s="1663">
        <v>43601</v>
      </c>
      <c r="L1544" s="1664" t="s">
        <v>2293</v>
      </c>
      <c r="M1544" s="1665">
        <v>2.462E-2</v>
      </c>
      <c r="N1544" s="1666">
        <v>1.5192843279084398</v>
      </c>
      <c r="O1544" s="1666"/>
    </row>
    <row r="1545" spans="11:15">
      <c r="K1545" s="1663">
        <v>43602</v>
      </c>
      <c r="L1545" s="1664" t="s">
        <v>2293</v>
      </c>
      <c r="M1545" s="1665">
        <v>2.462E-2</v>
      </c>
      <c r="N1545" s="1666">
        <v>1.5196583757099711</v>
      </c>
      <c r="O1545" s="1666"/>
    </row>
    <row r="1546" spans="11:15">
      <c r="K1546" s="1663">
        <v>43603</v>
      </c>
      <c r="L1546" s="1664"/>
      <c r="M1546" s="1665">
        <v>0</v>
      </c>
      <c r="N1546" s="1666">
        <v>1.5196583757099711</v>
      </c>
      <c r="O1546" s="1666"/>
    </row>
    <row r="1547" spans="11:15">
      <c r="K1547" s="1663">
        <v>43604</v>
      </c>
      <c r="L1547" s="1664"/>
      <c r="M1547" s="1665">
        <v>0</v>
      </c>
      <c r="N1547" s="1666">
        <v>1.5196583757099711</v>
      </c>
      <c r="O1547" s="1666"/>
    </row>
    <row r="1548" spans="11:15">
      <c r="K1548" s="1663">
        <v>43605</v>
      </c>
      <c r="L1548" s="1664" t="s">
        <v>2293</v>
      </c>
      <c r="M1548" s="1665">
        <v>2.462E-2</v>
      </c>
      <c r="N1548" s="1666">
        <v>1.5200325156020711</v>
      </c>
      <c r="O1548" s="1666"/>
    </row>
    <row r="1549" spans="11:15">
      <c r="K1549" s="1663">
        <v>43606</v>
      </c>
      <c r="L1549" s="1664" t="s">
        <v>2293</v>
      </c>
      <c r="M1549" s="1665">
        <v>2.462E-2</v>
      </c>
      <c r="N1549" s="1666">
        <v>1.5204067476074123</v>
      </c>
      <c r="O1549" s="1666"/>
    </row>
    <row r="1550" spans="11:15">
      <c r="K1550" s="1663">
        <v>43607</v>
      </c>
      <c r="L1550" s="1664" t="s">
        <v>2293</v>
      </c>
      <c r="M1550" s="1665">
        <v>2.462E-2</v>
      </c>
      <c r="N1550" s="1666">
        <v>1.5207810717486734</v>
      </c>
      <c r="O1550" s="1666"/>
    </row>
    <row r="1551" spans="11:15">
      <c r="K1551" s="1663">
        <v>43608</v>
      </c>
      <c r="L1551" s="1664" t="s">
        <v>2293</v>
      </c>
      <c r="M1551" s="1665">
        <v>2.462E-2</v>
      </c>
      <c r="N1551" s="1666">
        <v>1.5211554880485381</v>
      </c>
      <c r="O1551" s="1666"/>
    </row>
    <row r="1552" spans="11:15">
      <c r="K1552" s="1663">
        <v>43609</v>
      </c>
      <c r="L1552" s="1664" t="s">
        <v>2293</v>
      </c>
      <c r="M1552" s="1665">
        <v>2.462E-2</v>
      </c>
      <c r="N1552" s="1666">
        <v>1.5215299965296958</v>
      </c>
      <c r="O1552" s="1666"/>
    </row>
    <row r="1553" spans="11:15">
      <c r="K1553" s="1663">
        <v>43610</v>
      </c>
      <c r="L1553" s="1664"/>
      <c r="M1553" s="1665">
        <v>0</v>
      </c>
      <c r="N1553" s="1666">
        <v>1.5215299965296958</v>
      </c>
      <c r="O1553" s="1666"/>
    </row>
    <row r="1554" spans="11:15">
      <c r="K1554" s="1663">
        <v>43611</v>
      </c>
      <c r="L1554" s="1664"/>
      <c r="M1554" s="1665">
        <v>0</v>
      </c>
      <c r="N1554" s="1666">
        <v>1.5215299965296958</v>
      </c>
      <c r="O1554" s="1666"/>
    </row>
    <row r="1555" spans="11:15">
      <c r="K1555" s="1663">
        <v>43612</v>
      </c>
      <c r="L1555" s="1664" t="s">
        <v>2293</v>
      </c>
      <c r="M1555" s="1665">
        <v>2.462E-2</v>
      </c>
      <c r="N1555" s="1666">
        <v>1.5219045972148415</v>
      </c>
      <c r="O1555" s="1666"/>
    </row>
    <row r="1556" spans="11:15">
      <c r="K1556" s="1663">
        <v>43613</v>
      </c>
      <c r="L1556" s="1664" t="s">
        <v>2293</v>
      </c>
      <c r="M1556" s="1665">
        <v>2.462E-2</v>
      </c>
      <c r="N1556" s="1666">
        <v>1.522279290126676</v>
      </c>
      <c r="O1556" s="1666"/>
    </row>
    <row r="1557" spans="11:15">
      <c r="K1557" s="1663">
        <v>43614</v>
      </c>
      <c r="L1557" s="1664" t="s">
        <v>2293</v>
      </c>
      <c r="M1557" s="1665">
        <v>2.462E-2</v>
      </c>
      <c r="N1557" s="1666">
        <v>1.5226540752879052</v>
      </c>
      <c r="O1557" s="1666"/>
    </row>
    <row r="1558" spans="11:15">
      <c r="K1558" s="1663">
        <v>43615</v>
      </c>
      <c r="L1558" s="1664" t="s">
        <v>2293</v>
      </c>
      <c r="M1558" s="1665">
        <v>2.462E-2</v>
      </c>
      <c r="N1558" s="1666">
        <v>1.5230289527212413</v>
      </c>
      <c r="O1558" s="1666"/>
    </row>
    <row r="1559" spans="11:15">
      <c r="K1559" s="1663">
        <v>43616</v>
      </c>
      <c r="L1559" s="1664" t="s">
        <v>2293</v>
      </c>
      <c r="M1559" s="1665">
        <v>2.462E-2</v>
      </c>
      <c r="N1559" s="1666">
        <v>1.5234039224494014</v>
      </c>
      <c r="O1559" s="1666"/>
    </row>
    <row r="1560" spans="11:15">
      <c r="K1560" s="1663">
        <v>43617</v>
      </c>
      <c r="L1560" s="1664"/>
      <c r="M1560" s="1665">
        <v>0</v>
      </c>
      <c r="N1560" s="1666">
        <v>1.5234039224494014</v>
      </c>
      <c r="O1560" s="1666"/>
    </row>
    <row r="1561" spans="11:15">
      <c r="K1561" s="1663">
        <v>43618</v>
      </c>
      <c r="L1561" s="1664"/>
      <c r="M1561" s="1665">
        <v>0</v>
      </c>
      <c r="N1561" s="1666">
        <v>1.5234039224494014</v>
      </c>
      <c r="O1561" s="1666"/>
    </row>
    <row r="1562" spans="11:15">
      <c r="K1562" s="1663">
        <v>43619</v>
      </c>
      <c r="L1562" s="1664" t="s">
        <v>2293</v>
      </c>
      <c r="M1562" s="1665">
        <v>2.462E-2</v>
      </c>
      <c r="N1562" s="1666">
        <v>1.5237789844951086</v>
      </c>
      <c r="O1562" s="1666"/>
    </row>
    <row r="1563" spans="11:15">
      <c r="K1563" s="1663">
        <v>43620</v>
      </c>
      <c r="L1563" s="1664" t="s">
        <v>2293</v>
      </c>
      <c r="M1563" s="1665">
        <v>2.462E-2</v>
      </c>
      <c r="N1563" s="1666">
        <v>1.5241541388810915</v>
      </c>
      <c r="O1563" s="1666"/>
    </row>
    <row r="1564" spans="11:15">
      <c r="K1564" s="1663">
        <v>43621</v>
      </c>
      <c r="L1564" s="1664" t="s">
        <v>2293</v>
      </c>
      <c r="M1564" s="1665">
        <v>2.462E-2</v>
      </c>
      <c r="N1564" s="1666">
        <v>1.5245293856300841</v>
      </c>
      <c r="O1564" s="1666"/>
    </row>
    <row r="1565" spans="11:15">
      <c r="K1565" s="1663">
        <v>43622</v>
      </c>
      <c r="L1565" s="1664" t="s">
        <v>2293</v>
      </c>
      <c r="M1565" s="1665">
        <v>2.462E-2</v>
      </c>
      <c r="N1565" s="1666">
        <v>1.5249047247648264</v>
      </c>
      <c r="O1565" s="1666"/>
    </row>
    <row r="1566" spans="11:15">
      <c r="K1566" s="1663">
        <v>43623</v>
      </c>
      <c r="L1566" s="1664" t="s">
        <v>2293</v>
      </c>
      <c r="M1566" s="1665">
        <v>2.462E-2</v>
      </c>
      <c r="N1566" s="1666">
        <v>1.5252801563080636</v>
      </c>
      <c r="O1566" s="1666"/>
    </row>
    <row r="1567" spans="11:15">
      <c r="K1567" s="1663">
        <v>43624</v>
      </c>
      <c r="L1567" s="1664"/>
      <c r="M1567" s="1665">
        <v>0</v>
      </c>
      <c r="N1567" s="1666">
        <v>1.5252801563080636</v>
      </c>
      <c r="O1567" s="1666"/>
    </row>
    <row r="1568" spans="11:15">
      <c r="K1568" s="1663">
        <v>43625</v>
      </c>
      <c r="L1568" s="1664"/>
      <c r="M1568" s="1665">
        <v>0</v>
      </c>
      <c r="N1568" s="1666">
        <v>1.5252801563080636</v>
      </c>
      <c r="O1568" s="1666"/>
    </row>
    <row r="1569" spans="11:15">
      <c r="K1569" s="1663">
        <v>43626</v>
      </c>
      <c r="L1569" s="1664" t="s">
        <v>2293</v>
      </c>
      <c r="M1569" s="1665">
        <v>2.462E-2</v>
      </c>
      <c r="N1569" s="1666">
        <v>1.5256556802825467</v>
      </c>
      <c r="O1569" s="1666"/>
    </row>
    <row r="1570" spans="11:15">
      <c r="K1570" s="1663">
        <v>43627</v>
      </c>
      <c r="L1570" s="1664" t="s">
        <v>2293</v>
      </c>
      <c r="M1570" s="1665">
        <v>2.462E-2</v>
      </c>
      <c r="N1570" s="1666">
        <v>1.5260312967110323</v>
      </c>
      <c r="O1570" s="1666"/>
    </row>
    <row r="1571" spans="11:15">
      <c r="K1571" s="1663">
        <v>43628</v>
      </c>
      <c r="L1571" s="1664" t="s">
        <v>2293</v>
      </c>
      <c r="M1571" s="1665">
        <v>2.462E-2</v>
      </c>
      <c r="N1571" s="1666">
        <v>1.5264070056162826</v>
      </c>
      <c r="O1571" s="1666"/>
    </row>
    <row r="1572" spans="11:15">
      <c r="K1572" s="1663">
        <v>43629</v>
      </c>
      <c r="L1572" s="1664" t="s">
        <v>2293</v>
      </c>
      <c r="M1572" s="1665">
        <v>2.462E-2</v>
      </c>
      <c r="N1572" s="1666">
        <v>1.5267828070210654</v>
      </c>
      <c r="O1572" s="1666"/>
    </row>
    <row r="1573" spans="11:15">
      <c r="K1573" s="1663">
        <v>43630</v>
      </c>
      <c r="L1573" s="1664" t="s">
        <v>2293</v>
      </c>
      <c r="M1573" s="1665">
        <v>2.462E-2</v>
      </c>
      <c r="N1573" s="1666">
        <v>1.5271587009481542</v>
      </c>
      <c r="O1573" s="1666"/>
    </row>
    <row r="1574" spans="11:15">
      <c r="K1574" s="1663">
        <v>43631</v>
      </c>
      <c r="L1574" s="1664"/>
      <c r="M1574" s="1665">
        <v>0</v>
      </c>
      <c r="N1574" s="1666">
        <v>1.5271587009481542</v>
      </c>
      <c r="O1574" s="1666"/>
    </row>
    <row r="1575" spans="11:15">
      <c r="K1575" s="1663">
        <v>43632</v>
      </c>
      <c r="L1575" s="1664"/>
      <c r="M1575" s="1665">
        <v>0</v>
      </c>
      <c r="N1575" s="1666">
        <v>1.5271587009481542</v>
      </c>
      <c r="O1575" s="1666"/>
    </row>
    <row r="1576" spans="11:15">
      <c r="K1576" s="1663">
        <v>43633</v>
      </c>
      <c r="L1576" s="1664" t="s">
        <v>2293</v>
      </c>
      <c r="M1576" s="1665">
        <v>2.462E-2</v>
      </c>
      <c r="N1576" s="1666">
        <v>1.5275346874203277</v>
      </c>
      <c r="O1576" s="1666"/>
    </row>
    <row r="1577" spans="11:15">
      <c r="K1577" s="1663">
        <v>43634</v>
      </c>
      <c r="L1577" s="1664" t="s">
        <v>2293</v>
      </c>
      <c r="M1577" s="1665">
        <v>2.462E-2</v>
      </c>
      <c r="N1577" s="1666">
        <v>1.5279107664603708</v>
      </c>
      <c r="O1577" s="1666"/>
    </row>
    <row r="1578" spans="11:15">
      <c r="K1578" s="1663">
        <v>43635</v>
      </c>
      <c r="L1578" s="1664" t="s">
        <v>2293</v>
      </c>
      <c r="M1578" s="1665">
        <v>2.462E-2</v>
      </c>
      <c r="N1578" s="1666">
        <v>1.5282869380910735</v>
      </c>
      <c r="O1578" s="1666"/>
    </row>
    <row r="1579" spans="11:15">
      <c r="K1579" s="1663">
        <v>43636</v>
      </c>
      <c r="L1579" s="1664"/>
      <c r="M1579" s="1665">
        <v>0</v>
      </c>
      <c r="N1579" s="1666">
        <v>1.5282869380910735</v>
      </c>
      <c r="O1579" s="1666"/>
    </row>
    <row r="1580" spans="11:15">
      <c r="K1580" s="1663">
        <v>43637</v>
      </c>
      <c r="L1580" s="1664" t="s">
        <v>2293</v>
      </c>
      <c r="M1580" s="1665">
        <v>2.462E-2</v>
      </c>
      <c r="N1580" s="1666">
        <v>1.5286632023352316</v>
      </c>
      <c r="O1580" s="1666"/>
    </row>
    <row r="1581" spans="11:15">
      <c r="K1581" s="1663">
        <v>43638</v>
      </c>
      <c r="L1581" s="1664"/>
      <c r="M1581" s="1665">
        <v>0</v>
      </c>
      <c r="N1581" s="1666">
        <v>1.5286632023352316</v>
      </c>
      <c r="O1581" s="1666"/>
    </row>
    <row r="1582" spans="11:15">
      <c r="K1582" s="1663">
        <v>43639</v>
      </c>
      <c r="L1582" s="1664"/>
      <c r="M1582" s="1665">
        <v>0</v>
      </c>
      <c r="N1582" s="1666">
        <v>1.5286632023352316</v>
      </c>
      <c r="O1582" s="1666"/>
    </row>
    <row r="1583" spans="11:15">
      <c r="K1583" s="1663">
        <v>43640</v>
      </c>
      <c r="L1583" s="1664" t="s">
        <v>2293</v>
      </c>
      <c r="M1583" s="1665">
        <v>2.462E-2</v>
      </c>
      <c r="N1583" s="1666">
        <v>1.5290395592156467</v>
      </c>
      <c r="O1583" s="1666"/>
    </row>
    <row r="1584" spans="11:15">
      <c r="K1584" s="1663">
        <v>43641</v>
      </c>
      <c r="L1584" s="1664" t="s">
        <v>2293</v>
      </c>
      <c r="M1584" s="1665">
        <v>2.462E-2</v>
      </c>
      <c r="N1584" s="1666">
        <v>1.5294160087551258</v>
      </c>
      <c r="O1584" s="1666"/>
    </row>
    <row r="1585" spans="11:15">
      <c r="K1585" s="1663">
        <v>43642</v>
      </c>
      <c r="L1585" s="1664" t="s">
        <v>2293</v>
      </c>
      <c r="M1585" s="1665">
        <v>2.462E-2</v>
      </c>
      <c r="N1585" s="1666">
        <v>1.5297925509764816</v>
      </c>
      <c r="O1585" s="1666"/>
    </row>
    <row r="1586" spans="11:15">
      <c r="K1586" s="1663">
        <v>43643</v>
      </c>
      <c r="L1586" s="1664" t="s">
        <v>2293</v>
      </c>
      <c r="M1586" s="1665">
        <v>2.462E-2</v>
      </c>
      <c r="N1586" s="1666">
        <v>1.5301691859025321</v>
      </c>
      <c r="O1586" s="1666"/>
    </row>
    <row r="1587" spans="11:15">
      <c r="K1587" s="1663">
        <v>43644</v>
      </c>
      <c r="L1587" s="1664" t="s">
        <v>2293</v>
      </c>
      <c r="M1587" s="1665">
        <v>2.462E-2</v>
      </c>
      <c r="N1587" s="1666">
        <v>1.5305459135561015</v>
      </c>
      <c r="O1587" s="1666"/>
    </row>
    <row r="1588" spans="11:15">
      <c r="K1588" s="1663">
        <v>43645</v>
      </c>
      <c r="L1588" s="1664"/>
      <c r="M1588" s="1665">
        <v>0</v>
      </c>
      <c r="N1588" s="1666">
        <v>1.5305459135561015</v>
      </c>
      <c r="O1588" s="1666"/>
    </row>
    <row r="1589" spans="11:15">
      <c r="K1589" s="1663">
        <v>43646</v>
      </c>
      <c r="L1589" s="1664"/>
      <c r="M1589" s="1665">
        <v>0</v>
      </c>
      <c r="N1589" s="1666">
        <v>1.5305459135561015</v>
      </c>
      <c r="O1589" s="1666"/>
    </row>
    <row r="1590" spans="11:15">
      <c r="K1590" s="1663">
        <v>43647</v>
      </c>
      <c r="L1590" s="1664" t="s">
        <v>2293</v>
      </c>
      <c r="M1590" s="1665">
        <v>2.462E-2</v>
      </c>
      <c r="N1590" s="1666">
        <v>1.5309227339600191</v>
      </c>
      <c r="O1590" s="1666"/>
    </row>
    <row r="1591" spans="11:15">
      <c r="K1591" s="1663">
        <v>43648</v>
      </c>
      <c r="L1591" s="1664" t="s">
        <v>2293</v>
      </c>
      <c r="M1591" s="1665">
        <v>2.462E-2</v>
      </c>
      <c r="N1591" s="1666">
        <v>1.5312996471371201</v>
      </c>
      <c r="O1591" s="1666"/>
    </row>
    <row r="1592" spans="11:15">
      <c r="K1592" s="1663">
        <v>43649</v>
      </c>
      <c r="L1592" s="1664" t="s">
        <v>2293</v>
      </c>
      <c r="M1592" s="1665">
        <v>2.462E-2</v>
      </c>
      <c r="N1592" s="1666">
        <v>1.5316766531102455</v>
      </c>
      <c r="O1592" s="1666"/>
    </row>
    <row r="1593" spans="11:15">
      <c r="K1593" s="1663">
        <v>43650</v>
      </c>
      <c r="L1593" s="1664" t="s">
        <v>2293</v>
      </c>
      <c r="M1593" s="1665">
        <v>2.462E-2</v>
      </c>
      <c r="N1593" s="1666">
        <v>1.5320537519022412</v>
      </c>
      <c r="O1593" s="1666"/>
    </row>
    <row r="1594" spans="11:15">
      <c r="K1594" s="1663">
        <v>43651</v>
      </c>
      <c r="L1594" s="1664" t="s">
        <v>2293</v>
      </c>
      <c r="M1594" s="1665">
        <v>2.462E-2</v>
      </c>
      <c r="N1594" s="1666">
        <v>1.5324309435359598</v>
      </c>
      <c r="O1594" s="1666"/>
    </row>
    <row r="1595" spans="11:15">
      <c r="K1595" s="1663">
        <v>43652</v>
      </c>
      <c r="L1595" s="1664"/>
      <c r="M1595" s="1665">
        <v>0</v>
      </c>
      <c r="N1595" s="1666">
        <v>1.5324309435359598</v>
      </c>
      <c r="O1595" s="1666"/>
    </row>
    <row r="1596" spans="11:15">
      <c r="K1596" s="1663">
        <v>43653</v>
      </c>
      <c r="L1596" s="1664"/>
      <c r="M1596" s="1665">
        <v>0</v>
      </c>
      <c r="N1596" s="1666">
        <v>1.5324309435359598</v>
      </c>
      <c r="O1596" s="1666"/>
    </row>
    <row r="1597" spans="11:15">
      <c r="K1597" s="1663">
        <v>43654</v>
      </c>
      <c r="L1597" s="1664" t="s">
        <v>2293</v>
      </c>
      <c r="M1597" s="1665">
        <v>2.462E-2</v>
      </c>
      <c r="N1597" s="1666">
        <v>1.5328082280342585</v>
      </c>
      <c r="O1597" s="1666"/>
    </row>
    <row r="1598" spans="11:15">
      <c r="K1598" s="1663">
        <v>43655</v>
      </c>
      <c r="L1598" s="1664" t="s">
        <v>2293</v>
      </c>
      <c r="M1598" s="1665">
        <v>2.462E-2</v>
      </c>
      <c r="N1598" s="1666">
        <v>1.5331856054200006</v>
      </c>
      <c r="O1598" s="1666"/>
    </row>
    <row r="1599" spans="11:15">
      <c r="K1599" s="1663">
        <v>43656</v>
      </c>
      <c r="L1599" s="1664" t="s">
        <v>2293</v>
      </c>
      <c r="M1599" s="1665">
        <v>2.462E-2</v>
      </c>
      <c r="N1599" s="1666">
        <v>1.5335630757160552</v>
      </c>
      <c r="O1599" s="1666"/>
    </row>
    <row r="1600" spans="11:15">
      <c r="K1600" s="1663">
        <v>43657</v>
      </c>
      <c r="L1600" s="1664" t="s">
        <v>2293</v>
      </c>
      <c r="M1600" s="1665">
        <v>2.462E-2</v>
      </c>
      <c r="N1600" s="1666">
        <v>1.5339406389452965</v>
      </c>
      <c r="O1600" s="1666"/>
    </row>
    <row r="1601" spans="11:15">
      <c r="K1601" s="1663">
        <v>43658</v>
      </c>
      <c r="L1601" s="1664" t="s">
        <v>2293</v>
      </c>
      <c r="M1601" s="1665">
        <v>2.462E-2</v>
      </c>
      <c r="N1601" s="1666">
        <v>1.5343182951306049</v>
      </c>
      <c r="O1601" s="1666"/>
    </row>
    <row r="1602" spans="11:15">
      <c r="K1602" s="1663">
        <v>43659</v>
      </c>
      <c r="L1602" s="1664"/>
      <c r="M1602" s="1665">
        <v>0</v>
      </c>
      <c r="N1602" s="1666">
        <v>1.5343182951306049</v>
      </c>
      <c r="O1602" s="1666"/>
    </row>
    <row r="1603" spans="11:15">
      <c r="K1603" s="1663">
        <v>43660</v>
      </c>
      <c r="L1603" s="1664"/>
      <c r="M1603" s="1665">
        <v>0</v>
      </c>
      <c r="N1603" s="1666">
        <v>1.5343182951306049</v>
      </c>
      <c r="O1603" s="1666"/>
    </row>
    <row r="1604" spans="11:15">
      <c r="K1604" s="1663">
        <v>43661</v>
      </c>
      <c r="L1604" s="1664" t="s">
        <v>2293</v>
      </c>
      <c r="M1604" s="1665">
        <v>2.462E-2</v>
      </c>
      <c r="N1604" s="1666">
        <v>1.5346960442948663</v>
      </c>
      <c r="O1604" s="1666"/>
    </row>
    <row r="1605" spans="11:15">
      <c r="K1605" s="1663">
        <v>43662</v>
      </c>
      <c r="L1605" s="1664" t="s">
        <v>2293</v>
      </c>
      <c r="M1605" s="1665">
        <v>2.462E-2</v>
      </c>
      <c r="N1605" s="1666">
        <v>1.5350738864609719</v>
      </c>
      <c r="O1605" s="1666"/>
    </row>
    <row r="1606" spans="11:15">
      <c r="K1606" s="1663">
        <v>43663</v>
      </c>
      <c r="L1606" s="1664" t="s">
        <v>2293</v>
      </c>
      <c r="M1606" s="1665">
        <v>2.462E-2</v>
      </c>
      <c r="N1606" s="1666">
        <v>1.5354518216518187</v>
      </c>
      <c r="O1606" s="1666"/>
    </row>
    <row r="1607" spans="11:15">
      <c r="K1607" s="1663">
        <v>43664</v>
      </c>
      <c r="L1607" s="1664" t="s">
        <v>2293</v>
      </c>
      <c r="M1607" s="1665">
        <v>2.462E-2</v>
      </c>
      <c r="N1607" s="1666">
        <v>1.5358298498903096</v>
      </c>
      <c r="O1607" s="1666"/>
    </row>
    <row r="1608" spans="11:15">
      <c r="K1608" s="1663">
        <v>43665</v>
      </c>
      <c r="L1608" s="1664" t="s">
        <v>2293</v>
      </c>
      <c r="M1608" s="1665">
        <v>2.462E-2</v>
      </c>
      <c r="N1608" s="1666">
        <v>1.5362079711993526</v>
      </c>
      <c r="O1608" s="1666"/>
    </row>
    <row r="1609" spans="11:15">
      <c r="K1609" s="1663">
        <v>43666</v>
      </c>
      <c r="L1609" s="1664"/>
      <c r="M1609" s="1665">
        <v>0</v>
      </c>
      <c r="N1609" s="1666">
        <v>1.5362079711993526</v>
      </c>
      <c r="O1609" s="1666"/>
    </row>
    <row r="1610" spans="11:15">
      <c r="K1610" s="1663">
        <v>43667</v>
      </c>
      <c r="L1610" s="1664"/>
      <c r="M1610" s="1665">
        <v>0</v>
      </c>
      <c r="N1610" s="1666">
        <v>1.5362079711993526</v>
      </c>
      <c r="O1610" s="1666"/>
    </row>
    <row r="1611" spans="11:15">
      <c r="K1611" s="1663">
        <v>43668</v>
      </c>
      <c r="L1611" s="1664" t="s">
        <v>2293</v>
      </c>
      <c r="M1611" s="1665">
        <v>2.462E-2</v>
      </c>
      <c r="N1611" s="1666">
        <v>1.5365861856018621</v>
      </c>
      <c r="O1611" s="1666"/>
    </row>
    <row r="1612" spans="11:15">
      <c r="K1612" s="1663">
        <v>43669</v>
      </c>
      <c r="L1612" s="1664" t="s">
        <v>2293</v>
      </c>
      <c r="M1612" s="1665">
        <v>2.462E-2</v>
      </c>
      <c r="N1612" s="1666">
        <v>1.5369644931207573</v>
      </c>
      <c r="O1612" s="1666"/>
    </row>
    <row r="1613" spans="11:15">
      <c r="K1613" s="1663">
        <v>43670</v>
      </c>
      <c r="L1613" s="1664" t="s">
        <v>2293</v>
      </c>
      <c r="M1613" s="1665">
        <v>2.462E-2</v>
      </c>
      <c r="N1613" s="1666">
        <v>1.5373428937789637</v>
      </c>
      <c r="O1613" s="1666"/>
    </row>
    <row r="1614" spans="11:15">
      <c r="K1614" s="1663">
        <v>43671</v>
      </c>
      <c r="L1614" s="1664" t="s">
        <v>2293</v>
      </c>
      <c r="M1614" s="1665">
        <v>2.462E-2</v>
      </c>
      <c r="N1614" s="1666">
        <v>1.5377213875994122</v>
      </c>
      <c r="O1614" s="1666"/>
    </row>
    <row r="1615" spans="11:15">
      <c r="K1615" s="1663">
        <v>43672</v>
      </c>
      <c r="L1615" s="1664" t="s">
        <v>2293</v>
      </c>
      <c r="M1615" s="1665">
        <v>2.462E-2</v>
      </c>
      <c r="N1615" s="1666">
        <v>1.5380999746050394</v>
      </c>
      <c r="O1615" s="1666"/>
    </row>
    <row r="1616" spans="11:15">
      <c r="K1616" s="1663">
        <v>43673</v>
      </c>
      <c r="L1616" s="1664"/>
      <c r="M1616" s="1665">
        <v>0</v>
      </c>
      <c r="N1616" s="1666">
        <v>1.5380999746050394</v>
      </c>
      <c r="O1616" s="1666"/>
    </row>
    <row r="1617" spans="11:15">
      <c r="K1617" s="1663">
        <v>43674</v>
      </c>
      <c r="L1617" s="1664"/>
      <c r="M1617" s="1665">
        <v>0</v>
      </c>
      <c r="N1617" s="1666">
        <v>1.5380999746050394</v>
      </c>
      <c r="O1617" s="1666"/>
    </row>
    <row r="1618" spans="11:15">
      <c r="K1618" s="1663">
        <v>43675</v>
      </c>
      <c r="L1618" s="1664" t="s">
        <v>2293</v>
      </c>
      <c r="M1618" s="1665">
        <v>2.462E-2</v>
      </c>
      <c r="N1618" s="1666">
        <v>1.5384786548187874</v>
      </c>
      <c r="O1618" s="1666"/>
    </row>
    <row r="1619" spans="11:15">
      <c r="K1619" s="1663">
        <v>43676</v>
      </c>
      <c r="L1619" s="1664" t="s">
        <v>2293</v>
      </c>
      <c r="M1619" s="1665">
        <v>2.462E-2</v>
      </c>
      <c r="N1619" s="1666">
        <v>1.5388574282636041</v>
      </c>
      <c r="O1619" s="1666"/>
    </row>
    <row r="1620" spans="11:15">
      <c r="K1620" s="1663">
        <v>43677</v>
      </c>
      <c r="L1620" s="1664" t="s">
        <v>2293</v>
      </c>
      <c r="M1620" s="1665">
        <v>2.462E-2</v>
      </c>
      <c r="N1620" s="1666">
        <v>1.5392362949624427</v>
      </c>
      <c r="O1620" s="1666"/>
    </row>
    <row r="1621" spans="11:15">
      <c r="K1621" s="1663">
        <v>43678</v>
      </c>
      <c r="L1621" s="1664" t="s">
        <v>2293</v>
      </c>
      <c r="M1621" s="1665">
        <v>2.2751E-2</v>
      </c>
      <c r="N1621" s="1666">
        <v>1.5395864866119096</v>
      </c>
      <c r="O1621" s="1666"/>
    </row>
    <row r="1622" spans="11:15">
      <c r="K1622" s="1663">
        <v>43679</v>
      </c>
      <c r="L1622" s="1664" t="s">
        <v>2293</v>
      </c>
      <c r="M1622" s="1665">
        <v>2.2751E-2</v>
      </c>
      <c r="N1622" s="1666">
        <v>1.5399367579334786</v>
      </c>
      <c r="O1622" s="1666"/>
    </row>
    <row r="1623" spans="11:15">
      <c r="K1623" s="1663">
        <v>43680</v>
      </c>
      <c r="L1623" s="1664"/>
      <c r="M1623" s="1665">
        <v>0</v>
      </c>
      <c r="N1623" s="1666">
        <v>1.5399367579334786</v>
      </c>
      <c r="O1623" s="1666"/>
    </row>
    <row r="1624" spans="11:15">
      <c r="K1624" s="1663">
        <v>43681</v>
      </c>
      <c r="L1624" s="1664"/>
      <c r="M1624" s="1665">
        <v>0</v>
      </c>
      <c r="N1624" s="1666">
        <v>1.5399367579334786</v>
      </c>
      <c r="O1624" s="1666"/>
    </row>
    <row r="1625" spans="11:15">
      <c r="K1625" s="1663">
        <v>43682</v>
      </c>
      <c r="L1625" s="1664" t="s">
        <v>2293</v>
      </c>
      <c r="M1625" s="1665">
        <v>2.2751E-2</v>
      </c>
      <c r="N1625" s="1666">
        <v>1.5402871089452761</v>
      </c>
      <c r="O1625" s="1666"/>
    </row>
    <row r="1626" spans="11:15">
      <c r="K1626" s="1663">
        <v>43683</v>
      </c>
      <c r="L1626" s="1664" t="s">
        <v>2293</v>
      </c>
      <c r="M1626" s="1665">
        <v>2.2751E-2</v>
      </c>
      <c r="N1626" s="1666">
        <v>1.5406375396654322</v>
      </c>
      <c r="O1626" s="1666"/>
    </row>
    <row r="1627" spans="11:15">
      <c r="K1627" s="1663">
        <v>43684</v>
      </c>
      <c r="L1627" s="1664" t="s">
        <v>2293</v>
      </c>
      <c r="M1627" s="1665">
        <v>2.2751E-2</v>
      </c>
      <c r="N1627" s="1666">
        <v>1.5409880501120814</v>
      </c>
      <c r="O1627" s="1666"/>
    </row>
    <row r="1628" spans="11:15">
      <c r="K1628" s="1663">
        <v>43685</v>
      </c>
      <c r="L1628" s="1664" t="s">
        <v>2293</v>
      </c>
      <c r="M1628" s="1665">
        <v>2.2751E-2</v>
      </c>
      <c r="N1628" s="1666">
        <v>1.5413386403033624</v>
      </c>
      <c r="O1628" s="1666"/>
    </row>
    <row r="1629" spans="11:15">
      <c r="K1629" s="1663">
        <v>43686</v>
      </c>
      <c r="L1629" s="1664" t="s">
        <v>2293</v>
      </c>
      <c r="M1629" s="1665">
        <v>2.2751E-2</v>
      </c>
      <c r="N1629" s="1666">
        <v>1.5416893102574178</v>
      </c>
      <c r="O1629" s="1666"/>
    </row>
    <row r="1630" spans="11:15">
      <c r="K1630" s="1663">
        <v>43687</v>
      </c>
      <c r="L1630" s="1664"/>
      <c r="M1630" s="1665">
        <v>0</v>
      </c>
      <c r="N1630" s="1666">
        <v>1.5416893102574178</v>
      </c>
      <c r="O1630" s="1666"/>
    </row>
    <row r="1631" spans="11:15">
      <c r="K1631" s="1663">
        <v>43688</v>
      </c>
      <c r="L1631" s="1664"/>
      <c r="M1631" s="1665">
        <v>0</v>
      </c>
      <c r="N1631" s="1666">
        <v>1.5416893102574178</v>
      </c>
      <c r="O1631" s="1666"/>
    </row>
    <row r="1632" spans="11:15">
      <c r="K1632" s="1663">
        <v>43689</v>
      </c>
      <c r="L1632" s="1664" t="s">
        <v>2293</v>
      </c>
      <c r="M1632" s="1665">
        <v>2.2751E-2</v>
      </c>
      <c r="N1632" s="1666">
        <v>1.5420400599923945</v>
      </c>
      <c r="O1632" s="1666"/>
    </row>
    <row r="1633" spans="11:15">
      <c r="K1633" s="1663">
        <v>43690</v>
      </c>
      <c r="L1633" s="1664" t="s">
        <v>2293</v>
      </c>
      <c r="M1633" s="1665">
        <v>2.2751E-2</v>
      </c>
      <c r="N1633" s="1666">
        <v>1.5423908895264433</v>
      </c>
      <c r="O1633" s="1666"/>
    </row>
    <row r="1634" spans="11:15">
      <c r="K1634" s="1663">
        <v>43691</v>
      </c>
      <c r="L1634" s="1664" t="s">
        <v>2293</v>
      </c>
      <c r="M1634" s="1665">
        <v>2.2751E-2</v>
      </c>
      <c r="N1634" s="1666">
        <v>1.5427417988777195</v>
      </c>
      <c r="O1634" s="1666"/>
    </row>
    <row r="1635" spans="11:15">
      <c r="K1635" s="1663">
        <v>43692</v>
      </c>
      <c r="L1635" s="1664" t="s">
        <v>2293</v>
      </c>
      <c r="M1635" s="1665">
        <v>2.2751E-2</v>
      </c>
      <c r="N1635" s="1666">
        <v>1.5430927880643821</v>
      </c>
      <c r="O1635" s="1666"/>
    </row>
    <row r="1636" spans="11:15">
      <c r="K1636" s="1663">
        <v>43693</v>
      </c>
      <c r="L1636" s="1664" t="s">
        <v>2293</v>
      </c>
      <c r="M1636" s="1665">
        <v>2.2751E-2</v>
      </c>
      <c r="N1636" s="1666">
        <v>1.5434438571045945</v>
      </c>
      <c r="O1636" s="1666"/>
    </row>
    <row r="1637" spans="11:15">
      <c r="K1637" s="1663">
        <v>43694</v>
      </c>
      <c r="L1637" s="1664"/>
      <c r="M1637" s="1665">
        <v>0</v>
      </c>
      <c r="N1637" s="1666">
        <v>1.5434438571045945</v>
      </c>
      <c r="O1637" s="1666"/>
    </row>
    <row r="1638" spans="11:15">
      <c r="K1638" s="1663">
        <v>43695</v>
      </c>
      <c r="L1638" s="1664"/>
      <c r="M1638" s="1665">
        <v>0</v>
      </c>
      <c r="N1638" s="1666">
        <v>1.5434438571045945</v>
      </c>
      <c r="O1638" s="1666"/>
    </row>
    <row r="1639" spans="11:15">
      <c r="K1639" s="1663">
        <v>43696</v>
      </c>
      <c r="L1639" s="1664" t="s">
        <v>2293</v>
      </c>
      <c r="M1639" s="1665">
        <v>2.2751E-2</v>
      </c>
      <c r="N1639" s="1666">
        <v>1.5437950060165244</v>
      </c>
      <c r="O1639" s="1666"/>
    </row>
    <row r="1640" spans="11:15">
      <c r="K1640" s="1663">
        <v>43697</v>
      </c>
      <c r="L1640" s="1664" t="s">
        <v>2293</v>
      </c>
      <c r="M1640" s="1665">
        <v>2.2751E-2</v>
      </c>
      <c r="N1640" s="1666">
        <v>1.5441462348183432</v>
      </c>
      <c r="O1640" s="1666"/>
    </row>
    <row r="1641" spans="11:15">
      <c r="K1641" s="1663">
        <v>43698</v>
      </c>
      <c r="L1641" s="1664" t="s">
        <v>2293</v>
      </c>
      <c r="M1641" s="1665">
        <v>2.2751E-2</v>
      </c>
      <c r="N1641" s="1666">
        <v>1.5444975435282267</v>
      </c>
      <c r="O1641" s="1666"/>
    </row>
    <row r="1642" spans="11:15">
      <c r="K1642" s="1663">
        <v>43699</v>
      </c>
      <c r="L1642" s="1664" t="s">
        <v>2293</v>
      </c>
      <c r="M1642" s="1665">
        <v>2.2751E-2</v>
      </c>
      <c r="N1642" s="1666">
        <v>1.5448489321643548</v>
      </c>
      <c r="O1642" s="1666"/>
    </row>
    <row r="1643" spans="11:15">
      <c r="K1643" s="1663">
        <v>43700</v>
      </c>
      <c r="L1643" s="1664" t="s">
        <v>2293</v>
      </c>
      <c r="M1643" s="1665">
        <v>2.2751E-2</v>
      </c>
      <c r="N1643" s="1666">
        <v>1.5452004007449116</v>
      </c>
      <c r="O1643" s="1666"/>
    </row>
    <row r="1644" spans="11:15">
      <c r="K1644" s="1663">
        <v>43701</v>
      </c>
      <c r="L1644" s="1664"/>
      <c r="M1644" s="1665">
        <v>0</v>
      </c>
      <c r="N1644" s="1666">
        <v>1.5452004007449116</v>
      </c>
      <c r="O1644" s="1666"/>
    </row>
    <row r="1645" spans="11:15">
      <c r="K1645" s="1663">
        <v>43702</v>
      </c>
      <c r="L1645" s="1664"/>
      <c r="M1645" s="1665">
        <v>0</v>
      </c>
      <c r="N1645" s="1666">
        <v>1.5452004007449116</v>
      </c>
      <c r="O1645" s="1666"/>
    </row>
    <row r="1646" spans="11:15">
      <c r="K1646" s="1663">
        <v>43703</v>
      </c>
      <c r="L1646" s="1664" t="s">
        <v>2293</v>
      </c>
      <c r="M1646" s="1665">
        <v>2.2751E-2</v>
      </c>
      <c r="N1646" s="1666">
        <v>1.5455519492880851</v>
      </c>
      <c r="O1646" s="1666"/>
    </row>
    <row r="1647" spans="11:15">
      <c r="K1647" s="1663">
        <v>43704</v>
      </c>
      <c r="L1647" s="1664" t="s">
        <v>2293</v>
      </c>
      <c r="M1647" s="1665">
        <v>2.2751E-2</v>
      </c>
      <c r="N1647" s="1666">
        <v>1.5459035778120676</v>
      </c>
      <c r="O1647" s="1666"/>
    </row>
    <row r="1648" spans="11:15">
      <c r="K1648" s="1663">
        <v>43705</v>
      </c>
      <c r="L1648" s="1664" t="s">
        <v>2293</v>
      </c>
      <c r="M1648" s="1665">
        <v>2.2751E-2</v>
      </c>
      <c r="N1648" s="1666">
        <v>1.5462552863350556</v>
      </c>
      <c r="O1648" s="1666"/>
    </row>
    <row r="1649" spans="11:15">
      <c r="K1649" s="1663">
        <v>43706</v>
      </c>
      <c r="L1649" s="1664" t="s">
        <v>2293</v>
      </c>
      <c r="M1649" s="1665">
        <v>2.2751E-2</v>
      </c>
      <c r="N1649" s="1666">
        <v>1.5466070748752496</v>
      </c>
      <c r="O1649" s="1666"/>
    </row>
    <row r="1650" spans="11:15">
      <c r="K1650" s="1663">
        <v>43707</v>
      </c>
      <c r="L1650" s="1664" t="s">
        <v>2293</v>
      </c>
      <c r="M1650" s="1665">
        <v>2.2751E-2</v>
      </c>
      <c r="N1650" s="1666">
        <v>1.5469589434508544</v>
      </c>
      <c r="O1650" s="1666"/>
    </row>
    <row r="1651" spans="11:15">
      <c r="K1651" s="1663">
        <v>43708</v>
      </c>
      <c r="L1651" s="1664"/>
      <c r="M1651" s="1665">
        <v>0</v>
      </c>
      <c r="N1651" s="1666">
        <v>1.5469589434508544</v>
      </c>
      <c r="O1651" s="1666"/>
    </row>
    <row r="1652" spans="11:15">
      <c r="K1652" s="1663">
        <v>43709</v>
      </c>
      <c r="L1652" s="1664"/>
      <c r="M1652" s="1665">
        <v>0</v>
      </c>
      <c r="N1652" s="1666">
        <v>1.5469589434508544</v>
      </c>
      <c r="O1652" s="1666"/>
    </row>
    <row r="1653" spans="11:15">
      <c r="K1653" s="1663">
        <v>43710</v>
      </c>
      <c r="L1653" s="1664" t="s">
        <v>2293</v>
      </c>
      <c r="M1653" s="1665">
        <v>2.2751E-2</v>
      </c>
      <c r="N1653" s="1666">
        <v>1.5473108920800789</v>
      </c>
      <c r="O1653" s="1666"/>
    </row>
    <row r="1654" spans="11:15">
      <c r="K1654" s="1663">
        <v>43711</v>
      </c>
      <c r="L1654" s="1664" t="s">
        <v>2293</v>
      </c>
      <c r="M1654" s="1665">
        <v>2.2751E-2</v>
      </c>
      <c r="N1654" s="1666">
        <v>1.5476629207811361</v>
      </c>
      <c r="O1654" s="1666"/>
    </row>
    <row r="1655" spans="11:15">
      <c r="K1655" s="1663">
        <v>43712</v>
      </c>
      <c r="L1655" s="1664" t="s">
        <v>2293</v>
      </c>
      <c r="M1655" s="1665">
        <v>2.2751E-2</v>
      </c>
      <c r="N1655" s="1666">
        <v>1.548015029572243</v>
      </c>
      <c r="O1655" s="1666"/>
    </row>
    <row r="1656" spans="11:15">
      <c r="K1656" s="1663">
        <v>43713</v>
      </c>
      <c r="L1656" s="1664" t="s">
        <v>2293</v>
      </c>
      <c r="M1656" s="1665">
        <v>2.2751E-2</v>
      </c>
      <c r="N1656" s="1666">
        <v>1.5483672184716211</v>
      </c>
      <c r="O1656" s="1666"/>
    </row>
    <row r="1657" spans="11:15">
      <c r="K1657" s="1663">
        <v>43714</v>
      </c>
      <c r="L1657" s="1664" t="s">
        <v>2293</v>
      </c>
      <c r="M1657" s="1665">
        <v>2.2751E-2</v>
      </c>
      <c r="N1657" s="1666">
        <v>1.5487194874974954</v>
      </c>
      <c r="O1657" s="1666"/>
    </row>
    <row r="1658" spans="11:15">
      <c r="K1658" s="1663">
        <v>43715</v>
      </c>
      <c r="L1658" s="1664"/>
      <c r="M1658" s="1665">
        <v>0</v>
      </c>
      <c r="N1658" s="1666">
        <v>1.5487194874974954</v>
      </c>
      <c r="O1658" s="1666"/>
    </row>
    <row r="1659" spans="11:15">
      <c r="K1659" s="1663">
        <v>43716</v>
      </c>
      <c r="L1659" s="1664"/>
      <c r="M1659" s="1665">
        <v>0</v>
      </c>
      <c r="N1659" s="1666">
        <v>1.5487194874974954</v>
      </c>
      <c r="O1659" s="1666"/>
    </row>
    <row r="1660" spans="11:15">
      <c r="K1660" s="1663">
        <v>43717</v>
      </c>
      <c r="L1660" s="1664" t="s">
        <v>2293</v>
      </c>
      <c r="M1660" s="1665">
        <v>2.2751E-2</v>
      </c>
      <c r="N1660" s="1666">
        <v>1.549071836668096</v>
      </c>
      <c r="O1660" s="1666"/>
    </row>
    <row r="1661" spans="11:15">
      <c r="K1661" s="1663">
        <v>43718</v>
      </c>
      <c r="L1661" s="1664" t="s">
        <v>2293</v>
      </c>
      <c r="M1661" s="1665">
        <v>2.2751E-2</v>
      </c>
      <c r="N1661" s="1666">
        <v>1.5494242660016564</v>
      </c>
      <c r="O1661" s="1666"/>
    </row>
    <row r="1662" spans="11:15">
      <c r="K1662" s="1663">
        <v>43719</v>
      </c>
      <c r="L1662" s="1664" t="s">
        <v>2293</v>
      </c>
      <c r="M1662" s="1665">
        <v>2.2751E-2</v>
      </c>
      <c r="N1662" s="1666">
        <v>1.5497767755164145</v>
      </c>
      <c r="O1662" s="1666"/>
    </row>
    <row r="1663" spans="11:15">
      <c r="K1663" s="1663">
        <v>43720</v>
      </c>
      <c r="L1663" s="1664" t="s">
        <v>2293</v>
      </c>
      <c r="M1663" s="1665">
        <v>2.2751E-2</v>
      </c>
      <c r="N1663" s="1666">
        <v>1.5501293652306123</v>
      </c>
      <c r="O1663" s="1666"/>
    </row>
    <row r="1664" spans="11:15">
      <c r="K1664" s="1663">
        <v>43721</v>
      </c>
      <c r="L1664" s="1664" t="s">
        <v>2293</v>
      </c>
      <c r="M1664" s="1665">
        <v>2.2751E-2</v>
      </c>
      <c r="N1664" s="1666">
        <v>1.5504820351624959</v>
      </c>
      <c r="O1664" s="1666"/>
    </row>
    <row r="1665" spans="11:15">
      <c r="K1665" s="1663">
        <v>43722</v>
      </c>
      <c r="L1665" s="1664"/>
      <c r="M1665" s="1665">
        <v>0</v>
      </c>
      <c r="N1665" s="1666">
        <v>1.5504820351624959</v>
      </c>
      <c r="O1665" s="1666"/>
    </row>
    <row r="1666" spans="11:15">
      <c r="K1666" s="1663">
        <v>43723</v>
      </c>
      <c r="L1666" s="1664"/>
      <c r="M1666" s="1665">
        <v>0</v>
      </c>
      <c r="N1666" s="1666">
        <v>1.5504820351624959</v>
      </c>
      <c r="O1666" s="1666"/>
    </row>
    <row r="1667" spans="11:15">
      <c r="K1667" s="1663">
        <v>43724</v>
      </c>
      <c r="L1667" s="1664" t="s">
        <v>2293</v>
      </c>
      <c r="M1667" s="1665">
        <v>2.2751E-2</v>
      </c>
      <c r="N1667" s="1666">
        <v>1.5508347853303157</v>
      </c>
      <c r="O1667" s="1666"/>
    </row>
    <row r="1668" spans="11:15">
      <c r="K1668" s="1663">
        <v>43725</v>
      </c>
      <c r="L1668" s="1664" t="s">
        <v>2293</v>
      </c>
      <c r="M1668" s="1665">
        <v>2.2751E-2</v>
      </c>
      <c r="N1668" s="1666">
        <v>1.5511876157523261</v>
      </c>
      <c r="O1668" s="1666"/>
    </row>
    <row r="1669" spans="11:15">
      <c r="K1669" s="1663">
        <v>43726</v>
      </c>
      <c r="L1669" s="1664" t="s">
        <v>2293</v>
      </c>
      <c r="M1669" s="1665">
        <v>2.2751E-2</v>
      </c>
      <c r="N1669" s="1666">
        <v>1.5515405264467859</v>
      </c>
      <c r="O1669" s="1666"/>
    </row>
    <row r="1670" spans="11:15">
      <c r="K1670" s="1663">
        <v>43727</v>
      </c>
      <c r="L1670" s="1664" t="s">
        <v>2293</v>
      </c>
      <c r="M1670" s="1665">
        <v>2.0872000000000002E-2</v>
      </c>
      <c r="N1670" s="1666">
        <v>1.5518643639854659</v>
      </c>
      <c r="O1670" s="1666"/>
    </row>
    <row r="1671" spans="11:15">
      <c r="K1671" s="1663">
        <v>43728</v>
      </c>
      <c r="L1671" s="1664" t="s">
        <v>2293</v>
      </c>
      <c r="M1671" s="1665">
        <v>2.0872000000000002E-2</v>
      </c>
      <c r="N1671" s="1666">
        <v>1.5521882691155171</v>
      </c>
      <c r="O1671" s="1666"/>
    </row>
    <row r="1672" spans="11:15">
      <c r="K1672" s="1663">
        <v>43729</v>
      </c>
      <c r="L1672" s="1664"/>
      <c r="M1672" s="1665">
        <v>0</v>
      </c>
      <c r="N1672" s="1666">
        <v>1.5521882691155171</v>
      </c>
      <c r="O1672" s="1666"/>
    </row>
    <row r="1673" spans="11:15">
      <c r="K1673" s="1663">
        <v>43730</v>
      </c>
      <c r="L1673" s="1664"/>
      <c r="M1673" s="1665">
        <v>0</v>
      </c>
      <c r="N1673" s="1666">
        <v>1.5521882691155171</v>
      </c>
      <c r="O1673" s="1666"/>
    </row>
    <row r="1674" spans="11:15">
      <c r="K1674" s="1663">
        <v>43731</v>
      </c>
      <c r="L1674" s="1664" t="s">
        <v>2293</v>
      </c>
      <c r="M1674" s="1665">
        <v>2.0872000000000002E-2</v>
      </c>
      <c r="N1674" s="1666">
        <v>1.5525122418510471</v>
      </c>
      <c r="O1674" s="1666"/>
    </row>
    <row r="1675" spans="11:15">
      <c r="K1675" s="1663">
        <v>43732</v>
      </c>
      <c r="L1675" s="1664" t="s">
        <v>2293</v>
      </c>
      <c r="M1675" s="1665">
        <v>2.0872000000000002E-2</v>
      </c>
      <c r="N1675" s="1666">
        <v>1.5528362822061663</v>
      </c>
      <c r="O1675" s="1666"/>
    </row>
    <row r="1676" spans="11:15">
      <c r="K1676" s="1663">
        <v>43733</v>
      </c>
      <c r="L1676" s="1664" t="s">
        <v>2293</v>
      </c>
      <c r="M1676" s="1665">
        <v>2.0872000000000002E-2</v>
      </c>
      <c r="N1676" s="1666">
        <v>1.5531603901949884</v>
      </c>
      <c r="O1676" s="1666"/>
    </row>
    <row r="1677" spans="11:15">
      <c r="K1677" s="1663">
        <v>43734</v>
      </c>
      <c r="L1677" s="1664" t="s">
        <v>2293</v>
      </c>
      <c r="M1677" s="1665">
        <v>2.0872000000000002E-2</v>
      </c>
      <c r="N1677" s="1666">
        <v>1.5534845658316301</v>
      </c>
      <c r="O1677" s="1666"/>
    </row>
    <row r="1678" spans="11:15">
      <c r="K1678" s="1663">
        <v>43735</v>
      </c>
      <c r="L1678" s="1664" t="s">
        <v>2293</v>
      </c>
      <c r="M1678" s="1665">
        <v>2.0872000000000002E-2</v>
      </c>
      <c r="N1678" s="1666">
        <v>1.5538088091302105</v>
      </c>
      <c r="O1678" s="1666"/>
    </row>
    <row r="1679" spans="11:15">
      <c r="K1679" s="1663">
        <v>43736</v>
      </c>
      <c r="L1679" s="1664"/>
      <c r="M1679" s="1665">
        <v>0</v>
      </c>
      <c r="N1679" s="1666">
        <v>1.5538088091302105</v>
      </c>
      <c r="O1679" s="1666"/>
    </row>
    <row r="1680" spans="11:15">
      <c r="K1680" s="1663">
        <v>43737</v>
      </c>
      <c r="L1680" s="1664"/>
      <c r="M1680" s="1665">
        <v>0</v>
      </c>
      <c r="N1680" s="1666">
        <v>1.5538088091302105</v>
      </c>
      <c r="O1680" s="1666"/>
    </row>
    <row r="1681" spans="11:15">
      <c r="K1681" s="1663">
        <v>43738</v>
      </c>
      <c r="L1681" s="1664" t="s">
        <v>2293</v>
      </c>
      <c r="M1681" s="1665">
        <v>2.0872000000000002E-2</v>
      </c>
      <c r="N1681" s="1666">
        <v>1.5541331201048523</v>
      </c>
      <c r="O1681" s="1666"/>
    </row>
    <row r="1682" spans="11:15">
      <c r="K1682" s="1663">
        <v>43739</v>
      </c>
      <c r="L1682" s="1664" t="s">
        <v>2293</v>
      </c>
      <c r="M1682" s="1665">
        <v>2.0872000000000002E-2</v>
      </c>
      <c r="N1682" s="1666">
        <v>1.5544574987696806</v>
      </c>
      <c r="O1682" s="1666"/>
    </row>
    <row r="1683" spans="11:15">
      <c r="K1683" s="1663">
        <v>43740</v>
      </c>
      <c r="L1683" s="1664" t="s">
        <v>2293</v>
      </c>
      <c r="M1683" s="1665">
        <v>2.0872000000000002E-2</v>
      </c>
      <c r="N1683" s="1666">
        <v>1.5547819451388238</v>
      </c>
      <c r="O1683" s="1666"/>
    </row>
    <row r="1684" spans="11:15">
      <c r="K1684" s="1663">
        <v>43741</v>
      </c>
      <c r="L1684" s="1664" t="s">
        <v>2293</v>
      </c>
      <c r="M1684" s="1665">
        <v>2.0872000000000002E-2</v>
      </c>
      <c r="N1684" s="1666">
        <v>1.5551064592264132</v>
      </c>
      <c r="O1684" s="1666"/>
    </row>
    <row r="1685" spans="11:15">
      <c r="K1685" s="1663">
        <v>43742</v>
      </c>
      <c r="L1685" s="1664" t="s">
        <v>2293</v>
      </c>
      <c r="M1685" s="1665">
        <v>2.0872000000000002E-2</v>
      </c>
      <c r="N1685" s="1666">
        <v>1.555431041046583</v>
      </c>
      <c r="O1685" s="1666"/>
    </row>
    <row r="1686" spans="11:15">
      <c r="K1686" s="1663">
        <v>43743</v>
      </c>
      <c r="L1686" s="1664"/>
      <c r="M1686" s="1665">
        <v>0</v>
      </c>
      <c r="N1686" s="1666">
        <v>1.555431041046583</v>
      </c>
      <c r="O1686" s="1666"/>
    </row>
    <row r="1687" spans="11:15">
      <c r="K1687" s="1663">
        <v>43744</v>
      </c>
      <c r="L1687" s="1664"/>
      <c r="M1687" s="1665">
        <v>0</v>
      </c>
      <c r="N1687" s="1666">
        <v>1.555431041046583</v>
      </c>
      <c r="O1687" s="1666"/>
    </row>
    <row r="1688" spans="11:15">
      <c r="K1688" s="1663">
        <v>43745</v>
      </c>
      <c r="L1688" s="1664" t="s">
        <v>2293</v>
      </c>
      <c r="M1688" s="1665">
        <v>2.0872000000000002E-2</v>
      </c>
      <c r="N1688" s="1666">
        <v>1.5557556906134704</v>
      </c>
      <c r="O1688" s="1666"/>
    </row>
    <row r="1689" spans="11:15">
      <c r="K1689" s="1663">
        <v>43746</v>
      </c>
      <c r="L1689" s="1664" t="s">
        <v>2293</v>
      </c>
      <c r="M1689" s="1665">
        <v>2.0872000000000002E-2</v>
      </c>
      <c r="N1689" s="1666">
        <v>1.5560804079412154</v>
      </c>
      <c r="O1689" s="1666"/>
    </row>
    <row r="1690" spans="11:15">
      <c r="K1690" s="1663">
        <v>43747</v>
      </c>
      <c r="L1690" s="1664" t="s">
        <v>2293</v>
      </c>
      <c r="M1690" s="1665">
        <v>2.0872000000000002E-2</v>
      </c>
      <c r="N1690" s="1666">
        <v>1.5564051930439609</v>
      </c>
      <c r="O1690" s="1666"/>
    </row>
    <row r="1691" spans="11:15">
      <c r="K1691" s="1663">
        <v>43748</v>
      </c>
      <c r="L1691" s="1664" t="s">
        <v>2293</v>
      </c>
      <c r="M1691" s="1665">
        <v>2.0872000000000002E-2</v>
      </c>
      <c r="N1691" s="1666">
        <v>1.5567300459358531</v>
      </c>
      <c r="O1691" s="1666"/>
    </row>
    <row r="1692" spans="11:15">
      <c r="K1692" s="1663">
        <v>43749</v>
      </c>
      <c r="L1692" s="1664" t="s">
        <v>2293</v>
      </c>
      <c r="M1692" s="1665">
        <v>2.0872000000000002E-2</v>
      </c>
      <c r="N1692" s="1666">
        <v>1.5570549666310409</v>
      </c>
      <c r="O1692" s="1666"/>
    </row>
    <row r="1693" spans="11:15">
      <c r="K1693" s="1663">
        <v>43750</v>
      </c>
      <c r="L1693" s="1664"/>
      <c r="M1693" s="1665">
        <v>0</v>
      </c>
      <c r="N1693" s="1666">
        <v>1.5570549666310409</v>
      </c>
      <c r="O1693" s="1666"/>
    </row>
    <row r="1694" spans="11:15">
      <c r="K1694" s="1663">
        <v>43751</v>
      </c>
      <c r="L1694" s="1664"/>
      <c r="M1694" s="1665">
        <v>0</v>
      </c>
      <c r="N1694" s="1666">
        <v>1.5570549666310409</v>
      </c>
      <c r="O1694" s="1666"/>
    </row>
    <row r="1695" spans="11:15">
      <c r="K1695" s="1663">
        <v>43752</v>
      </c>
      <c r="L1695" s="1664" t="s">
        <v>2293</v>
      </c>
      <c r="M1695" s="1665">
        <v>2.0872000000000002E-2</v>
      </c>
      <c r="N1695" s="1666">
        <v>1.5573799551436762</v>
      </c>
      <c r="O1695" s="1666"/>
    </row>
    <row r="1696" spans="11:15">
      <c r="K1696" s="1663">
        <v>43753</v>
      </c>
      <c r="L1696" s="1664" t="s">
        <v>2293</v>
      </c>
      <c r="M1696" s="1665">
        <v>2.0872000000000002E-2</v>
      </c>
      <c r="N1696" s="1666">
        <v>1.5577050114879138</v>
      </c>
      <c r="O1696" s="1666"/>
    </row>
    <row r="1697" spans="11:15">
      <c r="K1697" s="1663">
        <v>43754</v>
      </c>
      <c r="L1697" s="1664" t="s">
        <v>2293</v>
      </c>
      <c r="M1697" s="1665">
        <v>2.0872000000000002E-2</v>
      </c>
      <c r="N1697" s="1666">
        <v>1.5580301356779116</v>
      </c>
      <c r="O1697" s="1666"/>
    </row>
    <row r="1698" spans="11:15">
      <c r="K1698" s="1663">
        <v>43755</v>
      </c>
      <c r="L1698" s="1664" t="s">
        <v>2293</v>
      </c>
      <c r="M1698" s="1665">
        <v>2.0872000000000002E-2</v>
      </c>
      <c r="N1698" s="1666">
        <v>1.5583553277278304</v>
      </c>
      <c r="O1698" s="1666"/>
    </row>
    <row r="1699" spans="11:15">
      <c r="K1699" s="1663">
        <v>43756</v>
      </c>
      <c r="L1699" s="1664" t="s">
        <v>2293</v>
      </c>
      <c r="M1699" s="1665">
        <v>2.0872000000000002E-2</v>
      </c>
      <c r="N1699" s="1666">
        <v>1.5586805876518337</v>
      </c>
      <c r="O1699" s="1666"/>
    </row>
    <row r="1700" spans="11:15">
      <c r="K1700" s="1663">
        <v>43757</v>
      </c>
      <c r="L1700" s="1664"/>
      <c r="M1700" s="1665">
        <v>0</v>
      </c>
      <c r="N1700" s="1666">
        <v>1.5586805876518337</v>
      </c>
      <c r="O1700" s="1666"/>
    </row>
    <row r="1701" spans="11:15">
      <c r="K1701" s="1663">
        <v>43758</v>
      </c>
      <c r="L1701" s="1664"/>
      <c r="M1701" s="1665">
        <v>0</v>
      </c>
      <c r="N1701" s="1666">
        <v>1.5586805876518337</v>
      </c>
      <c r="O1701" s="1666"/>
    </row>
    <row r="1702" spans="11:15">
      <c r="K1702" s="1663">
        <v>43759</v>
      </c>
      <c r="L1702" s="1664" t="s">
        <v>2293</v>
      </c>
      <c r="M1702" s="1665">
        <v>2.0872000000000002E-2</v>
      </c>
      <c r="N1702" s="1666">
        <v>1.5590059154640885</v>
      </c>
      <c r="O1702" s="1666"/>
    </row>
    <row r="1703" spans="11:15">
      <c r="K1703" s="1663">
        <v>43760</v>
      </c>
      <c r="L1703" s="1664" t="s">
        <v>2293</v>
      </c>
      <c r="M1703" s="1665">
        <v>2.0872000000000002E-2</v>
      </c>
      <c r="N1703" s="1666">
        <v>1.5593313111787643</v>
      </c>
      <c r="O1703" s="1666"/>
    </row>
    <row r="1704" spans="11:15">
      <c r="K1704" s="1663">
        <v>43761</v>
      </c>
      <c r="L1704" s="1664" t="s">
        <v>2293</v>
      </c>
      <c r="M1704" s="1665">
        <v>2.0872000000000002E-2</v>
      </c>
      <c r="N1704" s="1666">
        <v>1.5596567748100336</v>
      </c>
      <c r="O1704" s="1666"/>
    </row>
    <row r="1705" spans="11:15">
      <c r="K1705" s="1663">
        <v>43762</v>
      </c>
      <c r="L1705" s="1664" t="s">
        <v>2293</v>
      </c>
      <c r="M1705" s="1665">
        <v>2.0872000000000002E-2</v>
      </c>
      <c r="N1705" s="1666">
        <v>1.5599823063720721</v>
      </c>
      <c r="O1705" s="1666"/>
    </row>
    <row r="1706" spans="11:15">
      <c r="K1706" s="1663">
        <v>43763</v>
      </c>
      <c r="L1706" s="1664" t="s">
        <v>2293</v>
      </c>
      <c r="M1706" s="1665">
        <v>2.0872000000000002E-2</v>
      </c>
      <c r="N1706" s="1666">
        <v>1.5603079058790581</v>
      </c>
      <c r="O1706" s="1666"/>
    </row>
    <row r="1707" spans="11:15">
      <c r="K1707" s="1663">
        <v>43764</v>
      </c>
      <c r="L1707" s="1664"/>
      <c r="M1707" s="1665">
        <v>0</v>
      </c>
      <c r="N1707" s="1666">
        <v>1.5603079058790581</v>
      </c>
      <c r="O1707" s="1666"/>
    </row>
    <row r="1708" spans="11:15">
      <c r="K1708" s="1663">
        <v>43765</v>
      </c>
      <c r="L1708" s="1664"/>
      <c r="M1708" s="1665">
        <v>0</v>
      </c>
      <c r="N1708" s="1666">
        <v>1.5603079058790581</v>
      </c>
      <c r="O1708" s="1666"/>
    </row>
    <row r="1709" spans="11:15">
      <c r="K1709" s="1663">
        <v>43766</v>
      </c>
      <c r="L1709" s="1664" t="s">
        <v>2293</v>
      </c>
      <c r="M1709" s="1665">
        <v>2.0872000000000002E-2</v>
      </c>
      <c r="N1709" s="1666">
        <v>1.5606335733451733</v>
      </c>
      <c r="O1709" s="1666"/>
    </row>
    <row r="1710" spans="11:15">
      <c r="K1710" s="1663">
        <v>43767</v>
      </c>
      <c r="L1710" s="1664" t="s">
        <v>2293</v>
      </c>
      <c r="M1710" s="1665">
        <v>2.0872000000000002E-2</v>
      </c>
      <c r="N1710" s="1666">
        <v>1.5609593087846019</v>
      </c>
      <c r="O1710" s="1666"/>
    </row>
    <row r="1711" spans="11:15">
      <c r="K1711" s="1663">
        <v>43768</v>
      </c>
      <c r="L1711" s="1664" t="s">
        <v>2293</v>
      </c>
      <c r="M1711" s="1665">
        <v>2.0872000000000002E-2</v>
      </c>
      <c r="N1711" s="1666">
        <v>1.5612851122115314</v>
      </c>
      <c r="O1711" s="1666"/>
    </row>
    <row r="1712" spans="11:15">
      <c r="K1712" s="1663">
        <v>43769</v>
      </c>
      <c r="L1712" s="1664" t="s">
        <v>2293</v>
      </c>
      <c r="M1712" s="1665">
        <v>1.8984999999999998E-2</v>
      </c>
      <c r="N1712" s="1666">
        <v>1.5615815221900846</v>
      </c>
      <c r="O1712" s="1666"/>
    </row>
    <row r="1713" spans="11:15">
      <c r="K1713" s="1663">
        <v>43770</v>
      </c>
      <c r="L1713" s="1664" t="s">
        <v>2293</v>
      </c>
      <c r="M1713" s="1665">
        <v>1.8984999999999998E-2</v>
      </c>
      <c r="N1713" s="1666">
        <v>1.5618779884420724</v>
      </c>
      <c r="O1713" s="1666"/>
    </row>
    <row r="1714" spans="11:15">
      <c r="K1714" s="1663">
        <v>43771</v>
      </c>
      <c r="L1714" s="1664"/>
      <c r="M1714" s="1665">
        <v>0</v>
      </c>
      <c r="N1714" s="1666">
        <v>1.5618779884420724</v>
      </c>
      <c r="O1714" s="1666"/>
    </row>
    <row r="1715" spans="11:15">
      <c r="K1715" s="1663">
        <v>43772</v>
      </c>
      <c r="L1715" s="1664"/>
      <c r="M1715" s="1665">
        <v>0</v>
      </c>
      <c r="N1715" s="1666">
        <v>1.5618779884420724</v>
      </c>
      <c r="O1715" s="1666"/>
    </row>
    <row r="1716" spans="11:15">
      <c r="K1716" s="1663">
        <v>43773</v>
      </c>
      <c r="L1716" s="1664" t="s">
        <v>2293</v>
      </c>
      <c r="M1716" s="1665">
        <v>1.8984999999999998E-2</v>
      </c>
      <c r="N1716" s="1666">
        <v>1.5621745109781779</v>
      </c>
      <c r="O1716" s="1666"/>
    </row>
    <row r="1717" spans="11:15">
      <c r="K1717" s="1663">
        <v>43774</v>
      </c>
      <c r="L1717" s="1664" t="s">
        <v>2293</v>
      </c>
      <c r="M1717" s="1665">
        <v>1.8984999999999998E-2</v>
      </c>
      <c r="N1717" s="1666">
        <v>1.562471089809087</v>
      </c>
      <c r="O1717" s="1666"/>
    </row>
    <row r="1718" spans="11:15">
      <c r="K1718" s="1663">
        <v>43775</v>
      </c>
      <c r="L1718" s="1664" t="s">
        <v>2293</v>
      </c>
      <c r="M1718" s="1665">
        <v>1.8984999999999998E-2</v>
      </c>
      <c r="N1718" s="1666">
        <v>1.5627677249454872</v>
      </c>
      <c r="O1718" s="1666"/>
    </row>
    <row r="1719" spans="11:15">
      <c r="K1719" s="1663">
        <v>43776</v>
      </c>
      <c r="L1719" s="1664" t="s">
        <v>2293</v>
      </c>
      <c r="M1719" s="1665">
        <v>1.8984999999999998E-2</v>
      </c>
      <c r="N1719" s="1666">
        <v>1.563064416398068</v>
      </c>
      <c r="O1719" s="1666"/>
    </row>
    <row r="1720" spans="11:15">
      <c r="K1720" s="1663">
        <v>43777</v>
      </c>
      <c r="L1720" s="1664" t="s">
        <v>2293</v>
      </c>
      <c r="M1720" s="1665">
        <v>1.8984999999999998E-2</v>
      </c>
      <c r="N1720" s="1666">
        <v>1.5633611641775211</v>
      </c>
      <c r="O1720" s="1666"/>
    </row>
    <row r="1721" spans="11:15">
      <c r="K1721" s="1663">
        <v>43778</v>
      </c>
      <c r="L1721" s="1664"/>
      <c r="M1721" s="1665">
        <v>0</v>
      </c>
      <c r="N1721" s="1666">
        <v>1.5633611641775211</v>
      </c>
      <c r="O1721" s="1666"/>
    </row>
    <row r="1722" spans="11:15">
      <c r="K1722" s="1663">
        <v>43779</v>
      </c>
      <c r="L1722" s="1664"/>
      <c r="M1722" s="1665">
        <v>0</v>
      </c>
      <c r="N1722" s="1666">
        <v>1.5633611641775211</v>
      </c>
      <c r="O1722" s="1666"/>
    </row>
    <row r="1723" spans="11:15">
      <c r="K1723" s="1663">
        <v>43780</v>
      </c>
      <c r="L1723" s="1664" t="s">
        <v>2293</v>
      </c>
      <c r="M1723" s="1665">
        <v>1.8984999999999998E-2</v>
      </c>
      <c r="N1723" s="1666">
        <v>1.5636579682945402</v>
      </c>
      <c r="O1723" s="1666"/>
    </row>
    <row r="1724" spans="11:15">
      <c r="K1724" s="1663">
        <v>43781</v>
      </c>
      <c r="L1724" s="1664" t="s">
        <v>2293</v>
      </c>
      <c r="M1724" s="1665">
        <v>1.8984999999999998E-2</v>
      </c>
      <c r="N1724" s="1666">
        <v>1.5639548287598208</v>
      </c>
      <c r="O1724" s="1666"/>
    </row>
    <row r="1725" spans="11:15">
      <c r="K1725" s="1663">
        <v>43782</v>
      </c>
      <c r="L1725" s="1664" t="s">
        <v>2293</v>
      </c>
      <c r="M1725" s="1665">
        <v>1.8984999999999998E-2</v>
      </c>
      <c r="N1725" s="1666">
        <v>1.5642517455840608</v>
      </c>
      <c r="O1725" s="1666"/>
    </row>
    <row r="1726" spans="11:15">
      <c r="K1726" s="1663">
        <v>43783</v>
      </c>
      <c r="L1726" s="1664" t="s">
        <v>2293</v>
      </c>
      <c r="M1726" s="1665">
        <v>1.8984999999999998E-2</v>
      </c>
      <c r="N1726" s="1666">
        <v>1.5645487187779599</v>
      </c>
      <c r="O1726" s="1666"/>
    </row>
    <row r="1727" spans="11:15">
      <c r="K1727" s="1663">
        <v>43784</v>
      </c>
      <c r="L1727" s="1664"/>
      <c r="M1727" s="1665">
        <v>0</v>
      </c>
      <c r="N1727" s="1666">
        <v>1.5645487187779599</v>
      </c>
      <c r="O1727" s="1666"/>
    </row>
    <row r="1728" spans="11:15">
      <c r="K1728" s="1663">
        <v>43785</v>
      </c>
      <c r="L1728" s="1664"/>
      <c r="M1728" s="1665">
        <v>0</v>
      </c>
      <c r="N1728" s="1666">
        <v>1.5645487187779599</v>
      </c>
      <c r="O1728" s="1666"/>
    </row>
    <row r="1729" spans="11:15">
      <c r="K1729" s="1663">
        <v>43786</v>
      </c>
      <c r="L1729" s="1664"/>
      <c r="M1729" s="1665">
        <v>0</v>
      </c>
      <c r="N1729" s="1666">
        <v>1.5645487187779599</v>
      </c>
      <c r="O1729" s="1666"/>
    </row>
    <row r="1730" spans="11:15">
      <c r="K1730" s="1663">
        <v>43787</v>
      </c>
      <c r="L1730" s="1664" t="s">
        <v>2293</v>
      </c>
      <c r="M1730" s="1665">
        <v>1.8984999999999998E-2</v>
      </c>
      <c r="N1730" s="1666">
        <v>1.5648457483522198</v>
      </c>
      <c r="O1730" s="1666"/>
    </row>
    <row r="1731" spans="11:15">
      <c r="K1731" s="1663">
        <v>43788</v>
      </c>
      <c r="L1731" s="1664" t="s">
        <v>2293</v>
      </c>
      <c r="M1731" s="1665">
        <v>1.8984999999999998E-2</v>
      </c>
      <c r="N1731" s="1666">
        <v>1.5651428343175444</v>
      </c>
      <c r="O1731" s="1666"/>
    </row>
    <row r="1732" spans="11:15">
      <c r="K1732" s="1663">
        <v>43789</v>
      </c>
      <c r="L1732" s="1664" t="s">
        <v>2293</v>
      </c>
      <c r="M1732" s="1665">
        <v>1.8984999999999998E-2</v>
      </c>
      <c r="N1732" s="1666">
        <v>1.5654399766846394</v>
      </c>
      <c r="O1732" s="1666"/>
    </row>
    <row r="1733" spans="11:15">
      <c r="K1733" s="1663">
        <v>43790</v>
      </c>
      <c r="L1733" s="1664" t="s">
        <v>2293</v>
      </c>
      <c r="M1733" s="1665">
        <v>1.8984999999999998E-2</v>
      </c>
      <c r="N1733" s="1666">
        <v>1.5657371754642129</v>
      </c>
      <c r="O1733" s="1666"/>
    </row>
    <row r="1734" spans="11:15">
      <c r="K1734" s="1663">
        <v>43791</v>
      </c>
      <c r="L1734" s="1664" t="s">
        <v>2293</v>
      </c>
      <c r="M1734" s="1665">
        <v>1.8984999999999998E-2</v>
      </c>
      <c r="N1734" s="1666">
        <v>1.5660344306669747</v>
      </c>
      <c r="O1734" s="1666"/>
    </row>
    <row r="1735" spans="11:15">
      <c r="K1735" s="1663">
        <v>43792</v>
      </c>
      <c r="L1735" s="1664"/>
      <c r="M1735" s="1665">
        <v>0</v>
      </c>
      <c r="N1735" s="1666">
        <v>1.5660344306669747</v>
      </c>
      <c r="O1735" s="1666"/>
    </row>
    <row r="1736" spans="11:15">
      <c r="K1736" s="1663">
        <v>43793</v>
      </c>
      <c r="L1736" s="1664"/>
      <c r="M1736" s="1665">
        <v>0</v>
      </c>
      <c r="N1736" s="1666">
        <v>1.5660344306669747</v>
      </c>
      <c r="O1736" s="1666"/>
    </row>
    <row r="1737" spans="11:15">
      <c r="K1737" s="1663">
        <v>43794</v>
      </c>
      <c r="L1737" s="1664" t="s">
        <v>2293</v>
      </c>
      <c r="M1737" s="1665">
        <v>1.8984999999999998E-2</v>
      </c>
      <c r="N1737" s="1666">
        <v>1.5663317423036367</v>
      </c>
      <c r="O1737" s="1666"/>
    </row>
    <row r="1738" spans="11:15">
      <c r="K1738" s="1663">
        <v>43795</v>
      </c>
      <c r="L1738" s="1664" t="s">
        <v>2293</v>
      </c>
      <c r="M1738" s="1665">
        <v>1.8984999999999998E-2</v>
      </c>
      <c r="N1738" s="1666">
        <v>1.566629110384913</v>
      </c>
      <c r="O1738" s="1666"/>
    </row>
    <row r="1739" spans="11:15">
      <c r="K1739" s="1663">
        <v>43796</v>
      </c>
      <c r="L1739" s="1664" t="s">
        <v>2293</v>
      </c>
      <c r="M1739" s="1665">
        <v>1.8984999999999998E-2</v>
      </c>
      <c r="N1739" s="1666">
        <v>1.5669265349215196</v>
      </c>
      <c r="O1739" s="1666"/>
    </row>
    <row r="1740" spans="11:15">
      <c r="K1740" s="1663">
        <v>43797</v>
      </c>
      <c r="L1740" s="1664" t="s">
        <v>2293</v>
      </c>
      <c r="M1740" s="1665">
        <v>1.8984999999999998E-2</v>
      </c>
      <c r="N1740" s="1666">
        <v>1.5672240159241744</v>
      </c>
      <c r="O1740" s="1666"/>
    </row>
    <row r="1741" spans="11:15">
      <c r="K1741" s="1663">
        <v>43798</v>
      </c>
      <c r="L1741" s="1664" t="s">
        <v>2293</v>
      </c>
      <c r="M1741" s="1665">
        <v>1.8984999999999998E-2</v>
      </c>
      <c r="N1741" s="1666">
        <v>1.5675215534035976</v>
      </c>
      <c r="O1741" s="1666"/>
    </row>
    <row r="1742" spans="11:15">
      <c r="K1742" s="1663">
        <v>43799</v>
      </c>
      <c r="L1742" s="1664"/>
      <c r="M1742" s="1665">
        <v>0</v>
      </c>
      <c r="N1742" s="1666">
        <v>1.5675215534035976</v>
      </c>
      <c r="O1742" s="1666"/>
    </row>
    <row r="1743" spans="11:15">
      <c r="K1743" s="1663">
        <v>43800</v>
      </c>
      <c r="L1743" s="1664"/>
      <c r="M1743" s="1665">
        <v>0</v>
      </c>
      <c r="N1743" s="1666">
        <v>1.5675215534035976</v>
      </c>
      <c r="O1743" s="1666"/>
    </row>
    <row r="1744" spans="11:15">
      <c r="K1744" s="1663">
        <v>43801</v>
      </c>
      <c r="L1744" s="1664" t="s">
        <v>2293</v>
      </c>
      <c r="M1744" s="1665">
        <v>1.8984999999999998E-2</v>
      </c>
      <c r="N1744" s="1666">
        <v>1.5678191473705112</v>
      </c>
      <c r="O1744" s="1666"/>
    </row>
    <row r="1745" spans="11:15">
      <c r="K1745" s="1663">
        <v>43802</v>
      </c>
      <c r="L1745" s="1664" t="s">
        <v>2293</v>
      </c>
      <c r="M1745" s="1665">
        <v>1.8984999999999998E-2</v>
      </c>
      <c r="N1745" s="1666">
        <v>1.5681167978356394</v>
      </c>
      <c r="O1745" s="1666"/>
    </row>
    <row r="1746" spans="11:15">
      <c r="K1746" s="1663">
        <v>43803</v>
      </c>
      <c r="L1746" s="1664" t="s">
        <v>2293</v>
      </c>
      <c r="M1746" s="1665">
        <v>1.8984999999999998E-2</v>
      </c>
      <c r="N1746" s="1666">
        <v>1.5684145048097085</v>
      </c>
      <c r="O1746" s="1666"/>
    </row>
    <row r="1747" spans="11:15">
      <c r="K1747" s="1663">
        <v>43804</v>
      </c>
      <c r="L1747" s="1664" t="s">
        <v>2293</v>
      </c>
      <c r="M1747" s="1665">
        <v>1.8984999999999998E-2</v>
      </c>
      <c r="N1747" s="1666">
        <v>1.5687122683034465</v>
      </c>
      <c r="O1747" s="1666"/>
    </row>
    <row r="1748" spans="11:15">
      <c r="K1748" s="1663">
        <v>43805</v>
      </c>
      <c r="L1748" s="1664" t="s">
        <v>2293</v>
      </c>
      <c r="M1748" s="1665">
        <v>1.8984999999999998E-2</v>
      </c>
      <c r="N1748" s="1666">
        <v>1.5690100883275837</v>
      </c>
      <c r="O1748" s="1666"/>
    </row>
    <row r="1749" spans="11:15">
      <c r="K1749" s="1663">
        <v>43806</v>
      </c>
      <c r="L1749" s="1664"/>
      <c r="M1749" s="1665">
        <v>0</v>
      </c>
      <c r="N1749" s="1666">
        <v>1.5690100883275837</v>
      </c>
      <c r="O1749" s="1666"/>
    </row>
    <row r="1750" spans="11:15">
      <c r="K1750" s="1663">
        <v>43807</v>
      </c>
      <c r="L1750" s="1664"/>
      <c r="M1750" s="1665">
        <v>0</v>
      </c>
      <c r="N1750" s="1666">
        <v>1.5690100883275837</v>
      </c>
      <c r="O1750" s="1666"/>
    </row>
    <row r="1751" spans="11:15">
      <c r="K1751" s="1663">
        <v>43808</v>
      </c>
      <c r="L1751" s="1664" t="s">
        <v>2293</v>
      </c>
      <c r="M1751" s="1665">
        <v>1.8984999999999998E-2</v>
      </c>
      <c r="N1751" s="1666">
        <v>1.5693079648928525</v>
      </c>
      <c r="O1751" s="1666"/>
    </row>
    <row r="1752" spans="11:15">
      <c r="K1752" s="1663">
        <v>43809</v>
      </c>
      <c r="L1752" s="1664" t="s">
        <v>2293</v>
      </c>
      <c r="M1752" s="1665">
        <v>1.8984999999999998E-2</v>
      </c>
      <c r="N1752" s="1666">
        <v>1.5696058980099874</v>
      </c>
      <c r="O1752" s="1666"/>
    </row>
    <row r="1753" spans="11:15">
      <c r="K1753" s="1663">
        <v>43810</v>
      </c>
      <c r="L1753" s="1664" t="s">
        <v>2293</v>
      </c>
      <c r="M1753" s="1665">
        <v>1.8984999999999998E-2</v>
      </c>
      <c r="N1753" s="1666">
        <v>1.5699038876897244</v>
      </c>
      <c r="O1753" s="1666"/>
    </row>
    <row r="1754" spans="11:15">
      <c r="K1754" s="1663">
        <v>43811</v>
      </c>
      <c r="L1754" s="1664" t="s">
        <v>2293</v>
      </c>
      <c r="M1754" s="1665">
        <v>1.7089E-2</v>
      </c>
      <c r="N1754" s="1666">
        <v>1.5701721685650916</v>
      </c>
      <c r="O1754" s="1666"/>
    </row>
    <row r="1755" spans="11:15">
      <c r="K1755" s="1663">
        <v>43812</v>
      </c>
      <c r="L1755" s="1664" t="s">
        <v>2293</v>
      </c>
      <c r="M1755" s="1665">
        <v>1.7089E-2</v>
      </c>
      <c r="N1755" s="1666">
        <v>1.5704404952869775</v>
      </c>
      <c r="O1755" s="1666"/>
    </row>
    <row r="1756" spans="11:15">
      <c r="K1756" s="1663">
        <v>43813</v>
      </c>
      <c r="L1756" s="1664"/>
      <c r="M1756" s="1665">
        <v>0</v>
      </c>
      <c r="N1756" s="1666">
        <v>1.5704404952869775</v>
      </c>
      <c r="O1756" s="1666"/>
    </row>
    <row r="1757" spans="11:15">
      <c r="K1757" s="1663">
        <v>43814</v>
      </c>
      <c r="L1757" s="1664"/>
      <c r="M1757" s="1665">
        <v>0</v>
      </c>
      <c r="N1757" s="1666">
        <v>1.5704404952869775</v>
      </c>
      <c r="O1757" s="1666"/>
    </row>
    <row r="1758" spans="11:15">
      <c r="K1758" s="1663">
        <v>43815</v>
      </c>
      <c r="L1758" s="1664" t="s">
        <v>2293</v>
      </c>
      <c r="M1758" s="1665">
        <v>1.7089E-2</v>
      </c>
      <c r="N1758" s="1666">
        <v>1.5707088678632171</v>
      </c>
      <c r="O1758" s="1666"/>
    </row>
    <row r="1759" spans="11:15">
      <c r="K1759" s="1663">
        <v>43816</v>
      </c>
      <c r="L1759" s="1664" t="s">
        <v>2293</v>
      </c>
      <c r="M1759" s="1665">
        <v>1.7089E-2</v>
      </c>
      <c r="N1759" s="1666">
        <v>1.570977286301646</v>
      </c>
      <c r="O1759" s="1666"/>
    </row>
    <row r="1760" spans="11:15">
      <c r="K1760" s="1663">
        <v>43817</v>
      </c>
      <c r="L1760" s="1664" t="s">
        <v>2293</v>
      </c>
      <c r="M1760" s="1665">
        <v>1.7089E-2</v>
      </c>
      <c r="N1760" s="1666">
        <v>1.5712457506101021</v>
      </c>
      <c r="O1760" s="1666"/>
    </row>
    <row r="1761" spans="11:15">
      <c r="K1761" s="1663">
        <v>43818</v>
      </c>
      <c r="L1761" s="1664" t="s">
        <v>2293</v>
      </c>
      <c r="M1761" s="1665">
        <v>1.7089E-2</v>
      </c>
      <c r="N1761" s="1666">
        <v>1.5715142607964236</v>
      </c>
      <c r="O1761" s="1666"/>
    </row>
    <row r="1762" spans="11:15">
      <c r="K1762" s="1663">
        <v>43819</v>
      </c>
      <c r="L1762" s="1664" t="s">
        <v>2293</v>
      </c>
      <c r="M1762" s="1665">
        <v>1.7089E-2</v>
      </c>
      <c r="N1762" s="1666">
        <v>1.5717828168684511</v>
      </c>
      <c r="O1762" s="1666"/>
    </row>
    <row r="1763" spans="11:15">
      <c r="K1763" s="1663">
        <v>43820</v>
      </c>
      <c r="L1763" s="1664"/>
      <c r="M1763" s="1665">
        <v>0</v>
      </c>
      <c r="N1763" s="1666">
        <v>1.5717828168684511</v>
      </c>
      <c r="O1763" s="1666"/>
    </row>
    <row r="1764" spans="11:15">
      <c r="K1764" s="1663">
        <v>43821</v>
      </c>
      <c r="L1764" s="1664"/>
      <c r="M1764" s="1665">
        <v>0</v>
      </c>
      <c r="N1764" s="1666">
        <v>1.5717828168684511</v>
      </c>
      <c r="O1764" s="1666"/>
    </row>
    <row r="1765" spans="11:15">
      <c r="K1765" s="1663">
        <v>43822</v>
      </c>
      <c r="L1765" s="1664" t="s">
        <v>2293</v>
      </c>
      <c r="M1765" s="1665">
        <v>1.7089E-2</v>
      </c>
      <c r="N1765" s="1666">
        <v>1.5720514188340255</v>
      </c>
      <c r="O1765" s="1666"/>
    </row>
    <row r="1766" spans="11:15">
      <c r="K1766" s="1663">
        <v>43823</v>
      </c>
      <c r="L1766" s="1664" t="s">
        <v>2293</v>
      </c>
      <c r="M1766" s="1665">
        <v>1.7089E-2</v>
      </c>
      <c r="N1766" s="1666">
        <v>1.57232006670099</v>
      </c>
      <c r="O1766" s="1666"/>
    </row>
    <row r="1767" spans="11:15">
      <c r="K1767" s="1663">
        <v>43824</v>
      </c>
      <c r="L1767" s="1664"/>
      <c r="M1767" s="1665">
        <v>0</v>
      </c>
      <c r="N1767" s="1666">
        <v>1.57232006670099</v>
      </c>
      <c r="O1767" s="1666"/>
    </row>
    <row r="1768" spans="11:15">
      <c r="K1768" s="1663">
        <v>43825</v>
      </c>
      <c r="L1768" s="1664" t="s">
        <v>2293</v>
      </c>
      <c r="M1768" s="1665">
        <v>1.7089E-2</v>
      </c>
      <c r="N1768" s="1666">
        <v>1.5725887604771884</v>
      </c>
      <c r="O1768" s="1666"/>
    </row>
    <row r="1769" spans="11:15">
      <c r="K1769" s="1663">
        <v>43826</v>
      </c>
      <c r="L1769" s="1664" t="s">
        <v>2293</v>
      </c>
      <c r="M1769" s="1665">
        <v>1.7089E-2</v>
      </c>
      <c r="N1769" s="1666">
        <v>1.5728575001704663</v>
      </c>
      <c r="O1769" s="1666"/>
    </row>
    <row r="1770" spans="11:15">
      <c r="K1770" s="1663">
        <v>43827</v>
      </c>
      <c r="L1770" s="1664"/>
      <c r="M1770" s="1665">
        <v>0</v>
      </c>
      <c r="N1770" s="1666">
        <v>1.5728575001704663</v>
      </c>
      <c r="O1770" s="1666"/>
    </row>
    <row r="1771" spans="11:15">
      <c r="K1771" s="1663">
        <v>43828</v>
      </c>
      <c r="L1771" s="1664"/>
      <c r="M1771" s="1665">
        <v>0</v>
      </c>
      <c r="N1771" s="1666">
        <v>1.5728575001704663</v>
      </c>
      <c r="O1771" s="1666"/>
    </row>
    <row r="1772" spans="11:15">
      <c r="K1772" s="1663">
        <v>43829</v>
      </c>
      <c r="L1772" s="1664" t="s">
        <v>2293</v>
      </c>
      <c r="M1772" s="1665">
        <v>1.7089E-2</v>
      </c>
      <c r="N1772" s="1666">
        <v>1.5731262857886703</v>
      </c>
      <c r="O1772" s="1666"/>
    </row>
    <row r="1773" spans="11:15">
      <c r="K1773" s="1663">
        <v>43830</v>
      </c>
      <c r="L1773" s="1664" t="s">
        <v>2293</v>
      </c>
      <c r="M1773" s="1665">
        <v>1.7089E-2</v>
      </c>
      <c r="N1773" s="1666">
        <v>1.5733951173396485</v>
      </c>
      <c r="O1773" s="1666"/>
    </row>
    <row r="1774" spans="11:15">
      <c r="K1774" s="1663">
        <v>43831</v>
      </c>
      <c r="L1774" s="1664"/>
      <c r="M1774" s="1665">
        <v>0</v>
      </c>
      <c r="N1774" s="1666">
        <v>1.5733951173396485</v>
      </c>
      <c r="O1774" s="1666"/>
    </row>
    <row r="1775" spans="11:15">
      <c r="K1775" s="1663">
        <v>43832</v>
      </c>
      <c r="L1775" s="1664" t="s">
        <v>2293</v>
      </c>
      <c r="M1775" s="1665">
        <v>1.7089E-2</v>
      </c>
      <c r="N1775" s="1666">
        <v>1.5736639948312505</v>
      </c>
      <c r="O1775" s="1666"/>
    </row>
    <row r="1776" spans="11:15">
      <c r="K1776" s="1663">
        <v>43833</v>
      </c>
      <c r="L1776" s="1664" t="s">
        <v>2293</v>
      </c>
      <c r="M1776" s="1665">
        <v>1.7089E-2</v>
      </c>
      <c r="N1776" s="1666">
        <v>1.5739329182713271</v>
      </c>
      <c r="O1776" s="1666"/>
    </row>
    <row r="1777" spans="11:15">
      <c r="K1777" s="1663">
        <v>43834</v>
      </c>
      <c r="L1777" s="1664"/>
      <c r="M1777" s="1665">
        <v>0</v>
      </c>
      <c r="N1777" s="1666">
        <v>1.5739329182713271</v>
      </c>
      <c r="O1777" s="1666"/>
    </row>
    <row r="1778" spans="11:15">
      <c r="K1778" s="1663">
        <v>43835</v>
      </c>
      <c r="L1778" s="1664"/>
      <c r="M1778" s="1665">
        <v>0</v>
      </c>
      <c r="N1778" s="1666">
        <v>1.5739329182713271</v>
      </c>
      <c r="O1778" s="1666"/>
    </row>
    <row r="1779" spans="11:15">
      <c r="K1779" s="1663">
        <v>43836</v>
      </c>
      <c r="L1779" s="1664" t="s">
        <v>2293</v>
      </c>
      <c r="M1779" s="1665">
        <v>1.7089E-2</v>
      </c>
      <c r="N1779" s="1666">
        <v>1.5742018876677304</v>
      </c>
      <c r="O1779" s="1666"/>
    </row>
    <row r="1780" spans="11:15">
      <c r="K1780" s="1663">
        <v>43837</v>
      </c>
      <c r="L1780" s="1664" t="s">
        <v>2293</v>
      </c>
      <c r="M1780" s="1665">
        <v>1.7089E-2</v>
      </c>
      <c r="N1780" s="1666">
        <v>1.5744709030283137</v>
      </c>
      <c r="O1780" s="1666"/>
    </row>
    <row r="1781" spans="11:15">
      <c r="K1781" s="1663">
        <v>43838</v>
      </c>
      <c r="L1781" s="1664" t="s">
        <v>2293</v>
      </c>
      <c r="M1781" s="1665">
        <v>1.7089E-2</v>
      </c>
      <c r="N1781" s="1666">
        <v>1.5747399643609321</v>
      </c>
      <c r="O1781" s="1666"/>
    </row>
    <row r="1782" spans="11:15">
      <c r="K1782" s="1663">
        <v>43839</v>
      </c>
      <c r="L1782" s="1664" t="s">
        <v>2293</v>
      </c>
      <c r="M1782" s="1665">
        <v>1.7089E-2</v>
      </c>
      <c r="N1782" s="1666">
        <v>1.5750090716734417</v>
      </c>
      <c r="O1782" s="1666"/>
    </row>
    <row r="1783" spans="11:15">
      <c r="K1783" s="1663">
        <v>43840</v>
      </c>
      <c r="L1783" s="1664" t="s">
        <v>2293</v>
      </c>
      <c r="M1783" s="1665">
        <v>1.7089E-2</v>
      </c>
      <c r="N1783" s="1666">
        <v>1.5752782249736998</v>
      </c>
      <c r="O1783" s="1666"/>
    </row>
    <row r="1784" spans="11:15">
      <c r="K1784" s="1663">
        <v>43841</v>
      </c>
      <c r="L1784" s="1664"/>
      <c r="M1784" s="1665">
        <v>0</v>
      </c>
      <c r="N1784" s="1666">
        <v>1.5752782249736998</v>
      </c>
      <c r="O1784" s="1666"/>
    </row>
    <row r="1785" spans="11:15">
      <c r="K1785" s="1663">
        <v>43842</v>
      </c>
      <c r="L1785" s="1664"/>
      <c r="M1785" s="1665">
        <v>0</v>
      </c>
      <c r="N1785" s="1666">
        <v>1.5752782249736998</v>
      </c>
      <c r="O1785" s="1666"/>
    </row>
    <row r="1786" spans="11:15">
      <c r="K1786" s="1663">
        <v>43843</v>
      </c>
      <c r="L1786" s="1664" t="s">
        <v>2293</v>
      </c>
      <c r="M1786" s="1665">
        <v>1.7089E-2</v>
      </c>
      <c r="N1786" s="1666">
        <v>1.5755474242695655</v>
      </c>
      <c r="O1786" s="1666"/>
    </row>
    <row r="1787" spans="11:15">
      <c r="K1787" s="1663">
        <v>43844</v>
      </c>
      <c r="L1787" s="1664" t="s">
        <v>2293</v>
      </c>
      <c r="M1787" s="1665">
        <v>1.7089E-2</v>
      </c>
      <c r="N1787" s="1666">
        <v>1.5758166695688989</v>
      </c>
      <c r="O1787" s="1666"/>
    </row>
    <row r="1788" spans="11:15">
      <c r="K1788" s="1663">
        <v>43845</v>
      </c>
      <c r="L1788" s="1664" t="s">
        <v>2293</v>
      </c>
      <c r="M1788" s="1665">
        <v>1.7089E-2</v>
      </c>
      <c r="N1788" s="1666">
        <v>1.5760859608795614</v>
      </c>
      <c r="O1788" s="1666"/>
    </row>
    <row r="1789" spans="11:15">
      <c r="K1789" s="1663">
        <v>43846</v>
      </c>
      <c r="L1789" s="1664" t="s">
        <v>2293</v>
      </c>
      <c r="M1789" s="1665">
        <v>1.7089E-2</v>
      </c>
      <c r="N1789" s="1666">
        <v>1.576355298209416</v>
      </c>
      <c r="O1789" s="1666"/>
    </row>
    <row r="1790" spans="11:15">
      <c r="K1790" s="1663">
        <v>43847</v>
      </c>
      <c r="L1790" s="1664" t="s">
        <v>2293</v>
      </c>
      <c r="M1790" s="1665">
        <v>1.7089E-2</v>
      </c>
      <c r="N1790" s="1666">
        <v>1.576624681566327</v>
      </c>
      <c r="O1790" s="1666"/>
    </row>
    <row r="1791" spans="11:15">
      <c r="K1791" s="1663">
        <v>43848</v>
      </c>
      <c r="L1791" s="1664"/>
      <c r="M1791" s="1665">
        <v>0</v>
      </c>
      <c r="N1791" s="1666">
        <v>1.576624681566327</v>
      </c>
      <c r="O1791" s="1666"/>
    </row>
    <row r="1792" spans="11:15">
      <c r="K1792" s="1663">
        <v>43849</v>
      </c>
      <c r="L1792" s="1664"/>
      <c r="M1792" s="1665">
        <v>0</v>
      </c>
      <c r="N1792" s="1666">
        <v>1.576624681566327</v>
      </c>
      <c r="O1792" s="1666"/>
    </row>
    <row r="1793" spans="11:15">
      <c r="K1793" s="1663">
        <v>43850</v>
      </c>
      <c r="L1793" s="1664" t="s">
        <v>2293</v>
      </c>
      <c r="M1793" s="1665">
        <v>1.7089E-2</v>
      </c>
      <c r="N1793" s="1666">
        <v>1.5768941109581598</v>
      </c>
      <c r="O1793" s="1666"/>
    </row>
    <row r="1794" spans="11:15">
      <c r="K1794" s="1663">
        <v>43851</v>
      </c>
      <c r="L1794" s="1664" t="s">
        <v>2293</v>
      </c>
      <c r="M1794" s="1665">
        <v>1.7089E-2</v>
      </c>
      <c r="N1794" s="1666">
        <v>1.5771635863927813</v>
      </c>
      <c r="O1794" s="1666"/>
    </row>
    <row r="1795" spans="11:15">
      <c r="K1795" s="1663">
        <v>43852</v>
      </c>
      <c r="L1795" s="1664" t="s">
        <v>2293</v>
      </c>
      <c r="M1795" s="1665">
        <v>1.7089E-2</v>
      </c>
      <c r="N1795" s="1666">
        <v>1.5774331078780599</v>
      </c>
      <c r="O1795" s="1666"/>
    </row>
    <row r="1796" spans="11:15">
      <c r="K1796" s="1663">
        <v>43853</v>
      </c>
      <c r="L1796" s="1664" t="s">
        <v>2293</v>
      </c>
      <c r="M1796" s="1665">
        <v>1.7089E-2</v>
      </c>
      <c r="N1796" s="1666">
        <v>1.577702675421865</v>
      </c>
      <c r="O1796" s="1666"/>
    </row>
    <row r="1797" spans="11:15">
      <c r="K1797" s="1663">
        <v>43854</v>
      </c>
      <c r="L1797" s="1664" t="s">
        <v>2293</v>
      </c>
      <c r="M1797" s="1665">
        <v>1.7089E-2</v>
      </c>
      <c r="N1797" s="1666">
        <v>1.5779722890320678</v>
      </c>
      <c r="O1797" s="1666"/>
    </row>
    <row r="1798" spans="11:15">
      <c r="K1798" s="1663">
        <v>43855</v>
      </c>
      <c r="L1798" s="1664"/>
      <c r="M1798" s="1665">
        <v>0</v>
      </c>
      <c r="N1798" s="1666">
        <v>1.5779722890320678</v>
      </c>
      <c r="O1798" s="1666"/>
    </row>
    <row r="1799" spans="11:15">
      <c r="K1799" s="1663">
        <v>43856</v>
      </c>
      <c r="L1799" s="1664"/>
      <c r="M1799" s="1665">
        <v>0</v>
      </c>
      <c r="N1799" s="1666">
        <v>1.5779722890320678</v>
      </c>
      <c r="O1799" s="1666"/>
    </row>
    <row r="1800" spans="11:15">
      <c r="K1800" s="1663">
        <v>43857</v>
      </c>
      <c r="L1800" s="1664" t="s">
        <v>2293</v>
      </c>
      <c r="M1800" s="1665">
        <v>1.7089E-2</v>
      </c>
      <c r="N1800" s="1666">
        <v>1.5782419487165404</v>
      </c>
      <c r="O1800" s="1666"/>
    </row>
    <row r="1801" spans="11:15">
      <c r="K1801" s="1663">
        <v>43858</v>
      </c>
      <c r="L1801" s="1664" t="s">
        <v>2293</v>
      </c>
      <c r="M1801" s="1665">
        <v>1.7089E-2</v>
      </c>
      <c r="N1801" s="1666">
        <v>1.5785116544831566</v>
      </c>
      <c r="O1801" s="1666"/>
    </row>
    <row r="1802" spans="11:15">
      <c r="K1802" s="1663">
        <v>43859</v>
      </c>
      <c r="L1802" s="1664" t="s">
        <v>2293</v>
      </c>
      <c r="M1802" s="1665">
        <v>1.7089E-2</v>
      </c>
      <c r="N1802" s="1666">
        <v>1.5787814063397911</v>
      </c>
      <c r="O1802" s="1666"/>
    </row>
    <row r="1803" spans="11:15">
      <c r="K1803" s="1663">
        <v>43860</v>
      </c>
      <c r="L1803" s="1664" t="s">
        <v>2293</v>
      </c>
      <c r="M1803" s="1665">
        <v>1.7089E-2</v>
      </c>
      <c r="N1803" s="1666">
        <v>1.5790512042943203</v>
      </c>
      <c r="O1803" s="1666"/>
    </row>
    <row r="1804" spans="11:15">
      <c r="K1804" s="1663">
        <v>43861</v>
      </c>
      <c r="L1804" s="1664" t="s">
        <v>2293</v>
      </c>
      <c r="M1804" s="1665">
        <v>1.7089E-2</v>
      </c>
      <c r="N1804" s="1666">
        <v>1.5793210483546221</v>
      </c>
      <c r="O1804" s="1666"/>
    </row>
    <row r="1805" spans="11:15">
      <c r="K1805" s="1663">
        <v>43862</v>
      </c>
      <c r="L1805" s="1664"/>
      <c r="M1805" s="1665">
        <v>0</v>
      </c>
      <c r="N1805" s="1666">
        <v>1.5793210483546221</v>
      </c>
      <c r="O1805" s="1666"/>
    </row>
    <row r="1806" spans="11:15">
      <c r="K1806" s="1663">
        <v>43863</v>
      </c>
      <c r="L1806" s="1664"/>
      <c r="M1806" s="1665">
        <v>0</v>
      </c>
      <c r="N1806" s="1666">
        <v>1.5793210483546221</v>
      </c>
      <c r="O1806" s="1666"/>
    </row>
    <row r="1807" spans="11:15">
      <c r="K1807" s="1663">
        <v>43864</v>
      </c>
      <c r="L1807" s="1664" t="s">
        <v>2293</v>
      </c>
      <c r="M1807" s="1665">
        <v>1.7089E-2</v>
      </c>
      <c r="N1807" s="1666">
        <v>1.5795909385285754</v>
      </c>
      <c r="O1807" s="1666"/>
    </row>
    <row r="1808" spans="11:15">
      <c r="K1808" s="1663">
        <v>43865</v>
      </c>
      <c r="L1808" s="1664" t="s">
        <v>2293</v>
      </c>
      <c r="M1808" s="1665">
        <v>1.7089E-2</v>
      </c>
      <c r="N1808" s="1666">
        <v>1.5798608748240603</v>
      </c>
      <c r="O1808" s="1666"/>
    </row>
    <row r="1809" spans="11:15">
      <c r="K1809" s="1663">
        <v>43866</v>
      </c>
      <c r="L1809" s="1664" t="s">
        <v>2293</v>
      </c>
      <c r="M1809" s="1665">
        <v>1.7089E-2</v>
      </c>
      <c r="N1809" s="1666">
        <v>1.580130857248959</v>
      </c>
      <c r="O1809" s="1666"/>
    </row>
    <row r="1810" spans="11:15">
      <c r="K1810" s="1663">
        <v>43867</v>
      </c>
      <c r="L1810" s="1664" t="s">
        <v>2293</v>
      </c>
      <c r="M1810" s="1665">
        <v>1.6136999999999999E-2</v>
      </c>
      <c r="N1810" s="1666">
        <v>1.5803858429653934</v>
      </c>
      <c r="O1810" s="1666"/>
    </row>
    <row r="1811" spans="11:15">
      <c r="K1811" s="1663">
        <v>43868</v>
      </c>
      <c r="L1811" s="1664" t="s">
        <v>2293</v>
      </c>
      <c r="M1811" s="1665">
        <v>1.6136999999999999E-2</v>
      </c>
      <c r="N1811" s="1666">
        <v>1.5806408698288728</v>
      </c>
      <c r="O1811" s="1666"/>
    </row>
    <row r="1812" spans="11:15">
      <c r="K1812" s="1663">
        <v>43869</v>
      </c>
      <c r="L1812" s="1664"/>
      <c r="M1812" s="1665">
        <v>0</v>
      </c>
      <c r="N1812" s="1666">
        <v>1.5806408698288728</v>
      </c>
      <c r="O1812" s="1666"/>
    </row>
    <row r="1813" spans="11:15">
      <c r="K1813" s="1663">
        <v>43870</v>
      </c>
      <c r="L1813" s="1664"/>
      <c r="M1813" s="1665">
        <v>0</v>
      </c>
      <c r="N1813" s="1666">
        <v>1.5806408698288728</v>
      </c>
      <c r="O1813" s="1666"/>
    </row>
    <row r="1814" spans="11:15">
      <c r="K1814" s="1663">
        <v>43871</v>
      </c>
      <c r="L1814" s="1664" t="s">
        <v>2293</v>
      </c>
      <c r="M1814" s="1665">
        <v>1.6136999999999999E-2</v>
      </c>
      <c r="N1814" s="1666">
        <v>1.5808959378460372</v>
      </c>
      <c r="O1814" s="1666"/>
    </row>
    <row r="1815" spans="11:15">
      <c r="K1815" s="1663">
        <v>43872</v>
      </c>
      <c r="L1815" s="1664" t="s">
        <v>2293</v>
      </c>
      <c r="M1815" s="1665">
        <v>1.6136999999999999E-2</v>
      </c>
      <c r="N1815" s="1666">
        <v>1.5811510470235275</v>
      </c>
      <c r="O1815" s="1666"/>
    </row>
    <row r="1816" spans="11:15">
      <c r="K1816" s="1663">
        <v>43873</v>
      </c>
      <c r="L1816" s="1664" t="s">
        <v>2293</v>
      </c>
      <c r="M1816" s="1665">
        <v>1.6136999999999999E-2</v>
      </c>
      <c r="N1816" s="1666">
        <v>1.5814061973679858</v>
      </c>
      <c r="O1816" s="1666"/>
    </row>
    <row r="1817" spans="11:15">
      <c r="K1817" s="1663">
        <v>43874</v>
      </c>
      <c r="L1817" s="1664" t="s">
        <v>2293</v>
      </c>
      <c r="M1817" s="1665">
        <v>1.6136999999999999E-2</v>
      </c>
      <c r="N1817" s="1666">
        <v>1.5816613888860551</v>
      </c>
      <c r="O1817" s="1666"/>
    </row>
    <row r="1818" spans="11:15">
      <c r="K1818" s="1663">
        <v>43875</v>
      </c>
      <c r="L1818" s="1664" t="s">
        <v>2293</v>
      </c>
      <c r="M1818" s="1665">
        <v>1.6136999999999999E-2</v>
      </c>
      <c r="N1818" s="1666">
        <v>1.5819166215843798</v>
      </c>
      <c r="O1818" s="1666"/>
    </row>
    <row r="1819" spans="11:15">
      <c r="K1819" s="1663">
        <v>43876</v>
      </c>
      <c r="L1819" s="1664"/>
      <c r="M1819" s="1665">
        <v>0</v>
      </c>
      <c r="N1819" s="1666">
        <v>1.5819166215843798</v>
      </c>
      <c r="O1819" s="1666"/>
    </row>
    <row r="1820" spans="11:15">
      <c r="K1820" s="1663">
        <v>43877</v>
      </c>
      <c r="L1820" s="1664"/>
      <c r="M1820" s="1665">
        <v>0</v>
      </c>
      <c r="N1820" s="1666">
        <v>1.5819166215843798</v>
      </c>
      <c r="O1820" s="1666"/>
    </row>
    <row r="1821" spans="11:15">
      <c r="K1821" s="1663">
        <v>43878</v>
      </c>
      <c r="L1821" s="1664" t="s">
        <v>2293</v>
      </c>
      <c r="M1821" s="1665">
        <v>1.6136999999999999E-2</v>
      </c>
      <c r="N1821" s="1666">
        <v>1.5821718954696049</v>
      </c>
      <c r="O1821" s="1666"/>
    </row>
    <row r="1822" spans="11:15">
      <c r="K1822" s="1663">
        <v>43879</v>
      </c>
      <c r="L1822" s="1664" t="s">
        <v>2293</v>
      </c>
      <c r="M1822" s="1665">
        <v>1.6136999999999999E-2</v>
      </c>
      <c r="N1822" s="1666">
        <v>1.582427210548377</v>
      </c>
      <c r="O1822" s="1666"/>
    </row>
    <row r="1823" spans="11:15">
      <c r="K1823" s="1663">
        <v>43880</v>
      </c>
      <c r="L1823" s="1664" t="s">
        <v>2293</v>
      </c>
      <c r="M1823" s="1665">
        <v>1.6136999999999999E-2</v>
      </c>
      <c r="N1823" s="1666">
        <v>1.5826825668273432</v>
      </c>
      <c r="O1823" s="1666"/>
    </row>
    <row r="1824" spans="11:15">
      <c r="K1824" s="1663">
        <v>43881</v>
      </c>
      <c r="L1824" s="1664" t="s">
        <v>2293</v>
      </c>
      <c r="M1824" s="1665">
        <v>1.6136999999999999E-2</v>
      </c>
      <c r="N1824" s="1666">
        <v>1.5829379643131523</v>
      </c>
      <c r="O1824" s="1666"/>
    </row>
    <row r="1825" spans="11:15">
      <c r="K1825" s="1663">
        <v>43882</v>
      </c>
      <c r="L1825" s="1664" t="s">
        <v>2293</v>
      </c>
      <c r="M1825" s="1665">
        <v>1.6136999999999999E-2</v>
      </c>
      <c r="N1825" s="1666">
        <v>1.5831934030124535</v>
      </c>
      <c r="O1825" s="1666"/>
    </row>
    <row r="1826" spans="11:15">
      <c r="K1826" s="1663">
        <v>43883</v>
      </c>
      <c r="L1826" s="1664"/>
      <c r="M1826" s="1665">
        <v>0</v>
      </c>
      <c r="N1826" s="1666">
        <v>1.5831934030124535</v>
      </c>
      <c r="O1826" s="1666"/>
    </row>
    <row r="1827" spans="11:15">
      <c r="K1827" s="1663">
        <v>43884</v>
      </c>
      <c r="L1827" s="1664"/>
      <c r="M1827" s="1665">
        <v>0</v>
      </c>
      <c r="N1827" s="1666">
        <v>1.5831934030124535</v>
      </c>
      <c r="O1827" s="1666"/>
    </row>
    <row r="1828" spans="11:15">
      <c r="K1828" s="1663">
        <v>43885</v>
      </c>
      <c r="L1828" s="1664"/>
      <c r="M1828" s="1665">
        <v>0</v>
      </c>
      <c r="N1828" s="1666">
        <v>1.5831934030124535</v>
      </c>
      <c r="O1828" s="1666"/>
    </row>
    <row r="1829" spans="11:15">
      <c r="K1829" s="1663">
        <v>43886</v>
      </c>
      <c r="L1829" s="1664"/>
      <c r="M1829" s="1665">
        <v>0</v>
      </c>
      <c r="N1829" s="1666">
        <v>1.5831934030124535</v>
      </c>
      <c r="O1829" s="1666"/>
    </row>
    <row r="1830" spans="11:15">
      <c r="K1830" s="1663">
        <v>43887</v>
      </c>
      <c r="L1830" s="1664" t="s">
        <v>2293</v>
      </c>
      <c r="M1830" s="1665">
        <v>1.6136999999999999E-2</v>
      </c>
      <c r="N1830" s="1666">
        <v>1.5834488829318978</v>
      </c>
      <c r="O1830" s="1666"/>
    </row>
    <row r="1831" spans="11:15">
      <c r="K1831" s="1663">
        <v>43888</v>
      </c>
      <c r="L1831" s="1664" t="s">
        <v>2293</v>
      </c>
      <c r="M1831" s="1665">
        <v>1.6136999999999999E-2</v>
      </c>
      <c r="N1831" s="1666">
        <v>1.5837044040781365</v>
      </c>
      <c r="O1831" s="1666"/>
    </row>
    <row r="1832" spans="11:15">
      <c r="K1832" s="1663">
        <v>43889</v>
      </c>
      <c r="L1832" s="1664" t="s">
        <v>2293</v>
      </c>
      <c r="M1832" s="1665">
        <v>1.6136999999999999E-2</v>
      </c>
      <c r="N1832" s="1666">
        <v>1.5839599664578228</v>
      </c>
      <c r="O1832" s="1666"/>
    </row>
    <row r="1833" spans="11:15">
      <c r="K1833" s="1663">
        <v>43890</v>
      </c>
      <c r="L1833" s="1664"/>
      <c r="M1833" s="1665">
        <v>0</v>
      </c>
      <c r="N1833" s="1666">
        <v>1.5839599664578228</v>
      </c>
      <c r="O1833" s="1666"/>
    </row>
    <row r="1834" spans="11:15">
      <c r="K1834" s="1663">
        <v>43891</v>
      </c>
      <c r="L1834" s="1664"/>
      <c r="M1834" s="1665">
        <v>0</v>
      </c>
      <c r="N1834" s="1666">
        <v>1.5839599664578228</v>
      </c>
      <c r="O1834" s="1666"/>
    </row>
    <row r="1835" spans="11:15">
      <c r="K1835" s="1663">
        <v>43892</v>
      </c>
      <c r="L1835" s="1664" t="s">
        <v>2293</v>
      </c>
      <c r="M1835" s="1665">
        <v>1.6136999999999999E-2</v>
      </c>
      <c r="N1835" s="1666">
        <v>1.5842155700776102</v>
      </c>
      <c r="O1835" s="1666"/>
    </row>
    <row r="1836" spans="11:15">
      <c r="K1836" s="1663">
        <v>43893</v>
      </c>
      <c r="L1836" s="1664" t="s">
        <v>2293</v>
      </c>
      <c r="M1836" s="1665">
        <v>1.6136999999999999E-2</v>
      </c>
      <c r="N1836" s="1666">
        <v>1.5844712149441535</v>
      </c>
      <c r="O1836" s="1666"/>
    </row>
    <row r="1837" spans="11:15">
      <c r="K1837" s="1663">
        <v>43894</v>
      </c>
      <c r="L1837" s="1664" t="s">
        <v>2293</v>
      </c>
      <c r="M1837" s="1665">
        <v>1.6136999999999999E-2</v>
      </c>
      <c r="N1837" s="1666">
        <v>1.5847269010641092</v>
      </c>
      <c r="O1837" s="1666"/>
    </row>
    <row r="1838" spans="11:15">
      <c r="K1838" s="1663">
        <v>43895</v>
      </c>
      <c r="L1838" s="1664" t="s">
        <v>2293</v>
      </c>
      <c r="M1838" s="1665">
        <v>1.6136999999999999E-2</v>
      </c>
      <c r="N1838" s="1666">
        <v>1.584982628444134</v>
      </c>
      <c r="O1838" s="1666"/>
    </row>
    <row r="1839" spans="11:15">
      <c r="K1839" s="1663">
        <v>43896</v>
      </c>
      <c r="L1839" s="1664" t="s">
        <v>2293</v>
      </c>
      <c r="M1839" s="1665">
        <v>1.6136999999999999E-2</v>
      </c>
      <c r="N1839" s="1666">
        <v>1.5852383970908861</v>
      </c>
      <c r="O1839" s="1666"/>
    </row>
    <row r="1840" spans="11:15">
      <c r="K1840" s="1663">
        <v>43897</v>
      </c>
      <c r="L1840" s="1664"/>
      <c r="M1840" s="1665">
        <v>0</v>
      </c>
      <c r="N1840" s="1666">
        <v>1.5852383970908861</v>
      </c>
      <c r="O1840" s="1666"/>
    </row>
    <row r="1841" spans="11:15">
      <c r="K1841" s="1663">
        <v>43898</v>
      </c>
      <c r="L1841" s="1664"/>
      <c r="M1841" s="1665">
        <v>0</v>
      </c>
      <c r="N1841" s="1666">
        <v>1.5852383970908861</v>
      </c>
      <c r="O1841" s="1666"/>
    </row>
    <row r="1842" spans="11:15">
      <c r="K1842" s="1663">
        <v>43899</v>
      </c>
      <c r="L1842" s="1664" t="s">
        <v>2293</v>
      </c>
      <c r="M1842" s="1665">
        <v>1.6136999999999999E-2</v>
      </c>
      <c r="N1842" s="1666">
        <v>1.5854942070110247</v>
      </c>
      <c r="O1842" s="1666"/>
    </row>
    <row r="1843" spans="11:15">
      <c r="K1843" s="1663">
        <v>43900</v>
      </c>
      <c r="L1843" s="1664" t="s">
        <v>2293</v>
      </c>
      <c r="M1843" s="1665">
        <v>1.6136999999999999E-2</v>
      </c>
      <c r="N1843" s="1666">
        <v>1.5857500582112101</v>
      </c>
      <c r="O1843" s="1666"/>
    </row>
    <row r="1844" spans="11:15">
      <c r="K1844" s="1663">
        <v>43901</v>
      </c>
      <c r="L1844" s="1664" t="s">
        <v>2293</v>
      </c>
      <c r="M1844" s="1665">
        <v>1.6136999999999999E-2</v>
      </c>
      <c r="N1844" s="1666">
        <v>1.5860059506981037</v>
      </c>
      <c r="O1844" s="1666"/>
    </row>
    <row r="1845" spans="11:15">
      <c r="K1845" s="1663">
        <v>43902</v>
      </c>
      <c r="L1845" s="1664" t="s">
        <v>2293</v>
      </c>
      <c r="M1845" s="1665">
        <v>1.6136999999999999E-2</v>
      </c>
      <c r="N1845" s="1666">
        <v>1.586261884478368</v>
      </c>
      <c r="O1845" s="1666"/>
    </row>
    <row r="1846" spans="11:15">
      <c r="K1846" s="1663">
        <v>43903</v>
      </c>
      <c r="L1846" s="1664" t="s">
        <v>2293</v>
      </c>
      <c r="M1846" s="1665">
        <v>1.6136999999999999E-2</v>
      </c>
      <c r="N1846" s="1666">
        <v>1.5865178595586664</v>
      </c>
      <c r="O1846" s="1666"/>
    </row>
    <row r="1847" spans="11:15">
      <c r="K1847" s="1663">
        <v>43904</v>
      </c>
      <c r="L1847" s="1664"/>
      <c r="M1847" s="1665">
        <v>0</v>
      </c>
      <c r="N1847" s="1666">
        <v>1.5865178595586664</v>
      </c>
      <c r="O1847" s="1666"/>
    </row>
    <row r="1848" spans="11:15">
      <c r="K1848" s="1663">
        <v>43905</v>
      </c>
      <c r="L1848" s="1664"/>
      <c r="M1848" s="1665">
        <v>0</v>
      </c>
      <c r="N1848" s="1666">
        <v>1.5865178595586664</v>
      </c>
      <c r="O1848" s="1666"/>
    </row>
    <row r="1849" spans="11:15">
      <c r="K1849" s="1663">
        <v>43906</v>
      </c>
      <c r="L1849" s="1664" t="s">
        <v>2293</v>
      </c>
      <c r="M1849" s="1665">
        <v>1.6136999999999999E-2</v>
      </c>
      <c r="N1849" s="1666">
        <v>1.5867738759456635</v>
      </c>
      <c r="O1849" s="1666"/>
    </row>
    <row r="1850" spans="11:15">
      <c r="K1850" s="1663">
        <v>43907</v>
      </c>
      <c r="L1850" s="1664" t="s">
        <v>2293</v>
      </c>
      <c r="M1850" s="1665">
        <v>1.6136999999999999E-2</v>
      </c>
      <c r="N1850" s="1666">
        <v>1.587029933646025</v>
      </c>
      <c r="O1850" s="1666"/>
    </row>
    <row r="1851" spans="11:15">
      <c r="K1851" s="1663">
        <v>43908</v>
      </c>
      <c r="L1851" s="1664" t="s">
        <v>2293</v>
      </c>
      <c r="M1851" s="1665">
        <v>1.6136999999999999E-2</v>
      </c>
      <c r="N1851" s="1666">
        <v>1.5872860326664175</v>
      </c>
      <c r="O1851" s="1666"/>
    </row>
    <row r="1852" spans="11:15">
      <c r="K1852" s="1663">
        <v>43909</v>
      </c>
      <c r="L1852" s="1664" t="s">
        <v>2293</v>
      </c>
      <c r="M1852" s="1665">
        <v>1.4227E-2</v>
      </c>
      <c r="N1852" s="1666">
        <v>1.587511855850285</v>
      </c>
      <c r="O1852" s="1666"/>
    </row>
    <row r="1853" spans="11:15">
      <c r="K1853" s="1663">
        <v>43910</v>
      </c>
      <c r="L1853" s="1664" t="s">
        <v>2293</v>
      </c>
      <c r="M1853" s="1665">
        <v>1.4227E-2</v>
      </c>
      <c r="N1853" s="1666">
        <v>1.5877377111620168</v>
      </c>
      <c r="O1853" s="1666"/>
    </row>
    <row r="1854" spans="11:15">
      <c r="K1854" s="1663">
        <v>43911</v>
      </c>
      <c r="L1854" s="1664"/>
      <c r="M1854" s="1665">
        <v>0</v>
      </c>
      <c r="N1854" s="1666">
        <v>1.5877377111620168</v>
      </c>
      <c r="O1854" s="1666"/>
    </row>
    <row r="1855" spans="11:15">
      <c r="K1855" s="1663">
        <v>43912</v>
      </c>
      <c r="L1855" s="1664"/>
      <c r="M1855" s="1665">
        <v>0</v>
      </c>
      <c r="N1855" s="1666">
        <v>1.5877377111620168</v>
      </c>
      <c r="O1855" s="1666"/>
    </row>
    <row r="1856" spans="11:15">
      <c r="K1856" s="1663">
        <v>43913</v>
      </c>
      <c r="L1856" s="1664" t="s">
        <v>2293</v>
      </c>
      <c r="M1856" s="1665">
        <v>1.4227E-2</v>
      </c>
      <c r="N1856" s="1666">
        <v>1.5879635986061837</v>
      </c>
      <c r="O1856" s="1666"/>
    </row>
    <row r="1857" spans="11:15">
      <c r="K1857" s="1663">
        <v>43914</v>
      </c>
      <c r="L1857" s="1664" t="s">
        <v>2293</v>
      </c>
      <c r="M1857" s="1665">
        <v>1.4227E-2</v>
      </c>
      <c r="N1857" s="1666">
        <v>1.5881895181873575</v>
      </c>
      <c r="O1857" s="1666"/>
    </row>
    <row r="1858" spans="11:15">
      <c r="K1858" s="1663">
        <v>43915</v>
      </c>
      <c r="L1858" s="1664" t="s">
        <v>2293</v>
      </c>
      <c r="M1858" s="1665">
        <v>1.4227E-2</v>
      </c>
      <c r="N1858" s="1666">
        <v>1.5884154699101101</v>
      </c>
      <c r="O1858" s="1666"/>
    </row>
    <row r="1859" spans="11:15">
      <c r="K1859" s="1663">
        <v>43916</v>
      </c>
      <c r="L1859" s="1664" t="s">
        <v>2293</v>
      </c>
      <c r="M1859" s="1665">
        <v>1.4227E-2</v>
      </c>
      <c r="N1859" s="1666">
        <v>1.5886414537790141</v>
      </c>
      <c r="O1859" s="1666"/>
    </row>
    <row r="1860" spans="11:15">
      <c r="K1860" s="1663">
        <v>43917</v>
      </c>
      <c r="L1860" s="1664" t="s">
        <v>2293</v>
      </c>
      <c r="M1860" s="1665">
        <v>1.4227E-2</v>
      </c>
      <c r="N1860" s="1666">
        <v>1.5888674697986434</v>
      </c>
      <c r="O1860" s="1666"/>
    </row>
    <row r="1861" spans="11:15">
      <c r="K1861" s="1663">
        <v>43918</v>
      </c>
      <c r="L1861" s="1664"/>
      <c r="M1861" s="1665">
        <v>0</v>
      </c>
      <c r="N1861" s="1666">
        <v>1.5888674697986434</v>
      </c>
      <c r="O1861" s="1666"/>
    </row>
    <row r="1862" spans="11:15">
      <c r="K1862" s="1663">
        <v>43919</v>
      </c>
      <c r="L1862" s="1664"/>
      <c r="M1862" s="1665">
        <v>0</v>
      </c>
      <c r="N1862" s="1666">
        <v>1.5888674697986434</v>
      </c>
      <c r="O1862" s="1666"/>
    </row>
    <row r="1863" spans="11:15">
      <c r="K1863" s="1663">
        <v>43920</v>
      </c>
      <c r="L1863" s="1664" t="s">
        <v>2293</v>
      </c>
      <c r="M1863" s="1665">
        <v>1.4227E-2</v>
      </c>
      <c r="N1863" s="1666">
        <v>1.5890935179735717</v>
      </c>
      <c r="O1863" s="1666"/>
    </row>
    <row r="1864" spans="11:15">
      <c r="K1864" s="1663">
        <v>43921</v>
      </c>
      <c r="L1864" s="1664" t="s">
        <v>2293</v>
      </c>
      <c r="M1864" s="1665">
        <v>1.4227E-2</v>
      </c>
      <c r="N1864" s="1666">
        <v>1.5893195983083739</v>
      </c>
      <c r="O1864" s="1666"/>
    </row>
    <row r="1865" spans="11:15">
      <c r="K1865" s="1663">
        <v>43922</v>
      </c>
      <c r="L1865" s="1664" t="s">
        <v>2293</v>
      </c>
      <c r="M1865" s="1665">
        <v>1.4227E-2</v>
      </c>
      <c r="N1865" s="1666">
        <v>1.5895457108076252</v>
      </c>
      <c r="O1865" s="1666"/>
    </row>
    <row r="1866" spans="11:15">
      <c r="K1866" s="1663">
        <v>43923</v>
      </c>
      <c r="L1866" s="1664" t="s">
        <v>2293</v>
      </c>
      <c r="M1866" s="1665">
        <v>1.4227E-2</v>
      </c>
      <c r="N1866" s="1666">
        <v>1.5897718554759017</v>
      </c>
      <c r="O1866" s="1666"/>
    </row>
    <row r="1867" spans="11:15">
      <c r="K1867" s="1663">
        <v>43924</v>
      </c>
      <c r="L1867" s="1664" t="s">
        <v>2293</v>
      </c>
      <c r="M1867" s="1665">
        <v>1.4227E-2</v>
      </c>
      <c r="N1867" s="1666">
        <v>1.5899980323177803</v>
      </c>
      <c r="O1867" s="1666"/>
    </row>
    <row r="1868" spans="11:15">
      <c r="K1868" s="1663">
        <v>43925</v>
      </c>
      <c r="L1868" s="1664"/>
      <c r="M1868" s="1665">
        <v>0</v>
      </c>
      <c r="N1868" s="1666">
        <v>1.5899980323177803</v>
      </c>
      <c r="O1868" s="1666"/>
    </row>
    <row r="1869" spans="11:15">
      <c r="K1869" s="1663">
        <v>43926</v>
      </c>
      <c r="L1869" s="1664"/>
      <c r="M1869" s="1665">
        <v>0</v>
      </c>
      <c r="N1869" s="1666">
        <v>1.5899980323177803</v>
      </c>
      <c r="O1869" s="1666"/>
    </row>
    <row r="1870" spans="11:15">
      <c r="K1870" s="1663">
        <v>43927</v>
      </c>
      <c r="L1870" s="1664" t="s">
        <v>2293</v>
      </c>
      <c r="M1870" s="1665">
        <v>1.4227E-2</v>
      </c>
      <c r="N1870" s="1666">
        <v>1.590224241337838</v>
      </c>
      <c r="O1870" s="1666"/>
    </row>
    <row r="1871" spans="11:15">
      <c r="K1871" s="1663">
        <v>43928</v>
      </c>
      <c r="L1871" s="1664" t="s">
        <v>2293</v>
      </c>
      <c r="M1871" s="1665">
        <v>1.4227E-2</v>
      </c>
      <c r="N1871" s="1666">
        <v>1.5904504825406531</v>
      </c>
      <c r="O1871" s="1666"/>
    </row>
    <row r="1872" spans="11:15">
      <c r="K1872" s="1663">
        <v>43929</v>
      </c>
      <c r="L1872" s="1664" t="s">
        <v>2293</v>
      </c>
      <c r="M1872" s="1665">
        <v>1.4227E-2</v>
      </c>
      <c r="N1872" s="1666">
        <v>1.5906767559308042</v>
      </c>
      <c r="O1872" s="1666"/>
    </row>
    <row r="1873" spans="11:15">
      <c r="K1873" s="1663">
        <v>43930</v>
      </c>
      <c r="L1873" s="1664" t="s">
        <v>2293</v>
      </c>
      <c r="M1873" s="1665">
        <v>1.4227E-2</v>
      </c>
      <c r="N1873" s="1666">
        <v>1.5909030615128705</v>
      </c>
      <c r="O1873" s="1666"/>
    </row>
    <row r="1874" spans="11:15">
      <c r="K1874" s="1663">
        <v>43931</v>
      </c>
      <c r="L1874" s="1664"/>
      <c r="M1874" s="1665">
        <v>0</v>
      </c>
      <c r="N1874" s="1666">
        <v>1.5909030615128705</v>
      </c>
      <c r="O1874" s="1666"/>
    </row>
    <row r="1875" spans="11:15">
      <c r="K1875" s="1663">
        <v>43932</v>
      </c>
      <c r="L1875" s="1664"/>
      <c r="M1875" s="1665">
        <v>0</v>
      </c>
      <c r="N1875" s="1666">
        <v>1.5909030615128705</v>
      </c>
      <c r="O1875" s="1666"/>
    </row>
    <row r="1876" spans="11:15">
      <c r="K1876" s="1663">
        <v>43933</v>
      </c>
      <c r="L1876" s="1664"/>
      <c r="M1876" s="1665">
        <v>0</v>
      </c>
      <c r="N1876" s="1666">
        <v>1.5909030615128705</v>
      </c>
      <c r="O1876" s="1666"/>
    </row>
    <row r="1877" spans="11:15">
      <c r="K1877" s="1663">
        <v>43934</v>
      </c>
      <c r="L1877" s="1664" t="s">
        <v>2293</v>
      </c>
      <c r="M1877" s="1665">
        <v>1.4227E-2</v>
      </c>
      <c r="N1877" s="1666">
        <v>1.5911293992914319</v>
      </c>
      <c r="O1877" s="1666"/>
    </row>
    <row r="1878" spans="11:15">
      <c r="K1878" s="1663">
        <v>43935</v>
      </c>
      <c r="L1878" s="1664" t="s">
        <v>2293</v>
      </c>
      <c r="M1878" s="1665">
        <v>1.4227E-2</v>
      </c>
      <c r="N1878" s="1666">
        <v>1.5913557692710691</v>
      </c>
      <c r="O1878" s="1666"/>
    </row>
    <row r="1879" spans="11:15">
      <c r="K1879" s="1663">
        <v>43936</v>
      </c>
      <c r="L1879" s="1664" t="s">
        <v>2293</v>
      </c>
      <c r="M1879" s="1665">
        <v>1.4227E-2</v>
      </c>
      <c r="N1879" s="1666">
        <v>1.5915821714563634</v>
      </c>
      <c r="O1879" s="1666"/>
    </row>
    <row r="1880" spans="11:15">
      <c r="K1880" s="1663">
        <v>43937</v>
      </c>
      <c r="L1880" s="1664" t="s">
        <v>2293</v>
      </c>
      <c r="M1880" s="1665">
        <v>1.4227E-2</v>
      </c>
      <c r="N1880" s="1666">
        <v>1.5918086058518965</v>
      </c>
      <c r="O1880" s="1666"/>
    </row>
    <row r="1881" spans="11:15">
      <c r="K1881" s="1663">
        <v>43938</v>
      </c>
      <c r="L1881" s="1664" t="s">
        <v>2293</v>
      </c>
      <c r="M1881" s="1665">
        <v>1.4227E-2</v>
      </c>
      <c r="N1881" s="1666">
        <v>1.5920350724622512</v>
      </c>
      <c r="O1881" s="1666"/>
    </row>
    <row r="1882" spans="11:15">
      <c r="K1882" s="1663">
        <v>43939</v>
      </c>
      <c r="L1882" s="1664"/>
      <c r="M1882" s="1665">
        <v>0</v>
      </c>
      <c r="N1882" s="1666">
        <v>1.5920350724622512</v>
      </c>
      <c r="O1882" s="1666"/>
    </row>
    <row r="1883" spans="11:15">
      <c r="K1883" s="1663">
        <v>43940</v>
      </c>
      <c r="L1883" s="1664"/>
      <c r="M1883" s="1665">
        <v>0</v>
      </c>
      <c r="N1883" s="1666">
        <v>1.5920350724622512</v>
      </c>
      <c r="O1883" s="1666"/>
    </row>
    <row r="1884" spans="11:15">
      <c r="K1884" s="1663">
        <v>43941</v>
      </c>
      <c r="L1884" s="1664" t="s">
        <v>2293</v>
      </c>
      <c r="M1884" s="1665">
        <v>1.4227E-2</v>
      </c>
      <c r="N1884" s="1666">
        <v>1.5922615712920103</v>
      </c>
      <c r="O1884" s="1666"/>
    </row>
    <row r="1885" spans="11:15">
      <c r="K1885" s="1663">
        <v>43942</v>
      </c>
      <c r="L1885" s="1664"/>
      <c r="M1885" s="1665">
        <v>0</v>
      </c>
      <c r="N1885" s="1666">
        <v>1.5922615712920103</v>
      </c>
      <c r="O1885" s="1666"/>
    </row>
    <row r="1886" spans="11:15">
      <c r="K1886" s="1663">
        <v>43943</v>
      </c>
      <c r="L1886" s="1664" t="s">
        <v>2293</v>
      </c>
      <c r="M1886" s="1665">
        <v>1.4227E-2</v>
      </c>
      <c r="N1886" s="1666">
        <v>1.592488102345758</v>
      </c>
      <c r="O1886" s="1666"/>
    </row>
    <row r="1887" spans="11:15">
      <c r="K1887" s="1663">
        <v>43944</v>
      </c>
      <c r="L1887" s="1664" t="s">
        <v>2293</v>
      </c>
      <c r="M1887" s="1665">
        <v>1.4227E-2</v>
      </c>
      <c r="N1887" s="1666">
        <v>1.5927146656280786</v>
      </c>
      <c r="O1887" s="1666"/>
    </row>
    <row r="1888" spans="11:15">
      <c r="K1888" s="1663">
        <v>43945</v>
      </c>
      <c r="L1888" s="1664" t="s">
        <v>2293</v>
      </c>
      <c r="M1888" s="1665">
        <v>1.4227E-2</v>
      </c>
      <c r="N1888" s="1666">
        <v>1.5929412611435576</v>
      </c>
      <c r="O1888" s="1666"/>
    </row>
    <row r="1889" spans="11:15">
      <c r="K1889" s="1663">
        <v>43946</v>
      </c>
      <c r="L1889" s="1664"/>
      <c r="M1889" s="1665">
        <v>0</v>
      </c>
      <c r="N1889" s="1666">
        <v>1.5929412611435576</v>
      </c>
      <c r="O1889" s="1666"/>
    </row>
    <row r="1890" spans="11:15">
      <c r="K1890" s="1663">
        <v>43947</v>
      </c>
      <c r="L1890" s="1664"/>
      <c r="M1890" s="1665">
        <v>0</v>
      </c>
      <c r="N1890" s="1666">
        <v>1.5929412611435576</v>
      </c>
      <c r="O1890" s="1666"/>
    </row>
    <row r="1891" spans="11:15">
      <c r="K1891" s="1663">
        <v>43948</v>
      </c>
      <c r="L1891" s="1664" t="s">
        <v>2293</v>
      </c>
      <c r="M1891" s="1665">
        <v>1.4227E-2</v>
      </c>
      <c r="N1891" s="1666">
        <v>1.5931678888967804</v>
      </c>
      <c r="O1891" s="1666"/>
    </row>
    <row r="1892" spans="11:15">
      <c r="K1892" s="1663">
        <v>43949</v>
      </c>
      <c r="L1892" s="1664" t="s">
        <v>2293</v>
      </c>
      <c r="M1892" s="1665">
        <v>1.4227E-2</v>
      </c>
      <c r="N1892" s="1666">
        <v>1.5933945488923338</v>
      </c>
      <c r="O1892" s="1666"/>
    </row>
    <row r="1893" spans="11:15">
      <c r="K1893" s="1663">
        <v>43950</v>
      </c>
      <c r="L1893" s="1664" t="s">
        <v>2293</v>
      </c>
      <c r="M1893" s="1665">
        <v>1.4227E-2</v>
      </c>
      <c r="N1893" s="1666">
        <v>1.5936212411348047</v>
      </c>
      <c r="O1893" s="1666"/>
    </row>
    <row r="1894" spans="11:15">
      <c r="K1894" s="1663">
        <v>43951</v>
      </c>
      <c r="L1894" s="1664" t="s">
        <v>2293</v>
      </c>
      <c r="M1894" s="1665">
        <v>1.4227E-2</v>
      </c>
      <c r="N1894" s="1666">
        <v>1.5938479656287809</v>
      </c>
      <c r="O1894" s="1666"/>
    </row>
    <row r="1895" spans="11:15">
      <c r="K1895" s="1663">
        <v>43952</v>
      </c>
      <c r="L1895" s="1664"/>
      <c r="M1895" s="1665">
        <v>0</v>
      </c>
      <c r="N1895" s="1666">
        <v>1.5938479656287809</v>
      </c>
      <c r="O1895" s="1666"/>
    </row>
    <row r="1896" spans="11:15">
      <c r="K1896" s="1663">
        <v>43953</v>
      </c>
      <c r="L1896" s="1664"/>
      <c r="M1896" s="1665">
        <v>0</v>
      </c>
      <c r="N1896" s="1666">
        <v>1.5938479656287809</v>
      </c>
      <c r="O1896" s="1666"/>
    </row>
    <row r="1897" spans="11:15">
      <c r="K1897" s="1663">
        <v>43954</v>
      </c>
      <c r="L1897" s="1664"/>
      <c r="M1897" s="1665">
        <v>0</v>
      </c>
      <c r="N1897" s="1666">
        <v>1.5938479656287809</v>
      </c>
      <c r="O1897" s="1666"/>
    </row>
    <row r="1898" spans="11:15">
      <c r="K1898" s="1663">
        <v>43955</v>
      </c>
      <c r="L1898" s="1664" t="s">
        <v>2293</v>
      </c>
      <c r="M1898" s="1665">
        <v>1.4227E-2</v>
      </c>
      <c r="N1898" s="1666">
        <v>1.594074722378851</v>
      </c>
      <c r="O1898" s="1666"/>
    </row>
    <row r="1899" spans="11:15">
      <c r="K1899" s="1663">
        <v>43956</v>
      </c>
      <c r="L1899" s="1664" t="s">
        <v>2293</v>
      </c>
      <c r="M1899" s="1665">
        <v>1.4227E-2</v>
      </c>
      <c r="N1899" s="1666">
        <v>1.5943015113896037</v>
      </c>
      <c r="O1899" s="1666"/>
    </row>
    <row r="1900" spans="11:15">
      <c r="K1900" s="1663">
        <v>43957</v>
      </c>
      <c r="L1900" s="1664" t="s">
        <v>2293</v>
      </c>
      <c r="M1900" s="1665">
        <v>1.4227E-2</v>
      </c>
      <c r="N1900" s="1666">
        <v>1.5945283326656292</v>
      </c>
      <c r="O1900" s="1666"/>
    </row>
    <row r="1901" spans="11:15">
      <c r="K1901" s="1663">
        <v>43958</v>
      </c>
      <c r="L1901" s="1664" t="s">
        <v>2293</v>
      </c>
      <c r="M1901" s="1665">
        <v>1.1344999999999999E-2</v>
      </c>
      <c r="N1901" s="1666">
        <v>1.59470923190497</v>
      </c>
      <c r="O1901" s="1666"/>
    </row>
    <row r="1902" spans="11:15">
      <c r="K1902" s="1663">
        <v>43959</v>
      </c>
      <c r="L1902" s="1664" t="s">
        <v>2293</v>
      </c>
      <c r="M1902" s="1665">
        <v>1.1344999999999999E-2</v>
      </c>
      <c r="N1902" s="1666">
        <v>1.5948901516673295</v>
      </c>
      <c r="O1902" s="1666"/>
    </row>
    <row r="1903" spans="11:15">
      <c r="K1903" s="1663">
        <v>43960</v>
      </c>
      <c r="L1903" s="1664"/>
      <c r="M1903" s="1665">
        <v>0</v>
      </c>
      <c r="N1903" s="1666">
        <v>1.5948901516673295</v>
      </c>
      <c r="O1903" s="1666"/>
    </row>
    <row r="1904" spans="11:15">
      <c r="K1904" s="1663">
        <v>43961</v>
      </c>
      <c r="L1904" s="1664"/>
      <c r="M1904" s="1665">
        <v>0</v>
      </c>
      <c r="N1904" s="1666">
        <v>1.5948901516673295</v>
      </c>
      <c r="O1904" s="1666"/>
    </row>
    <row r="1905" spans="11:15">
      <c r="K1905" s="1663">
        <v>43962</v>
      </c>
      <c r="L1905" s="1664" t="s">
        <v>2293</v>
      </c>
      <c r="M1905" s="1665">
        <v>1.1344999999999999E-2</v>
      </c>
      <c r="N1905" s="1666">
        <v>1.5950710919550362</v>
      </c>
      <c r="O1905" s="1666"/>
    </row>
    <row r="1906" spans="11:15">
      <c r="K1906" s="1663">
        <v>43963</v>
      </c>
      <c r="L1906" s="1664" t="s">
        <v>2293</v>
      </c>
      <c r="M1906" s="1665">
        <v>1.1344999999999999E-2</v>
      </c>
      <c r="N1906" s="1666">
        <v>1.5952520527704184</v>
      </c>
      <c r="O1906" s="1666"/>
    </row>
    <row r="1907" spans="11:15">
      <c r="K1907" s="1663">
        <v>43964</v>
      </c>
      <c r="L1907" s="1664" t="s">
        <v>2293</v>
      </c>
      <c r="M1907" s="1665">
        <v>1.1344999999999999E-2</v>
      </c>
      <c r="N1907" s="1666">
        <v>1.5954330341158052</v>
      </c>
      <c r="O1907" s="1666"/>
    </row>
    <row r="1908" spans="11:15">
      <c r="K1908" s="1663">
        <v>43965</v>
      </c>
      <c r="L1908" s="1664" t="s">
        <v>2293</v>
      </c>
      <c r="M1908" s="1665">
        <v>1.1344999999999999E-2</v>
      </c>
      <c r="N1908" s="1666">
        <v>1.5956140359935256</v>
      </c>
      <c r="O1908" s="1666"/>
    </row>
    <row r="1909" spans="11:15">
      <c r="K1909" s="1663">
        <v>43966</v>
      </c>
      <c r="L1909" s="1664" t="s">
        <v>2293</v>
      </c>
      <c r="M1909" s="1665">
        <v>1.1344999999999999E-2</v>
      </c>
      <c r="N1909" s="1666">
        <v>1.5957950584059091</v>
      </c>
      <c r="O1909" s="1666"/>
    </row>
    <row r="1910" spans="11:15">
      <c r="K1910" s="1663">
        <v>43967</v>
      </c>
      <c r="L1910" s="1664"/>
      <c r="M1910" s="1665">
        <v>0</v>
      </c>
      <c r="N1910" s="1666">
        <v>1.5957950584059091</v>
      </c>
      <c r="O1910" s="1666"/>
    </row>
    <row r="1911" spans="11:15">
      <c r="K1911" s="1663">
        <v>43968</v>
      </c>
      <c r="L1911" s="1664"/>
      <c r="M1911" s="1665">
        <v>0</v>
      </c>
      <c r="N1911" s="1666">
        <v>1.5957950584059091</v>
      </c>
      <c r="O1911" s="1666"/>
    </row>
    <row r="1912" spans="11:15">
      <c r="K1912" s="1663">
        <v>43969</v>
      </c>
      <c r="L1912" s="1664" t="s">
        <v>2293</v>
      </c>
      <c r="M1912" s="1665">
        <v>1.1344999999999999E-2</v>
      </c>
      <c r="N1912" s="1666">
        <v>1.5959761013552851</v>
      </c>
      <c r="O1912" s="1666"/>
    </row>
    <row r="1913" spans="11:15">
      <c r="K1913" s="1663">
        <v>43970</v>
      </c>
      <c r="L1913" s="1664" t="s">
        <v>2293</v>
      </c>
      <c r="M1913" s="1665">
        <v>1.1344999999999999E-2</v>
      </c>
      <c r="N1913" s="1666">
        <v>1.5961571648439838</v>
      </c>
      <c r="O1913" s="1666"/>
    </row>
    <row r="1914" spans="11:15">
      <c r="K1914" s="1663">
        <v>43971</v>
      </c>
      <c r="L1914" s="1664" t="s">
        <v>2293</v>
      </c>
      <c r="M1914" s="1665">
        <v>1.1344999999999999E-2</v>
      </c>
      <c r="N1914" s="1666">
        <v>1.5963382488743354</v>
      </c>
      <c r="O1914" s="1666"/>
    </row>
    <row r="1915" spans="11:15">
      <c r="K1915" s="1663">
        <v>43972</v>
      </c>
      <c r="L1915" s="1664" t="s">
        <v>2293</v>
      </c>
      <c r="M1915" s="1665">
        <v>1.1344999999999999E-2</v>
      </c>
      <c r="N1915" s="1666">
        <v>1.5965193534486701</v>
      </c>
      <c r="O1915" s="1666"/>
    </row>
    <row r="1916" spans="11:15">
      <c r="K1916" s="1663">
        <v>43973</v>
      </c>
      <c r="L1916" s="1664" t="s">
        <v>2293</v>
      </c>
      <c r="M1916" s="1665">
        <v>1.1344999999999999E-2</v>
      </c>
      <c r="N1916" s="1666">
        <v>1.5967004785693188</v>
      </c>
      <c r="O1916" s="1666"/>
    </row>
    <row r="1917" spans="11:15">
      <c r="K1917" s="1663">
        <v>43974</v>
      </c>
      <c r="L1917" s="1664"/>
      <c r="M1917" s="1665">
        <v>0</v>
      </c>
      <c r="N1917" s="1666">
        <v>1.5967004785693188</v>
      </c>
      <c r="O1917" s="1666"/>
    </row>
    <row r="1918" spans="11:15">
      <c r="K1918" s="1663">
        <v>43975</v>
      </c>
      <c r="L1918" s="1664"/>
      <c r="M1918" s="1665">
        <v>0</v>
      </c>
      <c r="N1918" s="1666">
        <v>1.5967004785693188</v>
      </c>
      <c r="O1918" s="1666"/>
    </row>
    <row r="1919" spans="11:15">
      <c r="K1919" s="1663">
        <v>43976</v>
      </c>
      <c r="L1919" s="1664" t="s">
        <v>2293</v>
      </c>
      <c r="M1919" s="1665">
        <v>1.1344999999999999E-2</v>
      </c>
      <c r="N1919" s="1666">
        <v>1.5968816242386126</v>
      </c>
      <c r="O1919" s="1666"/>
    </row>
    <row r="1920" spans="11:15">
      <c r="K1920" s="1663">
        <v>43977</v>
      </c>
      <c r="L1920" s="1664" t="s">
        <v>2293</v>
      </c>
      <c r="M1920" s="1665">
        <v>1.1344999999999999E-2</v>
      </c>
      <c r="N1920" s="1666">
        <v>1.5970627904588823</v>
      </c>
      <c r="O1920" s="1666"/>
    </row>
    <row r="1921" spans="11:15">
      <c r="K1921" s="1663">
        <v>43978</v>
      </c>
      <c r="L1921" s="1664" t="s">
        <v>2293</v>
      </c>
      <c r="M1921" s="1665">
        <v>1.1344999999999999E-2</v>
      </c>
      <c r="N1921" s="1666">
        <v>1.5972439772324598</v>
      </c>
      <c r="O1921" s="1666"/>
    </row>
    <row r="1922" spans="11:15">
      <c r="K1922" s="1663">
        <v>43979</v>
      </c>
      <c r="L1922" s="1664" t="s">
        <v>2293</v>
      </c>
      <c r="M1922" s="1665">
        <v>1.1344999999999999E-2</v>
      </c>
      <c r="N1922" s="1666">
        <v>1.5974251845616767</v>
      </c>
      <c r="O1922" s="1666"/>
    </row>
    <row r="1923" spans="11:15">
      <c r="K1923" s="1663">
        <v>43980</v>
      </c>
      <c r="L1923" s="1664" t="s">
        <v>2293</v>
      </c>
      <c r="M1923" s="1665">
        <v>1.1344999999999999E-2</v>
      </c>
      <c r="N1923" s="1666">
        <v>1.5976064124488651</v>
      </c>
      <c r="O1923" s="1666"/>
    </row>
    <row r="1924" spans="11:15">
      <c r="K1924" s="1663">
        <v>43981</v>
      </c>
      <c r="L1924" s="1664"/>
      <c r="M1924" s="1665">
        <v>0</v>
      </c>
      <c r="N1924" s="1666">
        <v>1.5976064124488651</v>
      </c>
      <c r="O1924" s="1666"/>
    </row>
    <row r="1925" spans="11:15">
      <c r="K1925" s="1663">
        <v>43982</v>
      </c>
      <c r="L1925" s="1664"/>
      <c r="M1925" s="1665">
        <v>0</v>
      </c>
      <c r="N1925" s="1666">
        <v>1.5976064124488651</v>
      </c>
      <c r="O1925" s="1666"/>
    </row>
    <row r="1926" spans="11:15">
      <c r="K1926" s="1663">
        <v>43983</v>
      </c>
      <c r="L1926" s="1664" t="s">
        <v>2293</v>
      </c>
      <c r="M1926" s="1665">
        <v>1.1344999999999999E-2</v>
      </c>
      <c r="N1926" s="1666">
        <v>1.5977876608963575</v>
      </c>
      <c r="O1926" s="1666"/>
    </row>
    <row r="1927" spans="11:15">
      <c r="K1927" s="1663">
        <v>43984</v>
      </c>
      <c r="L1927" s="1664" t="s">
        <v>2293</v>
      </c>
      <c r="M1927" s="1665">
        <v>1.1344999999999999E-2</v>
      </c>
      <c r="N1927" s="1666">
        <v>1.5979689299064861</v>
      </c>
      <c r="O1927" s="1666"/>
    </row>
    <row r="1928" spans="11:15">
      <c r="K1928" s="1663">
        <v>43985</v>
      </c>
      <c r="L1928" s="1664" t="s">
        <v>2293</v>
      </c>
      <c r="M1928" s="1665">
        <v>1.1344999999999999E-2</v>
      </c>
      <c r="N1928" s="1666">
        <v>1.598150219481584</v>
      </c>
      <c r="O1928" s="1666"/>
    </row>
    <row r="1929" spans="11:15">
      <c r="K1929" s="1663">
        <v>43986</v>
      </c>
      <c r="L1929" s="1664" t="s">
        <v>2293</v>
      </c>
      <c r="M1929" s="1665">
        <v>1.1344999999999999E-2</v>
      </c>
      <c r="N1929" s="1666">
        <v>1.5983315296239842</v>
      </c>
      <c r="O1929" s="1666"/>
    </row>
    <row r="1930" spans="11:15">
      <c r="K1930" s="1663">
        <v>43987</v>
      </c>
      <c r="L1930" s="1664" t="s">
        <v>2293</v>
      </c>
      <c r="M1930" s="1665">
        <v>1.1344999999999999E-2</v>
      </c>
      <c r="N1930" s="1666">
        <v>1.5985128603360199</v>
      </c>
      <c r="O1930" s="1666"/>
    </row>
    <row r="1931" spans="11:15">
      <c r="K1931" s="1663">
        <v>43988</v>
      </c>
      <c r="L1931" s="1664"/>
      <c r="M1931" s="1665">
        <v>0</v>
      </c>
      <c r="N1931" s="1666">
        <v>1.5985128603360199</v>
      </c>
      <c r="O1931" s="1666"/>
    </row>
    <row r="1932" spans="11:15">
      <c r="K1932" s="1663">
        <v>43989</v>
      </c>
      <c r="L1932" s="1664"/>
      <c r="M1932" s="1665">
        <v>0</v>
      </c>
      <c r="N1932" s="1666">
        <v>1.5985128603360199</v>
      </c>
      <c r="O1932" s="1666"/>
    </row>
    <row r="1933" spans="11:15">
      <c r="K1933" s="1663">
        <v>43990</v>
      </c>
      <c r="L1933" s="1664" t="s">
        <v>2293</v>
      </c>
      <c r="M1933" s="1665">
        <v>1.1344999999999999E-2</v>
      </c>
      <c r="N1933" s="1666">
        <v>1.5986942116200249</v>
      </c>
      <c r="O1933" s="1666"/>
    </row>
    <row r="1934" spans="11:15">
      <c r="K1934" s="1663">
        <v>43991</v>
      </c>
      <c r="L1934" s="1664" t="s">
        <v>2293</v>
      </c>
      <c r="M1934" s="1665">
        <v>1.1344999999999999E-2</v>
      </c>
      <c r="N1934" s="1666">
        <v>1.598875583478333</v>
      </c>
      <c r="O1934" s="1666"/>
    </row>
    <row r="1935" spans="11:15">
      <c r="K1935" s="1663">
        <v>43992</v>
      </c>
      <c r="L1935" s="1664" t="s">
        <v>2293</v>
      </c>
      <c r="M1935" s="1665">
        <v>1.1344999999999999E-2</v>
      </c>
      <c r="N1935" s="1666">
        <v>1.5990569759132787</v>
      </c>
      <c r="O1935" s="1666"/>
    </row>
    <row r="1936" spans="11:15">
      <c r="K1936" s="1663">
        <v>43993</v>
      </c>
      <c r="L1936" s="1664"/>
      <c r="M1936" s="1665">
        <v>0</v>
      </c>
      <c r="N1936" s="1666">
        <v>1.5990569759132787</v>
      </c>
      <c r="O1936" s="1666"/>
    </row>
    <row r="1937" spans="11:15">
      <c r="K1937" s="1663">
        <v>43994</v>
      </c>
      <c r="L1937" s="1664" t="s">
        <v>2293</v>
      </c>
      <c r="M1937" s="1665">
        <v>1.1344999999999999E-2</v>
      </c>
      <c r="N1937" s="1666">
        <v>1.5992383889271959</v>
      </c>
      <c r="O1937" s="1666"/>
    </row>
    <row r="1938" spans="11:15">
      <c r="K1938" s="1663">
        <v>43995</v>
      </c>
      <c r="L1938" s="1664"/>
      <c r="M1938" s="1665">
        <v>0</v>
      </c>
      <c r="N1938" s="1666">
        <v>1.5992383889271959</v>
      </c>
      <c r="O1938" s="1666"/>
    </row>
    <row r="1939" spans="11:15">
      <c r="K1939" s="1663">
        <v>43996</v>
      </c>
      <c r="L1939" s="1664"/>
      <c r="M1939" s="1665">
        <v>0</v>
      </c>
      <c r="N1939" s="1666">
        <v>1.5992383889271959</v>
      </c>
      <c r="O1939" s="1666"/>
    </row>
    <row r="1940" spans="11:15">
      <c r="K1940" s="1663">
        <v>43997</v>
      </c>
      <c r="L1940" s="1664" t="s">
        <v>2293</v>
      </c>
      <c r="M1940" s="1665">
        <v>1.1344999999999999E-2</v>
      </c>
      <c r="N1940" s="1666">
        <v>1.5994198225224197</v>
      </c>
      <c r="O1940" s="1666"/>
    </row>
    <row r="1941" spans="11:15">
      <c r="K1941" s="1663">
        <v>43998</v>
      </c>
      <c r="L1941" s="1664" t="s">
        <v>2293</v>
      </c>
      <c r="M1941" s="1665">
        <v>1.1344999999999999E-2</v>
      </c>
      <c r="N1941" s="1666">
        <v>1.5996012767012848</v>
      </c>
      <c r="O1941" s="1666"/>
    </row>
    <row r="1942" spans="11:15">
      <c r="K1942" s="1663">
        <v>43999</v>
      </c>
      <c r="L1942" s="1664" t="s">
        <v>2293</v>
      </c>
      <c r="M1942" s="1665">
        <v>1.1344999999999999E-2</v>
      </c>
      <c r="N1942" s="1666">
        <v>1.5997827514661265</v>
      </c>
      <c r="O1942" s="1666"/>
    </row>
    <row r="1943" spans="11:15">
      <c r="K1943" s="1663">
        <v>44000</v>
      </c>
      <c r="L1943" s="1664" t="s">
        <v>2293</v>
      </c>
      <c r="M1943" s="1665">
        <v>8.4419999999999999E-3</v>
      </c>
      <c r="N1943" s="1666">
        <v>1.5999178051260055</v>
      </c>
      <c r="O1943" s="1666"/>
    </row>
    <row r="1944" spans="11:15">
      <c r="K1944" s="1663">
        <v>44001</v>
      </c>
      <c r="L1944" s="1664" t="s">
        <v>2293</v>
      </c>
      <c r="M1944" s="1665">
        <v>8.4419999999999999E-3</v>
      </c>
      <c r="N1944" s="1666">
        <v>1.6000528701871144</v>
      </c>
      <c r="O1944" s="1666"/>
    </row>
    <row r="1945" spans="11:15">
      <c r="K1945" s="1663">
        <v>44002</v>
      </c>
      <c r="L1945" s="1664"/>
      <c r="M1945" s="1665">
        <v>0</v>
      </c>
      <c r="N1945" s="1666">
        <v>1.6000528701871144</v>
      </c>
      <c r="O1945" s="1666"/>
    </row>
    <row r="1946" spans="11:15">
      <c r="K1946" s="1663">
        <v>44003</v>
      </c>
      <c r="L1946" s="1664"/>
      <c r="M1946" s="1665">
        <v>0</v>
      </c>
      <c r="N1946" s="1666">
        <v>1.6000528701871144</v>
      </c>
      <c r="O1946" s="1666"/>
    </row>
    <row r="1947" spans="11:15">
      <c r="K1947" s="1663">
        <v>44004</v>
      </c>
      <c r="L1947" s="1664" t="s">
        <v>2293</v>
      </c>
      <c r="M1947" s="1665">
        <v>8.4419999999999999E-3</v>
      </c>
      <c r="N1947" s="1666">
        <v>1.6001879466504156</v>
      </c>
      <c r="O1947" s="1666"/>
    </row>
    <row r="1948" spans="11:15">
      <c r="K1948" s="1663">
        <v>44005</v>
      </c>
      <c r="L1948" s="1664" t="s">
        <v>2293</v>
      </c>
      <c r="M1948" s="1665">
        <v>8.4419999999999999E-3</v>
      </c>
      <c r="N1948" s="1666">
        <v>1.600323034516872</v>
      </c>
      <c r="O1948" s="1666"/>
    </row>
    <row r="1949" spans="11:15">
      <c r="K1949" s="1663">
        <v>44006</v>
      </c>
      <c r="L1949" s="1664" t="s">
        <v>2293</v>
      </c>
      <c r="M1949" s="1665">
        <v>8.4419999999999999E-3</v>
      </c>
      <c r="N1949" s="1666">
        <v>1.6004581337874459</v>
      </c>
      <c r="O1949" s="1666"/>
    </row>
    <row r="1950" spans="11:15">
      <c r="K1950" s="1663">
        <v>44007</v>
      </c>
      <c r="L1950" s="1664" t="s">
        <v>2293</v>
      </c>
      <c r="M1950" s="1665">
        <v>8.4419999999999999E-3</v>
      </c>
      <c r="N1950" s="1666">
        <v>1.6005932444631004</v>
      </c>
      <c r="O1950" s="1666"/>
    </row>
    <row r="1951" spans="11:15">
      <c r="K1951" s="1663">
        <v>44008</v>
      </c>
      <c r="L1951" s="1664" t="s">
        <v>2293</v>
      </c>
      <c r="M1951" s="1665">
        <v>8.4419999999999999E-3</v>
      </c>
      <c r="N1951" s="1666">
        <v>1.600728366544798</v>
      </c>
      <c r="O1951" s="1666"/>
    </row>
    <row r="1952" spans="11:15">
      <c r="K1952" s="1663">
        <v>44009</v>
      </c>
      <c r="L1952" s="1664"/>
      <c r="M1952" s="1665">
        <v>0</v>
      </c>
      <c r="N1952" s="1666">
        <v>1.600728366544798</v>
      </c>
      <c r="O1952" s="1666"/>
    </row>
    <row r="1953" spans="11:15">
      <c r="K1953" s="1663">
        <v>44010</v>
      </c>
      <c r="L1953" s="1664"/>
      <c r="M1953" s="1665">
        <v>0</v>
      </c>
      <c r="N1953" s="1666">
        <v>1.600728366544798</v>
      </c>
      <c r="O1953" s="1666"/>
    </row>
    <row r="1954" spans="11:15">
      <c r="K1954" s="1663">
        <v>44011</v>
      </c>
      <c r="L1954" s="1664" t="s">
        <v>2293</v>
      </c>
      <c r="M1954" s="1665">
        <v>8.4419999999999999E-3</v>
      </c>
      <c r="N1954" s="1666">
        <v>1.6008635000335019</v>
      </c>
      <c r="O1954" s="1666"/>
    </row>
    <row r="1955" spans="11:15">
      <c r="K1955" s="1663">
        <v>44012</v>
      </c>
      <c r="L1955" s="1664" t="s">
        <v>2293</v>
      </c>
      <c r="M1955" s="1665">
        <v>8.4419999999999999E-3</v>
      </c>
      <c r="N1955" s="1666">
        <v>1.6009986449301747</v>
      </c>
      <c r="O1955" s="1666"/>
    </row>
    <row r="1956" spans="11:15">
      <c r="K1956" s="1663">
        <v>44013</v>
      </c>
      <c r="L1956" s="1664" t="s">
        <v>2293</v>
      </c>
      <c r="M1956" s="1665">
        <v>8.4419999999999999E-3</v>
      </c>
      <c r="N1956" s="1666">
        <v>1.6011338012357799</v>
      </c>
      <c r="O1956" s="1666"/>
    </row>
    <row r="1957" spans="11:15">
      <c r="K1957" s="1663">
        <v>44014</v>
      </c>
      <c r="L1957" s="1664" t="s">
        <v>2293</v>
      </c>
      <c r="M1957" s="1665">
        <v>8.4419999999999999E-3</v>
      </c>
      <c r="N1957" s="1666">
        <v>1.6012689689512802</v>
      </c>
      <c r="O1957" s="1666"/>
    </row>
    <row r="1958" spans="11:15">
      <c r="K1958" s="1663">
        <v>44015</v>
      </c>
      <c r="L1958" s="1664" t="s">
        <v>2293</v>
      </c>
      <c r="M1958" s="1665">
        <v>8.4419999999999999E-3</v>
      </c>
      <c r="N1958" s="1666">
        <v>1.6014041480776393</v>
      </c>
      <c r="O1958" s="1666"/>
    </row>
    <row r="1959" spans="11:15">
      <c r="K1959" s="1663">
        <v>44016</v>
      </c>
      <c r="L1959" s="1664"/>
      <c r="M1959" s="1665">
        <v>0</v>
      </c>
      <c r="N1959" s="1666">
        <v>1.6014041480776393</v>
      </c>
      <c r="O1959" s="1666"/>
    </row>
    <row r="1960" spans="11:15">
      <c r="K1960" s="1663">
        <v>44017</v>
      </c>
      <c r="L1960" s="1664"/>
      <c r="M1960" s="1665">
        <v>0</v>
      </c>
      <c r="N1960" s="1666">
        <v>1.6014041480776393</v>
      </c>
      <c r="O1960" s="1666"/>
    </row>
    <row r="1961" spans="11:15">
      <c r="K1961" s="1663">
        <v>44018</v>
      </c>
      <c r="L1961" s="1664" t="s">
        <v>2293</v>
      </c>
      <c r="M1961" s="1665">
        <v>8.4419999999999999E-3</v>
      </c>
      <c r="N1961" s="1666">
        <v>1.6015393386158201</v>
      </c>
      <c r="O1961" s="1666"/>
    </row>
    <row r="1962" spans="11:15">
      <c r="K1962" s="1663">
        <v>44019</v>
      </c>
      <c r="L1962" s="1664" t="s">
        <v>2293</v>
      </c>
      <c r="M1962" s="1665">
        <v>8.4419999999999999E-3</v>
      </c>
      <c r="N1962" s="1666">
        <v>1.6016745405667863</v>
      </c>
      <c r="O1962" s="1666"/>
    </row>
    <row r="1963" spans="11:15">
      <c r="K1963" s="1663">
        <v>44020</v>
      </c>
      <c r="L1963" s="1664" t="s">
        <v>2293</v>
      </c>
      <c r="M1963" s="1665">
        <v>8.4419999999999999E-3</v>
      </c>
      <c r="N1963" s="1666">
        <v>1.601809753931501</v>
      </c>
      <c r="O1963" s="1666"/>
    </row>
    <row r="1964" spans="11:15">
      <c r="K1964" s="1663">
        <v>44021</v>
      </c>
      <c r="L1964" s="1664" t="s">
        <v>2293</v>
      </c>
      <c r="M1964" s="1665">
        <v>8.4419999999999999E-3</v>
      </c>
      <c r="N1964" s="1666">
        <v>1.6019449787109281</v>
      </c>
      <c r="O1964" s="1666"/>
    </row>
    <row r="1965" spans="11:15">
      <c r="K1965" s="1663">
        <v>44022</v>
      </c>
      <c r="L1965" s="1664" t="s">
        <v>2293</v>
      </c>
      <c r="M1965" s="1665">
        <v>8.4419999999999999E-3</v>
      </c>
      <c r="N1965" s="1666">
        <v>1.6020802149060309</v>
      </c>
      <c r="O1965" s="1666"/>
    </row>
    <row r="1966" spans="11:15">
      <c r="K1966" s="1663">
        <v>44023</v>
      </c>
      <c r="L1966" s="1664"/>
      <c r="M1966" s="1665">
        <v>0</v>
      </c>
      <c r="N1966" s="1666">
        <v>1.6020802149060309</v>
      </c>
      <c r="O1966" s="1666"/>
    </row>
    <row r="1967" spans="11:15">
      <c r="K1967" s="1663">
        <v>44024</v>
      </c>
      <c r="L1967" s="1664"/>
      <c r="M1967" s="1665">
        <v>0</v>
      </c>
      <c r="N1967" s="1666">
        <v>1.6020802149060309</v>
      </c>
      <c r="O1967" s="1666"/>
    </row>
    <row r="1968" spans="11:15">
      <c r="K1968" s="1663">
        <v>44025</v>
      </c>
      <c r="L1968" s="1664" t="s">
        <v>2293</v>
      </c>
      <c r="M1968" s="1665">
        <v>8.4419999999999999E-3</v>
      </c>
      <c r="N1968" s="1666">
        <v>1.6022154625177734</v>
      </c>
      <c r="O1968" s="1666"/>
    </row>
    <row r="1969" spans="11:15">
      <c r="K1969" s="1663">
        <v>44026</v>
      </c>
      <c r="L1969" s="1664" t="s">
        <v>2293</v>
      </c>
      <c r="M1969" s="1665">
        <v>8.4419999999999999E-3</v>
      </c>
      <c r="N1969" s="1666">
        <v>1.6023507215471193</v>
      </c>
      <c r="O1969" s="1666"/>
    </row>
    <row r="1970" spans="11:15">
      <c r="K1970" s="1663">
        <v>44027</v>
      </c>
      <c r="L1970" s="1664" t="s">
        <v>2293</v>
      </c>
      <c r="M1970" s="1665">
        <v>8.4419999999999999E-3</v>
      </c>
      <c r="N1970" s="1666">
        <v>1.6024859919950325</v>
      </c>
      <c r="O1970" s="1666"/>
    </row>
    <row r="1971" spans="11:15">
      <c r="K1971" s="1663">
        <v>44028</v>
      </c>
      <c r="L1971" s="1664" t="s">
        <v>2293</v>
      </c>
      <c r="M1971" s="1665">
        <v>8.4419999999999999E-3</v>
      </c>
      <c r="N1971" s="1666">
        <v>1.6026212738624768</v>
      </c>
      <c r="O1971" s="1666"/>
    </row>
    <row r="1972" spans="11:15">
      <c r="K1972" s="1663">
        <v>44029</v>
      </c>
      <c r="L1972" s="1664" t="s">
        <v>2293</v>
      </c>
      <c r="M1972" s="1665">
        <v>8.4419999999999999E-3</v>
      </c>
      <c r="N1972" s="1666">
        <v>1.6027565671504165</v>
      </c>
      <c r="O1972" s="1666"/>
    </row>
    <row r="1973" spans="11:15">
      <c r="K1973" s="1663">
        <v>44030</v>
      </c>
      <c r="L1973" s="1664"/>
      <c r="M1973" s="1665">
        <v>0</v>
      </c>
      <c r="N1973" s="1666">
        <v>1.6027565671504165</v>
      </c>
      <c r="O1973" s="1666"/>
    </row>
    <row r="1974" spans="11:15">
      <c r="K1974" s="1663">
        <v>44031</v>
      </c>
      <c r="L1974" s="1664"/>
      <c r="M1974" s="1665">
        <v>0</v>
      </c>
      <c r="N1974" s="1666">
        <v>1.6027565671504165</v>
      </c>
      <c r="O1974" s="1666"/>
    </row>
    <row r="1975" spans="11:15">
      <c r="K1975" s="1663">
        <v>44032</v>
      </c>
      <c r="L1975" s="1664" t="s">
        <v>2293</v>
      </c>
      <c r="M1975" s="1665">
        <v>8.4419999999999999E-3</v>
      </c>
      <c r="N1975" s="1666">
        <v>1.6028918718598155</v>
      </c>
      <c r="O1975" s="1666"/>
    </row>
    <row r="1976" spans="11:15">
      <c r="K1976" s="1663">
        <v>44033</v>
      </c>
      <c r="L1976" s="1664" t="s">
        <v>2293</v>
      </c>
      <c r="M1976" s="1665">
        <v>8.4419999999999999E-3</v>
      </c>
      <c r="N1976" s="1666">
        <v>1.603027187991638</v>
      </c>
      <c r="O1976" s="1666"/>
    </row>
    <row r="1977" spans="11:15">
      <c r="K1977" s="1663">
        <v>44034</v>
      </c>
      <c r="L1977" s="1664" t="s">
        <v>2293</v>
      </c>
      <c r="M1977" s="1665">
        <v>8.4419999999999999E-3</v>
      </c>
      <c r="N1977" s="1666">
        <v>1.6031625155468483</v>
      </c>
      <c r="O1977" s="1666"/>
    </row>
    <row r="1978" spans="11:15">
      <c r="K1978" s="1663">
        <v>44035</v>
      </c>
      <c r="L1978" s="1664" t="s">
        <v>2293</v>
      </c>
      <c r="M1978" s="1665">
        <v>8.4419999999999999E-3</v>
      </c>
      <c r="N1978" s="1666">
        <v>1.6032978545264109</v>
      </c>
      <c r="O1978" s="1666"/>
    </row>
    <row r="1979" spans="11:15">
      <c r="K1979" s="1663">
        <v>44036</v>
      </c>
      <c r="L1979" s="1664" t="s">
        <v>2293</v>
      </c>
      <c r="M1979" s="1665">
        <v>8.4419999999999999E-3</v>
      </c>
      <c r="N1979" s="1666">
        <v>1.6034332049312903</v>
      </c>
      <c r="O1979" s="1666"/>
    </row>
    <row r="1980" spans="11:15">
      <c r="K1980" s="1663">
        <v>44037</v>
      </c>
      <c r="L1980" s="1664"/>
      <c r="M1980" s="1665">
        <v>0</v>
      </c>
      <c r="N1980" s="1666">
        <v>1.6034332049312903</v>
      </c>
      <c r="O1980" s="1666"/>
    </row>
    <row r="1981" spans="11:15">
      <c r="K1981" s="1663">
        <v>44038</v>
      </c>
      <c r="L1981" s="1664"/>
      <c r="M1981" s="1665">
        <v>0</v>
      </c>
      <c r="N1981" s="1666">
        <v>1.6034332049312903</v>
      </c>
      <c r="O1981" s="1666"/>
    </row>
    <row r="1982" spans="11:15">
      <c r="K1982" s="1663">
        <v>44039</v>
      </c>
      <c r="L1982" s="1664" t="s">
        <v>2293</v>
      </c>
      <c r="M1982" s="1665">
        <v>8.4419999999999999E-3</v>
      </c>
      <c r="N1982" s="1666">
        <v>1.6035685667624506</v>
      </c>
      <c r="O1982" s="1666"/>
    </row>
    <row r="1983" spans="11:15">
      <c r="K1983" s="1663">
        <v>44040</v>
      </c>
      <c r="L1983" s="1664" t="s">
        <v>2293</v>
      </c>
      <c r="M1983" s="1665">
        <v>8.4419999999999999E-3</v>
      </c>
      <c r="N1983" s="1666">
        <v>1.6037039400208568</v>
      </c>
      <c r="O1983" s="1666"/>
    </row>
    <row r="1984" spans="11:15">
      <c r="K1984" s="1663">
        <v>44041</v>
      </c>
      <c r="L1984" s="1664" t="s">
        <v>2293</v>
      </c>
      <c r="M1984" s="1665">
        <v>8.4419999999999999E-3</v>
      </c>
      <c r="N1984" s="1666">
        <v>1.6038393247074736</v>
      </c>
      <c r="O1984" s="1666"/>
    </row>
    <row r="1985" spans="11:15">
      <c r="K1985" s="1663">
        <v>44042</v>
      </c>
      <c r="L1985" s="1664" t="s">
        <v>2293</v>
      </c>
      <c r="M1985" s="1665">
        <v>8.4419999999999999E-3</v>
      </c>
      <c r="N1985" s="1666">
        <v>1.6039747208232655</v>
      </c>
      <c r="O1985" s="1666"/>
    </row>
    <row r="1986" spans="11:15">
      <c r="K1986" s="1663">
        <v>44043</v>
      </c>
      <c r="L1986" s="1664" t="s">
        <v>2293</v>
      </c>
      <c r="M1986" s="1665">
        <v>8.4419999999999999E-3</v>
      </c>
      <c r="N1986" s="1666">
        <v>1.6041101283691976</v>
      </c>
      <c r="O1986" s="1666"/>
    </row>
    <row r="1987" spans="11:15">
      <c r="K1987" s="1663">
        <v>44044</v>
      </c>
      <c r="L1987" s="1664"/>
      <c r="M1987" s="1665">
        <v>0</v>
      </c>
      <c r="N1987" s="1666">
        <v>1.6041101283691976</v>
      </c>
      <c r="O1987" s="1666"/>
    </row>
    <row r="1988" spans="11:15">
      <c r="K1988" s="1663">
        <v>44045</v>
      </c>
      <c r="L1988" s="1664"/>
      <c r="M1988" s="1665">
        <v>0</v>
      </c>
      <c r="N1988" s="1666">
        <v>1.6041101283691976</v>
      </c>
      <c r="O1988" s="1666"/>
    </row>
    <row r="1989" spans="11:15">
      <c r="K1989" s="1663">
        <v>44046</v>
      </c>
      <c r="L1989" s="1664" t="s">
        <v>2293</v>
      </c>
      <c r="M1989" s="1665">
        <v>8.4419999999999999E-3</v>
      </c>
      <c r="N1989" s="1666">
        <v>1.6042455473462347</v>
      </c>
      <c r="O1989" s="1666"/>
    </row>
    <row r="1990" spans="11:15">
      <c r="K1990" s="1663">
        <v>44047</v>
      </c>
      <c r="L1990" s="1664" t="s">
        <v>2293</v>
      </c>
      <c r="M1990" s="1665">
        <v>8.4419999999999999E-3</v>
      </c>
      <c r="N1990" s="1666">
        <v>1.6043809777553417</v>
      </c>
      <c r="O1990" s="1666"/>
    </row>
    <row r="1991" spans="11:15">
      <c r="K1991" s="1663">
        <v>44048</v>
      </c>
      <c r="L1991" s="1664" t="s">
        <v>2293</v>
      </c>
      <c r="M1991" s="1665">
        <v>8.4419999999999999E-3</v>
      </c>
      <c r="N1991" s="1666">
        <v>1.6045164195974839</v>
      </c>
      <c r="O1991" s="1666"/>
    </row>
    <row r="1992" spans="11:15">
      <c r="K1992" s="1663">
        <v>44049</v>
      </c>
      <c r="L1992" s="1664" t="s">
        <v>2293</v>
      </c>
      <c r="M1992" s="1665">
        <v>7.4689999999999999E-3</v>
      </c>
      <c r="N1992" s="1666">
        <v>1.6046362609288636</v>
      </c>
      <c r="O1992" s="1666"/>
    </row>
    <row r="1993" spans="11:15">
      <c r="K1993" s="1663">
        <v>44050</v>
      </c>
      <c r="L1993" s="1664" t="s">
        <v>2293</v>
      </c>
      <c r="M1993" s="1665">
        <v>7.4689999999999999E-3</v>
      </c>
      <c r="N1993" s="1666">
        <v>1.6047561112111923</v>
      </c>
      <c r="O1993" s="1666"/>
    </row>
    <row r="1994" spans="11:15">
      <c r="K1994" s="1663">
        <v>44051</v>
      </c>
      <c r="L1994" s="1664"/>
      <c r="M1994" s="1665">
        <v>0</v>
      </c>
      <c r="N1994" s="1666">
        <v>1.6047561112111923</v>
      </c>
      <c r="O1994" s="1666"/>
    </row>
    <row r="1995" spans="11:15">
      <c r="K1995" s="1663">
        <v>44052</v>
      </c>
      <c r="L1995" s="1664"/>
      <c r="M1995" s="1665">
        <v>0</v>
      </c>
      <c r="N1995" s="1666">
        <v>1.6047561112111923</v>
      </c>
      <c r="O1995" s="1666"/>
    </row>
    <row r="1996" spans="11:15">
      <c r="K1996" s="1663">
        <v>44053</v>
      </c>
      <c r="L1996" s="1664" t="s">
        <v>2293</v>
      </c>
      <c r="M1996" s="1665">
        <v>7.4689999999999999E-3</v>
      </c>
      <c r="N1996" s="1666">
        <v>1.6048759704451385</v>
      </c>
      <c r="O1996" s="1666"/>
    </row>
    <row r="1997" spans="11:15">
      <c r="K1997" s="1663">
        <v>44054</v>
      </c>
      <c r="L1997" s="1664" t="s">
        <v>2293</v>
      </c>
      <c r="M1997" s="1665">
        <v>7.4689999999999999E-3</v>
      </c>
      <c r="N1997" s="1666">
        <v>1.604995838631371</v>
      </c>
      <c r="O1997" s="1666"/>
    </row>
    <row r="1998" spans="11:15">
      <c r="K1998" s="1663">
        <v>44055</v>
      </c>
      <c r="L1998" s="1664" t="s">
        <v>2293</v>
      </c>
      <c r="M1998" s="1665">
        <v>7.4689999999999999E-3</v>
      </c>
      <c r="N1998" s="1666">
        <v>1.6051157157705582</v>
      </c>
      <c r="O1998" s="1666"/>
    </row>
    <row r="1999" spans="11:15">
      <c r="K1999" s="1663">
        <v>44056</v>
      </c>
      <c r="L1999" s="1664" t="s">
        <v>2293</v>
      </c>
      <c r="M1999" s="1665">
        <v>7.4689999999999999E-3</v>
      </c>
      <c r="N1999" s="1666">
        <v>1.6052356018633691</v>
      </c>
      <c r="O1999" s="1666"/>
    </row>
    <row r="2000" spans="11:15">
      <c r="K2000" s="1663">
        <v>44057</v>
      </c>
      <c r="L2000" s="1664" t="s">
        <v>2293</v>
      </c>
      <c r="M2000" s="1665">
        <v>7.4689999999999999E-3</v>
      </c>
      <c r="N2000" s="1666">
        <v>1.6053554969104722</v>
      </c>
      <c r="O2000" s="1666"/>
    </row>
    <row r="2001" spans="11:15">
      <c r="K2001" s="1663">
        <v>44058</v>
      </c>
      <c r="L2001" s="1664"/>
      <c r="M2001" s="1665">
        <v>0</v>
      </c>
      <c r="N2001" s="1666">
        <v>1.6053554969104722</v>
      </c>
      <c r="O2001" s="1666"/>
    </row>
    <row r="2002" spans="11:15">
      <c r="K2002" s="1663">
        <v>44059</v>
      </c>
      <c r="L2002" s="1664"/>
      <c r="M2002" s="1665">
        <v>0</v>
      </c>
      <c r="N2002" s="1666">
        <v>1.6053554969104722</v>
      </c>
      <c r="O2002" s="1666"/>
    </row>
    <row r="2003" spans="11:15">
      <c r="K2003" s="1663">
        <v>44060</v>
      </c>
      <c r="L2003" s="1664" t="s">
        <v>2293</v>
      </c>
      <c r="M2003" s="1665">
        <v>7.4689999999999999E-3</v>
      </c>
      <c r="N2003" s="1666">
        <v>1.6054754009125363</v>
      </c>
      <c r="O2003" s="1666"/>
    </row>
    <row r="2004" spans="11:15">
      <c r="K2004" s="1663">
        <v>44061</v>
      </c>
      <c r="L2004" s="1664" t="s">
        <v>2293</v>
      </c>
      <c r="M2004" s="1665">
        <v>7.4689999999999999E-3</v>
      </c>
      <c r="N2004" s="1666">
        <v>1.6055953138702304</v>
      </c>
      <c r="O2004" s="1666"/>
    </row>
    <row r="2005" spans="11:15">
      <c r="K2005" s="1663">
        <v>44062</v>
      </c>
      <c r="L2005" s="1664" t="s">
        <v>2293</v>
      </c>
      <c r="M2005" s="1665">
        <v>7.4689999999999999E-3</v>
      </c>
      <c r="N2005" s="1666">
        <v>1.6057152357842233</v>
      </c>
      <c r="O2005" s="1666"/>
    </row>
    <row r="2006" spans="11:15">
      <c r="K2006" s="1663">
        <v>44063</v>
      </c>
      <c r="L2006" s="1664" t="s">
        <v>2293</v>
      </c>
      <c r="M2006" s="1665">
        <v>7.4689999999999999E-3</v>
      </c>
      <c r="N2006" s="1666">
        <v>1.6058351666551838</v>
      </c>
      <c r="O2006" s="1666"/>
    </row>
    <row r="2007" spans="11:15">
      <c r="K2007" s="1663">
        <v>44064</v>
      </c>
      <c r="L2007" s="1664" t="s">
        <v>2293</v>
      </c>
      <c r="M2007" s="1665">
        <v>7.4689999999999999E-3</v>
      </c>
      <c r="N2007" s="1666">
        <v>1.6059551064837811</v>
      </c>
      <c r="O2007" s="1666"/>
    </row>
    <row r="2008" spans="11:15">
      <c r="K2008" s="1663">
        <v>44065</v>
      </c>
      <c r="L2008" s="1664"/>
      <c r="M2008" s="1665">
        <v>0</v>
      </c>
      <c r="N2008" s="1666">
        <v>1.6059551064837811</v>
      </c>
      <c r="O2008" s="1666"/>
    </row>
    <row r="2009" spans="11:15">
      <c r="K2009" s="1663">
        <v>44066</v>
      </c>
      <c r="L2009" s="1664"/>
      <c r="M2009" s="1665">
        <v>0</v>
      </c>
      <c r="N2009" s="1666">
        <v>1.6059551064837811</v>
      </c>
      <c r="O2009" s="1666"/>
    </row>
    <row r="2010" spans="11:15">
      <c r="K2010" s="1663">
        <v>44067</v>
      </c>
      <c r="L2010" s="1664" t="s">
        <v>2293</v>
      </c>
      <c r="M2010" s="1665">
        <v>7.4689999999999999E-3</v>
      </c>
      <c r="N2010" s="1666">
        <v>1.6060750552706844</v>
      </c>
      <c r="O2010" s="1666"/>
    </row>
    <row r="2011" spans="11:15">
      <c r="K2011" s="1663">
        <v>44068</v>
      </c>
      <c r="L2011" s="1664" t="s">
        <v>2293</v>
      </c>
      <c r="M2011" s="1665">
        <v>7.4689999999999999E-3</v>
      </c>
      <c r="N2011" s="1666">
        <v>1.6061950130165625</v>
      </c>
      <c r="O2011" s="1666"/>
    </row>
    <row r="2012" spans="11:15">
      <c r="K2012" s="1663">
        <v>44069</v>
      </c>
      <c r="L2012" s="1664" t="s">
        <v>2293</v>
      </c>
      <c r="M2012" s="1665">
        <v>7.4689999999999999E-3</v>
      </c>
      <c r="N2012" s="1666">
        <v>1.6063149797220846</v>
      </c>
      <c r="O2012" s="1666"/>
    </row>
    <row r="2013" spans="11:15">
      <c r="K2013" s="1663">
        <v>44070</v>
      </c>
      <c r="L2013" s="1664" t="s">
        <v>2293</v>
      </c>
      <c r="M2013" s="1665">
        <v>7.4689999999999999E-3</v>
      </c>
      <c r="N2013" s="1666">
        <v>1.60643495538792</v>
      </c>
      <c r="O2013" s="1666"/>
    </row>
    <row r="2014" spans="11:15">
      <c r="K2014" s="1663">
        <v>44071</v>
      </c>
      <c r="L2014" s="1664" t="s">
        <v>2293</v>
      </c>
      <c r="M2014" s="1665">
        <v>7.4689999999999999E-3</v>
      </c>
      <c r="N2014" s="1666">
        <v>1.6065549400147379</v>
      </c>
      <c r="O2014" s="1666"/>
    </row>
    <row r="2015" spans="11:15">
      <c r="K2015" s="1663">
        <v>44072</v>
      </c>
      <c r="L2015" s="1664"/>
      <c r="M2015" s="1665">
        <v>0</v>
      </c>
      <c r="N2015" s="1666">
        <v>1.6065549400147379</v>
      </c>
      <c r="O2015" s="1666"/>
    </row>
    <row r="2016" spans="11:15">
      <c r="K2016" s="1663">
        <v>44073</v>
      </c>
      <c r="L2016" s="1664"/>
      <c r="M2016" s="1665">
        <v>0</v>
      </c>
      <c r="N2016" s="1666">
        <v>1.6065549400147379</v>
      </c>
      <c r="O2016" s="1666"/>
    </row>
    <row r="2017" spans="11:15">
      <c r="K2017" s="1663">
        <v>44074</v>
      </c>
      <c r="L2017" s="1664" t="s">
        <v>2293</v>
      </c>
      <c r="M2017" s="1665">
        <v>7.4689999999999999E-3</v>
      </c>
      <c r="N2017" s="1666">
        <v>1.6066749336032076</v>
      </c>
      <c r="O2017" s="1666"/>
    </row>
    <row r="2018" spans="11:15">
      <c r="K2018" s="1663">
        <v>44075</v>
      </c>
      <c r="L2018" s="1664" t="s">
        <v>2293</v>
      </c>
      <c r="M2018" s="1665">
        <v>7.4689999999999999E-3</v>
      </c>
      <c r="N2018" s="1666">
        <v>1.6067949361539984</v>
      </c>
      <c r="O2018" s="1666"/>
    </row>
    <row r="2019" spans="11:15">
      <c r="K2019" s="1663">
        <v>44076</v>
      </c>
      <c r="L2019" s="1664" t="s">
        <v>2293</v>
      </c>
      <c r="M2019" s="1665">
        <v>7.4689999999999999E-3</v>
      </c>
      <c r="N2019" s="1666">
        <v>1.6069149476677795</v>
      </c>
      <c r="O2019" s="1666"/>
    </row>
    <row r="2020" spans="11:15">
      <c r="K2020" s="1663">
        <v>44077</v>
      </c>
      <c r="L2020" s="1664" t="s">
        <v>2293</v>
      </c>
      <c r="M2020" s="1665">
        <v>7.4689999999999999E-3</v>
      </c>
      <c r="N2020" s="1666">
        <v>1.6070349681452207</v>
      </c>
      <c r="O2020" s="1666"/>
    </row>
    <row r="2021" spans="11:15">
      <c r="K2021" s="1663">
        <v>44078</v>
      </c>
      <c r="L2021" s="1664" t="s">
        <v>2293</v>
      </c>
      <c r="M2021" s="1665">
        <v>7.4689999999999999E-3</v>
      </c>
      <c r="N2021" s="1666">
        <v>1.6071549975869914</v>
      </c>
      <c r="O2021" s="1666"/>
    </row>
    <row r="2022" spans="11:15">
      <c r="K2022" s="1663">
        <v>44079</v>
      </c>
      <c r="L2022" s="1664"/>
      <c r="M2022" s="1665">
        <v>0</v>
      </c>
      <c r="N2022" s="1666">
        <v>1.6071549975869914</v>
      </c>
      <c r="O2022" s="1666"/>
    </row>
    <row r="2023" spans="11:15">
      <c r="K2023" s="1663">
        <v>44080</v>
      </c>
      <c r="L2023" s="1664"/>
      <c r="M2023" s="1665">
        <v>0</v>
      </c>
      <c r="N2023" s="1666">
        <v>1.6071549975869914</v>
      </c>
      <c r="O2023" s="1666"/>
    </row>
    <row r="2024" spans="11:15">
      <c r="K2024" s="1663">
        <v>44081</v>
      </c>
      <c r="L2024" s="1664"/>
      <c r="M2024" s="1665">
        <v>0</v>
      </c>
      <c r="N2024" s="1666">
        <v>1.6071549975869914</v>
      </c>
      <c r="O2024" s="1666"/>
    </row>
    <row r="2025" spans="11:15">
      <c r="K2025" s="1663">
        <v>44082</v>
      </c>
      <c r="L2025" s="1664" t="s">
        <v>2293</v>
      </c>
      <c r="M2025" s="1665">
        <v>7.4689999999999999E-3</v>
      </c>
      <c r="N2025" s="1666">
        <v>1.6072750359937611</v>
      </c>
      <c r="O2025" s="1666"/>
    </row>
    <row r="2026" spans="11:15">
      <c r="K2026" s="1663">
        <v>44083</v>
      </c>
      <c r="L2026" s="1664" t="s">
        <v>2293</v>
      </c>
      <c r="M2026" s="1665">
        <v>7.4689999999999999E-3</v>
      </c>
      <c r="N2026" s="1666">
        <v>1.6073950833661994</v>
      </c>
      <c r="O2026" s="1666"/>
    </row>
    <row r="2027" spans="11:15">
      <c r="K2027" s="1663">
        <v>44084</v>
      </c>
      <c r="L2027" s="1664" t="s">
        <v>2293</v>
      </c>
      <c r="M2027" s="1665">
        <v>7.4689999999999999E-3</v>
      </c>
      <c r="N2027" s="1666">
        <v>1.6075151397049758</v>
      </c>
      <c r="O2027" s="1666"/>
    </row>
    <row r="2028" spans="11:15">
      <c r="K2028" s="1663">
        <v>44085</v>
      </c>
      <c r="L2028" s="1664" t="s">
        <v>2293</v>
      </c>
      <c r="M2028" s="1665">
        <v>7.4689999999999999E-3</v>
      </c>
      <c r="N2028" s="1666">
        <v>1.6076352050107603</v>
      </c>
      <c r="O2028" s="1666"/>
    </row>
    <row r="2029" spans="11:15">
      <c r="K2029" s="1663">
        <v>44086</v>
      </c>
      <c r="L2029" s="1664"/>
      <c r="M2029" s="1665">
        <v>0</v>
      </c>
      <c r="N2029" s="1666">
        <v>1.6076352050107603</v>
      </c>
      <c r="O2029" s="1666"/>
    </row>
    <row r="2030" spans="11:15">
      <c r="K2030" s="1663">
        <v>44087</v>
      </c>
      <c r="L2030" s="1664"/>
      <c r="M2030" s="1665">
        <v>0</v>
      </c>
      <c r="N2030" s="1666">
        <v>1.6076352050107603</v>
      </c>
      <c r="O2030" s="1666"/>
    </row>
    <row r="2031" spans="11:15">
      <c r="K2031" s="1663">
        <v>44088</v>
      </c>
      <c r="L2031" s="1664" t="s">
        <v>2293</v>
      </c>
      <c r="M2031" s="1665">
        <v>7.4689999999999999E-3</v>
      </c>
      <c r="N2031" s="1666">
        <v>1.6077552792842225</v>
      </c>
      <c r="O2031" s="1666"/>
    </row>
    <row r="2032" spans="11:15">
      <c r="K2032" s="1663">
        <v>44089</v>
      </c>
      <c r="L2032" s="1664" t="s">
        <v>2293</v>
      </c>
      <c r="M2032" s="1665">
        <v>7.4689999999999999E-3</v>
      </c>
      <c r="N2032" s="1666">
        <v>1.607875362526032</v>
      </c>
      <c r="O2032" s="1666"/>
    </row>
    <row r="2033" spans="11:15">
      <c r="K2033" s="1663">
        <v>44090</v>
      </c>
      <c r="L2033" s="1664" t="s">
        <v>2293</v>
      </c>
      <c r="M2033" s="1665">
        <v>7.4689999999999999E-3</v>
      </c>
      <c r="N2033" s="1666">
        <v>1.6079954547368589</v>
      </c>
      <c r="O2033" s="1666"/>
    </row>
    <row r="2034" spans="11:15">
      <c r="K2034" s="1663">
        <v>44091</v>
      </c>
      <c r="L2034" s="1664" t="s">
        <v>2293</v>
      </c>
      <c r="M2034" s="1665">
        <v>7.4689999999999999E-3</v>
      </c>
      <c r="N2034" s="1666">
        <v>1.608115555917373</v>
      </c>
      <c r="O2034" s="1666"/>
    </row>
    <row r="2035" spans="11:15">
      <c r="K2035" s="1663">
        <v>44092</v>
      </c>
      <c r="L2035" s="1664" t="s">
        <v>2293</v>
      </c>
      <c r="M2035" s="1665">
        <v>7.4689999999999999E-3</v>
      </c>
      <c r="N2035" s="1666">
        <v>1.6082356660682444</v>
      </c>
      <c r="O2035" s="1666"/>
    </row>
    <row r="2036" spans="11:15">
      <c r="K2036" s="1663">
        <v>44093</v>
      </c>
      <c r="L2036" s="1664"/>
      <c r="M2036" s="1665">
        <v>0</v>
      </c>
      <c r="N2036" s="1666">
        <v>1.6082356660682444</v>
      </c>
      <c r="O2036" s="1666"/>
    </row>
    <row r="2037" spans="11:15">
      <c r="K2037" s="1663">
        <v>44094</v>
      </c>
      <c r="L2037" s="1664"/>
      <c r="M2037" s="1665">
        <v>0</v>
      </c>
      <c r="N2037" s="1666">
        <v>1.6082356660682444</v>
      </c>
      <c r="O2037" s="1666"/>
    </row>
    <row r="2038" spans="11:15">
      <c r="K2038" s="1663">
        <v>44095</v>
      </c>
      <c r="L2038" s="1664" t="s">
        <v>2293</v>
      </c>
      <c r="M2038" s="1665">
        <v>7.4689999999999999E-3</v>
      </c>
      <c r="N2038" s="1666">
        <v>1.6083557851901429</v>
      </c>
      <c r="O2038" s="1666"/>
    </row>
    <row r="2039" spans="11:15">
      <c r="K2039" s="1663">
        <v>44096</v>
      </c>
      <c r="L2039" s="1664" t="s">
        <v>2293</v>
      </c>
      <c r="M2039" s="1665">
        <v>7.4689999999999999E-3</v>
      </c>
      <c r="N2039" s="1666">
        <v>1.6084759132837387</v>
      </c>
      <c r="O2039" s="1666"/>
    </row>
    <row r="2040" spans="11:15">
      <c r="K2040" s="1663">
        <v>44097</v>
      </c>
      <c r="L2040" s="1664" t="s">
        <v>2293</v>
      </c>
      <c r="M2040" s="1665">
        <v>7.4689999999999999E-3</v>
      </c>
      <c r="N2040" s="1666">
        <v>1.6085960503497019</v>
      </c>
      <c r="O2040" s="1666"/>
    </row>
    <row r="2041" spans="11:15">
      <c r="K2041" s="1663">
        <v>44098</v>
      </c>
      <c r="L2041" s="1664" t="s">
        <v>2293</v>
      </c>
      <c r="M2041" s="1665">
        <v>7.4689999999999999E-3</v>
      </c>
      <c r="N2041" s="1666">
        <v>1.6087161963887024</v>
      </c>
      <c r="O2041" s="1666"/>
    </row>
    <row r="2042" spans="11:15">
      <c r="K2042" s="1663">
        <v>44099</v>
      </c>
      <c r="L2042" s="1664" t="s">
        <v>2293</v>
      </c>
      <c r="M2042" s="1665">
        <v>7.4689999999999999E-3</v>
      </c>
      <c r="N2042" s="1666">
        <v>1.6088363514014106</v>
      </c>
      <c r="O2042" s="1666"/>
    </row>
    <row r="2043" spans="11:15">
      <c r="K2043" s="1663">
        <v>44100</v>
      </c>
      <c r="L2043" s="1664"/>
      <c r="M2043" s="1665">
        <v>0</v>
      </c>
      <c r="N2043" s="1666">
        <v>1.6088363514014106</v>
      </c>
      <c r="O2043" s="1666"/>
    </row>
    <row r="2044" spans="11:15">
      <c r="K2044" s="1663">
        <v>44101</v>
      </c>
      <c r="L2044" s="1664"/>
      <c r="M2044" s="1665">
        <v>0</v>
      </c>
      <c r="N2044" s="1666">
        <v>1.6088363514014106</v>
      </c>
      <c r="O2044" s="1666"/>
    </row>
    <row r="2045" spans="11:15">
      <c r="K2045" s="1663">
        <v>44102</v>
      </c>
      <c r="L2045" s="1664" t="s">
        <v>2293</v>
      </c>
      <c r="M2045" s="1665">
        <v>7.4689999999999999E-3</v>
      </c>
      <c r="N2045" s="1666">
        <v>1.6089565153884966</v>
      </c>
      <c r="O2045" s="1666"/>
    </row>
    <row r="2046" spans="11:15">
      <c r="K2046" s="1663">
        <v>44103</v>
      </c>
      <c r="L2046" s="1664" t="s">
        <v>2293</v>
      </c>
      <c r="M2046" s="1665">
        <v>7.4689999999999999E-3</v>
      </c>
      <c r="N2046" s="1666">
        <v>1.6090766883506309</v>
      </c>
      <c r="O2046" s="1666"/>
    </row>
    <row r="2047" spans="11:15">
      <c r="K2047" s="1663">
        <v>44104</v>
      </c>
      <c r="L2047" s="1664" t="s">
        <v>2293</v>
      </c>
      <c r="M2047" s="1665">
        <v>7.4689999999999999E-3</v>
      </c>
      <c r="N2047" s="1666">
        <v>1.6091968702884838</v>
      </c>
      <c r="O2047" s="1666"/>
    </row>
    <row r="2048" spans="11:15">
      <c r="K2048" s="1663">
        <v>44105</v>
      </c>
      <c r="L2048" s="1664" t="s">
        <v>2293</v>
      </c>
      <c r="M2048" s="1665">
        <v>7.4689999999999999E-3</v>
      </c>
      <c r="N2048" s="1666">
        <v>1.6093170612027254</v>
      </c>
      <c r="O2048" s="1666"/>
    </row>
    <row r="2049" spans="11:15">
      <c r="K2049" s="1663">
        <v>44106</v>
      </c>
      <c r="L2049" s="1664" t="s">
        <v>2293</v>
      </c>
      <c r="M2049" s="1665">
        <v>7.4689999999999999E-3</v>
      </c>
      <c r="N2049" s="1666">
        <v>1.6094372610940266</v>
      </c>
      <c r="O2049" s="1666"/>
    </row>
    <row r="2050" spans="11:15">
      <c r="K2050" s="1663">
        <v>44107</v>
      </c>
      <c r="L2050" s="1664"/>
      <c r="M2050" s="1665">
        <v>0</v>
      </c>
      <c r="N2050" s="1666">
        <v>1.6094372610940266</v>
      </c>
      <c r="O2050" s="1666"/>
    </row>
    <row r="2051" spans="11:15">
      <c r="K2051" s="1663">
        <v>44108</v>
      </c>
      <c r="L2051" s="1664"/>
      <c r="M2051" s="1665">
        <v>0</v>
      </c>
      <c r="N2051" s="1666">
        <v>1.6094372610940266</v>
      </c>
      <c r="O2051" s="1666"/>
    </row>
    <row r="2052" spans="11:15">
      <c r="K2052" s="1663">
        <v>44109</v>
      </c>
      <c r="L2052" s="1664" t="s">
        <v>2293</v>
      </c>
      <c r="M2052" s="1665">
        <v>7.4689999999999999E-3</v>
      </c>
      <c r="N2052" s="1666">
        <v>1.6095574699630577</v>
      </c>
      <c r="O2052" s="1666"/>
    </row>
    <row r="2053" spans="11:15">
      <c r="K2053" s="1663">
        <v>44110</v>
      </c>
      <c r="L2053" s="1664" t="s">
        <v>2293</v>
      </c>
      <c r="M2053" s="1665">
        <v>7.4689999999999999E-3</v>
      </c>
      <c r="N2053" s="1666">
        <v>1.609677687810489</v>
      </c>
      <c r="O2053" s="1666"/>
    </row>
    <row r="2054" spans="11:15">
      <c r="K2054" s="1663">
        <v>44111</v>
      </c>
      <c r="L2054" s="1664" t="s">
        <v>2293</v>
      </c>
      <c r="M2054" s="1665">
        <v>7.4689999999999999E-3</v>
      </c>
      <c r="N2054" s="1666">
        <v>1.6097979146369914</v>
      </c>
      <c r="O2054" s="1666"/>
    </row>
    <row r="2055" spans="11:15">
      <c r="K2055" s="1663">
        <v>44112</v>
      </c>
      <c r="L2055" s="1664" t="s">
        <v>2293</v>
      </c>
      <c r="M2055" s="1665">
        <v>7.4689999999999999E-3</v>
      </c>
      <c r="N2055" s="1666">
        <v>1.6099181504432356</v>
      </c>
      <c r="O2055" s="1666"/>
    </row>
    <row r="2056" spans="11:15">
      <c r="K2056" s="1663">
        <v>44113</v>
      </c>
      <c r="L2056" s="1664" t="s">
        <v>2293</v>
      </c>
      <c r="M2056" s="1665">
        <v>7.4689999999999999E-3</v>
      </c>
      <c r="N2056" s="1666">
        <v>1.610038395229892</v>
      </c>
      <c r="O2056" s="1666"/>
    </row>
    <row r="2057" spans="11:15">
      <c r="K2057" s="1663">
        <v>44114</v>
      </c>
      <c r="L2057" s="1664"/>
      <c r="M2057" s="1665">
        <v>0</v>
      </c>
      <c r="N2057" s="1666">
        <v>1.610038395229892</v>
      </c>
      <c r="O2057" s="1666"/>
    </row>
    <row r="2058" spans="11:15">
      <c r="K2058" s="1663">
        <v>44115</v>
      </c>
      <c r="L2058" s="1664"/>
      <c r="M2058" s="1665">
        <v>0</v>
      </c>
      <c r="N2058" s="1666">
        <v>1.610038395229892</v>
      </c>
      <c r="O2058" s="1666"/>
    </row>
    <row r="2059" spans="11:15">
      <c r="K2059" s="1663">
        <v>44116</v>
      </c>
      <c r="L2059" s="1664"/>
      <c r="M2059" s="1665">
        <v>0</v>
      </c>
      <c r="N2059" s="1666">
        <v>1.610038395229892</v>
      </c>
      <c r="O2059" s="1666"/>
    </row>
    <row r="2060" spans="11:15">
      <c r="K2060" s="1663">
        <v>44117</v>
      </c>
      <c r="L2060" s="1664" t="s">
        <v>2293</v>
      </c>
      <c r="M2060" s="1665">
        <v>7.4689999999999999E-3</v>
      </c>
      <c r="N2060" s="1666">
        <v>1.6101586489976316</v>
      </c>
      <c r="O2060" s="1666"/>
    </row>
    <row r="2061" spans="11:15">
      <c r="K2061" s="1663">
        <v>44118</v>
      </c>
      <c r="L2061" s="1664" t="s">
        <v>2293</v>
      </c>
      <c r="M2061" s="1665">
        <v>7.4689999999999999E-3</v>
      </c>
      <c r="N2061" s="1666">
        <v>1.6102789117471252</v>
      </c>
      <c r="O2061" s="1666"/>
    </row>
    <row r="2062" spans="11:15">
      <c r="K2062" s="1663">
        <v>44119</v>
      </c>
      <c r="L2062" s="1664" t="s">
        <v>2293</v>
      </c>
      <c r="M2062" s="1665">
        <v>7.4689999999999999E-3</v>
      </c>
      <c r="N2062" s="1666">
        <v>1.6103991834790434</v>
      </c>
      <c r="O2062" s="1666"/>
    </row>
    <row r="2063" spans="11:15">
      <c r="K2063" s="1663">
        <v>44120</v>
      </c>
      <c r="L2063" s="1664" t="s">
        <v>2293</v>
      </c>
      <c r="M2063" s="1665">
        <v>7.4689999999999999E-3</v>
      </c>
      <c r="N2063" s="1666">
        <v>1.6105194641940574</v>
      </c>
      <c r="O2063" s="1666"/>
    </row>
    <row r="2064" spans="11:15">
      <c r="K2064" s="1663">
        <v>44121</v>
      </c>
      <c r="L2064" s="1664"/>
      <c r="M2064" s="1665">
        <v>0</v>
      </c>
      <c r="N2064" s="1666">
        <v>1.6105194641940574</v>
      </c>
      <c r="O2064" s="1666"/>
    </row>
    <row r="2065" spans="11:15">
      <c r="K2065" s="1663">
        <v>44122</v>
      </c>
      <c r="L2065" s="1664"/>
      <c r="M2065" s="1665">
        <v>0</v>
      </c>
      <c r="N2065" s="1666">
        <v>1.6105194641940574</v>
      </c>
      <c r="O2065" s="1666"/>
    </row>
    <row r="2066" spans="11:15">
      <c r="K2066" s="1663">
        <v>44123</v>
      </c>
      <c r="L2066" s="1664" t="s">
        <v>2293</v>
      </c>
      <c r="M2066" s="1665">
        <v>7.4689999999999999E-3</v>
      </c>
      <c r="N2066" s="1666">
        <v>1.6106397538928381</v>
      </c>
      <c r="O2066" s="1666"/>
    </row>
    <row r="2067" spans="11:15">
      <c r="K2067" s="1663">
        <v>44124</v>
      </c>
      <c r="L2067" s="1664" t="s">
        <v>2293</v>
      </c>
      <c r="M2067" s="1665">
        <v>7.4689999999999999E-3</v>
      </c>
      <c r="N2067" s="1666">
        <v>1.6107600525760561</v>
      </c>
      <c r="O2067" s="1666"/>
    </row>
    <row r="2068" spans="11:15">
      <c r="K2068" s="1663">
        <v>44125</v>
      </c>
      <c r="L2068" s="1664" t="s">
        <v>2293</v>
      </c>
      <c r="M2068" s="1665">
        <v>7.4689999999999999E-3</v>
      </c>
      <c r="N2068" s="1666">
        <v>1.6108803602443829</v>
      </c>
      <c r="O2068" s="1666"/>
    </row>
    <row r="2069" spans="11:15">
      <c r="K2069" s="1663">
        <v>44126</v>
      </c>
      <c r="L2069" s="1664" t="s">
        <v>2293</v>
      </c>
      <c r="M2069" s="1665">
        <v>7.4689999999999999E-3</v>
      </c>
      <c r="N2069" s="1666">
        <v>1.6110006768984895</v>
      </c>
      <c r="O2069" s="1666"/>
    </row>
    <row r="2070" spans="11:15">
      <c r="K2070" s="1663">
        <v>44127</v>
      </c>
      <c r="L2070" s="1664" t="s">
        <v>2293</v>
      </c>
      <c r="M2070" s="1665">
        <v>7.4689999999999999E-3</v>
      </c>
      <c r="N2070" s="1666">
        <v>1.611121002539047</v>
      </c>
      <c r="O2070" s="1666"/>
    </row>
    <row r="2071" spans="11:15">
      <c r="K2071" s="1663">
        <v>44128</v>
      </c>
      <c r="L2071" s="1664"/>
      <c r="M2071" s="1665">
        <v>0</v>
      </c>
      <c r="N2071" s="1666">
        <v>1.611121002539047</v>
      </c>
      <c r="O2071" s="1666"/>
    </row>
    <row r="2072" spans="11:15">
      <c r="K2072" s="1663">
        <v>44129</v>
      </c>
      <c r="L2072" s="1664"/>
      <c r="M2072" s="1665">
        <v>0</v>
      </c>
      <c r="N2072" s="1666">
        <v>1.611121002539047</v>
      </c>
      <c r="O2072" s="1666"/>
    </row>
    <row r="2073" spans="11:15">
      <c r="K2073" s="1663">
        <v>44130</v>
      </c>
      <c r="L2073" s="1664" t="s">
        <v>2293</v>
      </c>
      <c r="M2073" s="1665">
        <v>7.4689999999999999E-3</v>
      </c>
      <c r="N2073" s="1666">
        <v>1.6112413371667265</v>
      </c>
      <c r="O2073" s="1666"/>
    </row>
    <row r="2074" spans="11:15">
      <c r="K2074" s="1663">
        <v>44131</v>
      </c>
      <c r="L2074" s="1664" t="s">
        <v>2293</v>
      </c>
      <c r="M2074" s="1665">
        <v>7.4689999999999999E-3</v>
      </c>
      <c r="N2074" s="1666">
        <v>1.6113616807821993</v>
      </c>
      <c r="O2074" s="1666"/>
    </row>
    <row r="2075" spans="11:15">
      <c r="K2075" s="1663">
        <v>44132</v>
      </c>
      <c r="L2075" s="1664" t="s">
        <v>2293</v>
      </c>
      <c r="M2075" s="1665">
        <v>7.4689999999999999E-3</v>
      </c>
      <c r="N2075" s="1666">
        <v>1.6114820333861368</v>
      </c>
      <c r="O2075" s="1666"/>
    </row>
    <row r="2076" spans="11:15">
      <c r="K2076" s="1663">
        <v>44133</v>
      </c>
      <c r="L2076" s="1664" t="s">
        <v>2293</v>
      </c>
      <c r="M2076" s="1665">
        <v>7.4689999999999999E-3</v>
      </c>
      <c r="N2076" s="1666">
        <v>1.6116023949792104</v>
      </c>
      <c r="O2076" s="1666"/>
    </row>
    <row r="2077" spans="11:15">
      <c r="K2077" s="1663">
        <v>44134</v>
      </c>
      <c r="L2077" s="1664" t="s">
        <v>2293</v>
      </c>
      <c r="M2077" s="1665">
        <v>7.4689999999999999E-3</v>
      </c>
      <c r="N2077" s="1666">
        <v>1.6117227655620914</v>
      </c>
      <c r="O2077" s="1666"/>
    </row>
    <row r="2078" spans="11:15">
      <c r="K2078" s="1663">
        <v>44135</v>
      </c>
      <c r="L2078" s="1664"/>
      <c r="M2078" s="1665">
        <v>0</v>
      </c>
      <c r="N2078" s="1666">
        <v>1.6117227655620914</v>
      </c>
      <c r="O2078" s="1666"/>
    </row>
    <row r="2079" spans="11:15">
      <c r="K2079" s="1663">
        <v>44136</v>
      </c>
      <c r="L2079" s="1664"/>
      <c r="M2079" s="1665">
        <v>0</v>
      </c>
      <c r="N2079" s="1666">
        <v>1.6117227655620914</v>
      </c>
      <c r="O2079" s="1666"/>
    </row>
    <row r="2080" spans="11:15">
      <c r="K2080" s="1663">
        <v>44137</v>
      </c>
      <c r="L2080" s="1664"/>
      <c r="M2080" s="1665">
        <v>0</v>
      </c>
      <c r="N2080" s="1666">
        <v>1.6117227655620914</v>
      </c>
      <c r="O2080" s="1666"/>
    </row>
    <row r="2081" spans="11:15">
      <c r="K2081" s="1663">
        <v>44138</v>
      </c>
      <c r="L2081" s="1664" t="s">
        <v>2293</v>
      </c>
      <c r="M2081" s="1665">
        <v>7.4689999999999999E-3</v>
      </c>
      <c r="N2081" s="1666">
        <v>1.6118431451354511</v>
      </c>
      <c r="O2081" s="1666"/>
    </row>
    <row r="2082" spans="11:15">
      <c r="K2082" s="1663">
        <v>44139</v>
      </c>
      <c r="L2082" s="1664" t="s">
        <v>2293</v>
      </c>
      <c r="M2082" s="1665">
        <v>7.4689999999999999E-3</v>
      </c>
      <c r="N2082" s="1666">
        <v>1.6119635336999611</v>
      </c>
      <c r="O2082" s="1666"/>
    </row>
    <row r="2083" spans="11:15">
      <c r="K2083" s="1663">
        <v>44140</v>
      </c>
      <c r="L2083" s="1664" t="s">
        <v>2293</v>
      </c>
      <c r="M2083" s="1665">
        <v>7.4689999999999999E-3</v>
      </c>
      <c r="N2083" s="1666">
        <v>1.6120839312562931</v>
      </c>
      <c r="O2083" s="1666"/>
    </row>
    <row r="2084" spans="11:15">
      <c r="K2084" s="1663">
        <v>44141</v>
      </c>
      <c r="L2084" s="1664" t="s">
        <v>2293</v>
      </c>
      <c r="M2084" s="1665">
        <v>7.4689999999999999E-3</v>
      </c>
      <c r="N2084" s="1666">
        <v>1.6122043378051185</v>
      </c>
      <c r="O2084" s="1666"/>
    </row>
    <row r="2085" spans="11:15">
      <c r="K2085" s="1663">
        <v>44142</v>
      </c>
      <c r="L2085" s="1664"/>
      <c r="M2085" s="1665">
        <v>0</v>
      </c>
      <c r="N2085" s="1666">
        <v>1.6122043378051185</v>
      </c>
      <c r="O2085" s="1666"/>
    </row>
    <row r="2086" spans="11:15">
      <c r="K2086" s="1663">
        <v>44143</v>
      </c>
      <c r="L2086" s="1664"/>
      <c r="M2086" s="1665">
        <v>0</v>
      </c>
      <c r="N2086" s="1666">
        <v>1.6122043378051185</v>
      </c>
      <c r="O2086" s="1666"/>
    </row>
    <row r="2087" spans="11:15">
      <c r="K2087" s="1663">
        <v>44144</v>
      </c>
      <c r="L2087" s="1664" t="s">
        <v>2293</v>
      </c>
      <c r="M2087" s="1665">
        <v>7.4689999999999999E-3</v>
      </c>
      <c r="N2087" s="1666">
        <v>1.612324753347109</v>
      </c>
      <c r="O2087" s="1666"/>
    </row>
    <row r="2088" spans="11:15">
      <c r="K2088" s="1663">
        <v>44145</v>
      </c>
      <c r="L2088" s="1664" t="s">
        <v>2293</v>
      </c>
      <c r="M2088" s="1665">
        <v>7.4689999999999999E-3</v>
      </c>
      <c r="N2088" s="1666">
        <v>1.6124451778829363</v>
      </c>
      <c r="O2088" s="1666"/>
    </row>
    <row r="2089" spans="11:15">
      <c r="K2089" s="1663">
        <v>44146</v>
      </c>
      <c r="L2089" s="1664" t="s">
        <v>2293</v>
      </c>
      <c r="M2089" s="1665">
        <v>7.4689999999999999E-3</v>
      </c>
      <c r="N2089" s="1666">
        <v>1.6125656114132723</v>
      </c>
      <c r="O2089" s="1666"/>
    </row>
    <row r="2090" spans="11:15">
      <c r="K2090" s="1663">
        <v>44147</v>
      </c>
      <c r="L2090" s="1664" t="s">
        <v>2293</v>
      </c>
      <c r="M2090" s="1665">
        <v>7.4689999999999999E-3</v>
      </c>
      <c r="N2090" s="1666">
        <v>1.6126860539387886</v>
      </c>
      <c r="O2090" s="1666"/>
    </row>
    <row r="2091" spans="11:15">
      <c r="K2091" s="1663">
        <v>44148</v>
      </c>
      <c r="L2091" s="1664" t="s">
        <v>2293</v>
      </c>
      <c r="M2091" s="1665">
        <v>7.4689999999999999E-3</v>
      </c>
      <c r="N2091" s="1666">
        <v>1.6128065054601572</v>
      </c>
      <c r="O2091" s="1666"/>
    </row>
    <row r="2092" spans="11:15">
      <c r="K2092" s="1663">
        <v>44149</v>
      </c>
      <c r="L2092" s="1664"/>
      <c r="M2092" s="1665">
        <v>0</v>
      </c>
      <c r="N2092" s="1666">
        <v>1.6128065054601572</v>
      </c>
      <c r="O2092" s="1666"/>
    </row>
    <row r="2093" spans="11:15">
      <c r="K2093" s="1663">
        <v>44150</v>
      </c>
      <c r="L2093" s="1664"/>
      <c r="M2093" s="1665">
        <v>0</v>
      </c>
      <c r="N2093" s="1666">
        <v>1.6128065054601572</v>
      </c>
      <c r="O2093" s="1666"/>
    </row>
    <row r="2094" spans="11:15">
      <c r="K2094" s="1663">
        <v>44151</v>
      </c>
      <c r="L2094" s="1664" t="s">
        <v>2293</v>
      </c>
      <c r="M2094" s="1665">
        <v>7.4689999999999999E-3</v>
      </c>
      <c r="N2094" s="1666">
        <v>1.6129269659780499</v>
      </c>
      <c r="O2094" s="1666"/>
    </row>
    <row r="2095" spans="11:15">
      <c r="K2095" s="1663">
        <v>44152</v>
      </c>
      <c r="L2095" s="1664" t="s">
        <v>2293</v>
      </c>
      <c r="M2095" s="1665">
        <v>7.4689999999999999E-3</v>
      </c>
      <c r="N2095" s="1666">
        <v>1.6130474354931386</v>
      </c>
      <c r="O2095" s="1666"/>
    </row>
    <row r="2096" spans="11:15">
      <c r="K2096" s="1663">
        <v>44153</v>
      </c>
      <c r="L2096" s="1664" t="s">
        <v>2293</v>
      </c>
      <c r="M2096" s="1665">
        <v>7.4689999999999999E-3</v>
      </c>
      <c r="N2096" s="1666">
        <v>1.6131679140060955</v>
      </c>
      <c r="O2096" s="1666"/>
    </row>
    <row r="2097" spans="11:15">
      <c r="K2097" s="1663">
        <v>44154</v>
      </c>
      <c r="L2097" s="1664" t="s">
        <v>2293</v>
      </c>
      <c r="M2097" s="1665">
        <v>7.4689999999999999E-3</v>
      </c>
      <c r="N2097" s="1666">
        <v>1.6132884015175926</v>
      </c>
      <c r="O2097" s="1666"/>
    </row>
    <row r="2098" spans="11:15">
      <c r="K2098" s="1663">
        <v>44155</v>
      </c>
      <c r="L2098" s="1664" t="s">
        <v>2293</v>
      </c>
      <c r="M2098" s="1665">
        <v>7.4689999999999999E-3</v>
      </c>
      <c r="N2098" s="1666">
        <v>1.6134088980283019</v>
      </c>
      <c r="O2098" s="1666"/>
    </row>
    <row r="2099" spans="11:15">
      <c r="K2099" s="1663">
        <v>44156</v>
      </c>
      <c r="L2099" s="1664"/>
      <c r="M2099" s="1665">
        <v>0</v>
      </c>
      <c r="N2099" s="1666">
        <v>1.6134088980283019</v>
      </c>
      <c r="O2099" s="1666"/>
    </row>
    <row r="2100" spans="11:15">
      <c r="K2100" s="1663">
        <v>44157</v>
      </c>
      <c r="L2100" s="1664"/>
      <c r="M2100" s="1665">
        <v>0</v>
      </c>
      <c r="N2100" s="1666">
        <v>1.6134088980283019</v>
      </c>
      <c r="O2100" s="1666"/>
    </row>
    <row r="2101" spans="11:15">
      <c r="K2101" s="1663">
        <v>44158</v>
      </c>
      <c r="L2101" s="1664" t="s">
        <v>2293</v>
      </c>
      <c r="M2101" s="1665">
        <v>7.4689999999999999E-3</v>
      </c>
      <c r="N2101" s="1666">
        <v>1.6135294035388956</v>
      </c>
      <c r="O2101" s="1666"/>
    </row>
    <row r="2102" spans="11:15">
      <c r="K2102" s="1663">
        <v>44159</v>
      </c>
      <c r="L2102" s="1664" t="s">
        <v>2293</v>
      </c>
      <c r="M2102" s="1665">
        <v>7.4689999999999999E-3</v>
      </c>
      <c r="N2102" s="1666">
        <v>1.6136499180500459</v>
      </c>
      <c r="O2102" s="1666"/>
    </row>
    <row r="2103" spans="11:15">
      <c r="K2103" s="1663">
        <v>44160</v>
      </c>
      <c r="L2103" s="1664" t="s">
        <v>2293</v>
      </c>
      <c r="M2103" s="1665">
        <v>7.4689999999999999E-3</v>
      </c>
      <c r="N2103" s="1666">
        <v>1.613770441562425</v>
      </c>
      <c r="O2103" s="1666"/>
    </row>
    <row r="2104" spans="11:15">
      <c r="K2104" s="1663">
        <v>44161</v>
      </c>
      <c r="L2104" s="1664" t="s">
        <v>2293</v>
      </c>
      <c r="M2104" s="1665">
        <v>7.4689999999999999E-3</v>
      </c>
      <c r="N2104" s="1666">
        <v>1.6138909740767051</v>
      </c>
      <c r="O2104" s="1666"/>
    </row>
    <row r="2105" spans="11:15">
      <c r="K2105" s="1663">
        <v>44162</v>
      </c>
      <c r="L2105" s="1664" t="s">
        <v>2293</v>
      </c>
      <c r="M2105" s="1665">
        <v>7.4689999999999999E-3</v>
      </c>
      <c r="N2105" s="1666">
        <v>1.6140115155935588</v>
      </c>
      <c r="O2105" s="1666"/>
    </row>
    <row r="2106" spans="11:15">
      <c r="K2106" s="1663">
        <v>44163</v>
      </c>
      <c r="L2106" s="1664"/>
      <c r="M2106" s="1665">
        <v>0</v>
      </c>
      <c r="N2106" s="1666">
        <v>1.6140115155935588</v>
      </c>
      <c r="O2106" s="1666"/>
    </row>
    <row r="2107" spans="11:15">
      <c r="K2107" s="1663">
        <v>44164</v>
      </c>
      <c r="L2107" s="1664"/>
      <c r="M2107" s="1665">
        <v>0</v>
      </c>
      <c r="N2107" s="1666">
        <v>1.6140115155935588</v>
      </c>
      <c r="O2107" s="1666"/>
    </row>
    <row r="2108" spans="11:15">
      <c r="K2108" s="1663">
        <v>44165</v>
      </c>
      <c r="L2108" s="1664" t="s">
        <v>2293</v>
      </c>
      <c r="M2108" s="1665">
        <v>7.4689999999999999E-3</v>
      </c>
      <c r="N2108" s="1666">
        <v>1.6141320661136584</v>
      </c>
      <c r="O2108" s="1666"/>
    </row>
    <row r="2109" spans="11:15">
      <c r="K2109" s="1663">
        <v>44166</v>
      </c>
      <c r="L2109" s="1664" t="s">
        <v>2293</v>
      </c>
      <c r="M2109" s="1665">
        <v>7.4689999999999999E-3</v>
      </c>
      <c r="N2109" s="1666">
        <v>1.6142526256376764</v>
      </c>
      <c r="O2109" s="1666"/>
    </row>
    <row r="2110" spans="11:15">
      <c r="K2110" s="1663">
        <v>44167</v>
      </c>
      <c r="L2110" s="1664" t="s">
        <v>2293</v>
      </c>
      <c r="M2110" s="1665">
        <v>7.4689999999999999E-3</v>
      </c>
      <c r="N2110" s="1666">
        <v>1.6143731941662851</v>
      </c>
      <c r="O2110" s="1666"/>
    </row>
    <row r="2111" spans="11:15">
      <c r="K2111" s="1663">
        <v>44168</v>
      </c>
      <c r="L2111" s="1664" t="s">
        <v>2293</v>
      </c>
      <c r="M2111" s="1665">
        <v>7.4689999999999999E-3</v>
      </c>
      <c r="N2111" s="1666">
        <v>1.6144937717001573</v>
      </c>
      <c r="O2111" s="1666"/>
    </row>
    <row r="2112" spans="11:15">
      <c r="K2112" s="1663">
        <v>44169</v>
      </c>
      <c r="L2112" s="1664" t="s">
        <v>2293</v>
      </c>
      <c r="M2112" s="1665">
        <v>7.4689999999999999E-3</v>
      </c>
      <c r="N2112" s="1666">
        <v>1.6146143582399655</v>
      </c>
      <c r="O2112" s="1666"/>
    </row>
    <row r="2113" spans="11:15">
      <c r="K2113" s="1663">
        <v>44170</v>
      </c>
      <c r="L2113" s="1664"/>
      <c r="M2113" s="1665">
        <v>0</v>
      </c>
      <c r="N2113" s="1666">
        <v>1.6146143582399655</v>
      </c>
      <c r="O2113" s="1666"/>
    </row>
    <row r="2114" spans="11:15">
      <c r="K2114" s="1663">
        <v>44171</v>
      </c>
      <c r="L2114" s="1664"/>
      <c r="M2114" s="1665">
        <v>0</v>
      </c>
      <c r="N2114" s="1666">
        <v>1.6146143582399655</v>
      </c>
      <c r="O2114" s="1666"/>
    </row>
    <row r="2115" spans="11:15">
      <c r="K2115" s="1663">
        <v>44172</v>
      </c>
      <c r="L2115" s="1664" t="s">
        <v>2293</v>
      </c>
      <c r="M2115" s="1665">
        <v>7.4689999999999999E-3</v>
      </c>
      <c r="N2115" s="1666">
        <v>1.6147349537863822</v>
      </c>
      <c r="O2115" s="1666"/>
    </row>
    <row r="2116" spans="11:15">
      <c r="K2116" s="1663">
        <v>44173</v>
      </c>
      <c r="L2116" s="1664" t="s">
        <v>2293</v>
      </c>
      <c r="M2116" s="1665">
        <v>7.4689999999999999E-3</v>
      </c>
      <c r="N2116" s="1666">
        <v>1.6148555583400803</v>
      </c>
      <c r="O2116" s="1666"/>
    </row>
    <row r="2117" spans="11:15">
      <c r="K2117" s="1663">
        <v>44174</v>
      </c>
      <c r="L2117" s="1664" t="s">
        <v>2293</v>
      </c>
      <c r="M2117" s="1665">
        <v>7.4689999999999999E-3</v>
      </c>
      <c r="N2117" s="1666">
        <v>1.6149761719017326</v>
      </c>
      <c r="O2117" s="1666"/>
    </row>
    <row r="2118" spans="11:15">
      <c r="K2118" s="1663">
        <v>44175</v>
      </c>
      <c r="L2118" s="1664" t="s">
        <v>2293</v>
      </c>
      <c r="M2118" s="1665">
        <v>7.4689999999999999E-3</v>
      </c>
      <c r="N2118" s="1666">
        <v>1.6150967944720118</v>
      </c>
      <c r="O2118" s="1666"/>
    </row>
    <row r="2119" spans="11:15">
      <c r="K2119" s="1663">
        <v>44176</v>
      </c>
      <c r="L2119" s="1664" t="s">
        <v>2293</v>
      </c>
      <c r="M2119" s="1665">
        <v>7.4689999999999999E-3</v>
      </c>
      <c r="N2119" s="1666">
        <v>1.6152174260515908</v>
      </c>
      <c r="O2119" s="1666"/>
    </row>
    <row r="2120" spans="11:15">
      <c r="K2120" s="1663">
        <v>44177</v>
      </c>
      <c r="L2120" s="1664"/>
      <c r="M2120" s="1665">
        <v>0</v>
      </c>
      <c r="N2120" s="1666">
        <v>1.6152174260515908</v>
      </c>
      <c r="O2120" s="1666"/>
    </row>
    <row r="2121" spans="11:15">
      <c r="K2121" s="1663">
        <v>44178</v>
      </c>
      <c r="L2121" s="1664"/>
      <c r="M2121" s="1665">
        <v>0</v>
      </c>
      <c r="N2121" s="1666">
        <v>1.6152174260515908</v>
      </c>
      <c r="O2121" s="1666"/>
    </row>
    <row r="2122" spans="11:15">
      <c r="K2122" s="1663">
        <v>44179</v>
      </c>
      <c r="L2122" s="1664" t="s">
        <v>2293</v>
      </c>
      <c r="M2122" s="1665">
        <v>7.4689999999999999E-3</v>
      </c>
      <c r="N2122" s="1666">
        <v>1.6153380666411425</v>
      </c>
      <c r="O2122" s="1666"/>
    </row>
    <row r="2123" spans="11:15">
      <c r="K2123" s="1663">
        <v>44180</v>
      </c>
      <c r="L2123" s="1664" t="s">
        <v>2293</v>
      </c>
      <c r="M2123" s="1665">
        <v>7.4689999999999999E-3</v>
      </c>
      <c r="N2123" s="1666">
        <v>1.6154587162413399</v>
      </c>
      <c r="O2123" s="1666"/>
    </row>
    <row r="2124" spans="11:15">
      <c r="K2124" s="1663">
        <v>44181</v>
      </c>
      <c r="L2124" s="1664" t="s">
        <v>2293</v>
      </c>
      <c r="M2124" s="1665">
        <v>7.4689999999999999E-3</v>
      </c>
      <c r="N2124" s="1666">
        <v>1.6155793748528557</v>
      </c>
      <c r="O2124" s="1666"/>
    </row>
    <row r="2125" spans="11:15">
      <c r="K2125" s="1663">
        <v>44182</v>
      </c>
      <c r="L2125" s="1664" t="s">
        <v>2293</v>
      </c>
      <c r="M2125" s="1665">
        <v>7.4689999999999999E-3</v>
      </c>
      <c r="N2125" s="1666">
        <v>1.6157000424763635</v>
      </c>
      <c r="O2125" s="1666"/>
    </row>
    <row r="2126" spans="11:15">
      <c r="K2126" s="1663">
        <v>44183</v>
      </c>
      <c r="L2126" s="1664" t="s">
        <v>2293</v>
      </c>
      <c r="M2126" s="1665">
        <v>7.4689999999999999E-3</v>
      </c>
      <c r="N2126" s="1666">
        <v>1.615820719112536</v>
      </c>
      <c r="O2126" s="1666"/>
    </row>
    <row r="2127" spans="11:15">
      <c r="K2127" s="1663">
        <v>44184</v>
      </c>
      <c r="L2127" s="1664"/>
      <c r="M2127" s="1665">
        <v>0</v>
      </c>
      <c r="N2127" s="1666">
        <v>1.615820719112536</v>
      </c>
      <c r="O2127" s="1666"/>
    </row>
    <row r="2128" spans="11:15">
      <c r="K2128" s="1663">
        <v>44185</v>
      </c>
      <c r="L2128" s="1664"/>
      <c r="M2128" s="1665">
        <v>0</v>
      </c>
      <c r="N2128" s="1666">
        <v>1.615820719112536</v>
      </c>
      <c r="O2128" s="1666"/>
    </row>
    <row r="2129" spans="11:15">
      <c r="K2129" s="1663">
        <v>44186</v>
      </c>
      <c r="L2129" s="1664" t="s">
        <v>2293</v>
      </c>
      <c r="M2129" s="1665">
        <v>7.4689999999999999E-3</v>
      </c>
      <c r="N2129" s="1666">
        <v>1.6159414047620464</v>
      </c>
      <c r="O2129" s="1666"/>
    </row>
    <row r="2130" spans="11:15">
      <c r="K2130" s="1663">
        <v>44187</v>
      </c>
      <c r="L2130" s="1664" t="s">
        <v>2293</v>
      </c>
      <c r="M2130" s="1665">
        <v>7.4689999999999999E-3</v>
      </c>
      <c r="N2130" s="1666">
        <v>1.6160620994255679</v>
      </c>
      <c r="O2130" s="1666"/>
    </row>
    <row r="2131" spans="11:15">
      <c r="K2131" s="1663">
        <v>44188</v>
      </c>
      <c r="L2131" s="1664" t="s">
        <v>2293</v>
      </c>
      <c r="M2131" s="1665">
        <v>7.4689999999999999E-3</v>
      </c>
      <c r="N2131" s="1666">
        <v>1.6161828031037739</v>
      </c>
      <c r="O2131" s="1666"/>
    </row>
    <row r="2132" spans="11:15">
      <c r="K2132" s="1663">
        <v>44189</v>
      </c>
      <c r="L2132" s="1664" t="s">
        <v>2293</v>
      </c>
      <c r="M2132" s="1665">
        <v>7.4689999999999999E-3</v>
      </c>
      <c r="N2132" s="1666">
        <v>1.6163035157973376</v>
      </c>
      <c r="O2132" s="1666"/>
    </row>
    <row r="2133" spans="11:15">
      <c r="K2133" s="1663">
        <v>44190</v>
      </c>
      <c r="L2133" s="1664"/>
      <c r="M2133" s="1665">
        <v>0</v>
      </c>
      <c r="N2133" s="1666">
        <v>1.6163035157973376</v>
      </c>
      <c r="O2133" s="1666"/>
    </row>
    <row r="2134" spans="11:15">
      <c r="K2134" s="1663">
        <v>44191</v>
      </c>
      <c r="L2134" s="1664"/>
      <c r="M2134" s="1665">
        <v>0</v>
      </c>
      <c r="N2134" s="1666">
        <v>1.6163035157973376</v>
      </c>
      <c r="O2134" s="1666"/>
    </row>
    <row r="2135" spans="11:15">
      <c r="K2135" s="1663">
        <v>44192</v>
      </c>
      <c r="L2135" s="1664"/>
      <c r="M2135" s="1665">
        <v>0</v>
      </c>
      <c r="N2135" s="1666">
        <v>1.6163035157973376</v>
      </c>
      <c r="O2135" s="1666"/>
    </row>
    <row r="2136" spans="11:15">
      <c r="K2136" s="1663">
        <v>44193</v>
      </c>
      <c r="L2136" s="1664" t="s">
        <v>2293</v>
      </c>
      <c r="M2136" s="1665">
        <v>7.4689999999999999E-3</v>
      </c>
      <c r="N2136" s="1666">
        <v>1.6164242375069324</v>
      </c>
      <c r="O2136" s="1666"/>
    </row>
    <row r="2137" spans="11:15">
      <c r="K2137" s="1663">
        <v>44194</v>
      </c>
      <c r="L2137" s="1664" t="s">
        <v>2293</v>
      </c>
      <c r="M2137" s="1665">
        <v>7.4689999999999999E-3</v>
      </c>
      <c r="N2137" s="1666">
        <v>1.6165449682332318</v>
      </c>
      <c r="O2137" s="1666"/>
    </row>
    <row r="2138" spans="11:15">
      <c r="K2138" s="1663">
        <v>44195</v>
      </c>
      <c r="L2138" s="1664" t="s">
        <v>2293</v>
      </c>
      <c r="M2138" s="1665">
        <v>7.4689999999999999E-3</v>
      </c>
      <c r="N2138" s="1666">
        <v>1.6166657079769091</v>
      </c>
      <c r="O2138" s="1666"/>
    </row>
    <row r="2139" spans="11:15">
      <c r="K2139" s="1663">
        <v>44196</v>
      </c>
      <c r="L2139" s="1664" t="s">
        <v>2293</v>
      </c>
      <c r="M2139" s="1665">
        <v>7.4689999999999999E-3</v>
      </c>
      <c r="N2139" s="1666">
        <v>1.6167864567386379</v>
      </c>
      <c r="O2139" s="1666"/>
    </row>
    <row r="2140" spans="11:15">
      <c r="K2140" s="1663">
        <v>44197</v>
      </c>
      <c r="L2140" s="1664"/>
      <c r="M2140" s="1665">
        <v>0</v>
      </c>
      <c r="N2140" s="1666">
        <v>1.6167864567386379</v>
      </c>
      <c r="O2140" s="1666"/>
    </row>
    <row r="2141" spans="11:15">
      <c r="K2141" s="1663">
        <v>44198</v>
      </c>
      <c r="L2141" s="1664"/>
      <c r="M2141" s="1665">
        <v>0</v>
      </c>
      <c r="N2141" s="1666">
        <v>1.6167864567386379</v>
      </c>
      <c r="O2141" s="1666"/>
    </row>
    <row r="2142" spans="11:15">
      <c r="K2142" s="1663">
        <v>44199</v>
      </c>
      <c r="L2142" s="1664"/>
      <c r="M2142" s="1665">
        <v>0</v>
      </c>
      <c r="N2142" s="1666">
        <v>1.6167864567386379</v>
      </c>
      <c r="O2142" s="1666"/>
    </row>
    <row r="2143" spans="11:15">
      <c r="K2143" s="1663">
        <v>44200</v>
      </c>
      <c r="L2143" s="1664" t="s">
        <v>2293</v>
      </c>
      <c r="M2143" s="1665">
        <v>7.4689999999999999E-3</v>
      </c>
      <c r="N2143" s="1666">
        <v>1.6169072145190915</v>
      </c>
      <c r="O2143" s="1666"/>
    </row>
    <row r="2144" spans="11:15">
      <c r="K2144" s="1663">
        <v>44201</v>
      </c>
      <c r="L2144" s="1664" t="s">
        <v>2293</v>
      </c>
      <c r="M2144" s="1665">
        <v>7.4689999999999999E-3</v>
      </c>
      <c r="N2144" s="1666">
        <v>1.6170279813189439</v>
      </c>
      <c r="O2144" s="1666"/>
    </row>
    <row r="2145" spans="11:15">
      <c r="K2145" s="1663">
        <v>44202</v>
      </c>
      <c r="L2145" s="1664" t="s">
        <v>2293</v>
      </c>
      <c r="M2145" s="1665">
        <v>7.4689999999999999E-3</v>
      </c>
      <c r="N2145" s="1666">
        <v>1.6171487571388685</v>
      </c>
      <c r="O2145" s="1666"/>
    </row>
    <row r="2146" spans="11:15">
      <c r="K2146" s="1663">
        <v>44203</v>
      </c>
      <c r="L2146" s="1664" t="s">
        <v>2293</v>
      </c>
      <c r="M2146" s="1665">
        <v>7.4689999999999999E-3</v>
      </c>
      <c r="N2146" s="1666">
        <v>1.6172695419795391</v>
      </c>
      <c r="O2146" s="1666"/>
    </row>
    <row r="2147" spans="11:15">
      <c r="K2147" s="1663">
        <v>44204</v>
      </c>
      <c r="L2147" s="1664" t="s">
        <v>2293</v>
      </c>
      <c r="M2147" s="1665">
        <v>7.4689999999999999E-3</v>
      </c>
      <c r="N2147" s="1666">
        <v>1.6173903358416295</v>
      </c>
      <c r="O2147" s="1666"/>
    </row>
    <row r="2148" spans="11:15">
      <c r="K2148" s="1663">
        <v>44205</v>
      </c>
      <c r="L2148" s="1664"/>
      <c r="M2148" s="1665">
        <v>0</v>
      </c>
      <c r="N2148" s="1666">
        <v>1.6173903358416295</v>
      </c>
      <c r="O2148" s="1666"/>
    </row>
    <row r="2149" spans="11:15">
      <c r="K2149" s="1663">
        <v>44206</v>
      </c>
      <c r="L2149" s="1664"/>
      <c r="M2149" s="1665">
        <v>0</v>
      </c>
      <c r="N2149" s="1666">
        <v>1.6173903358416295</v>
      </c>
      <c r="O2149" s="1666"/>
    </row>
    <row r="2150" spans="11:15">
      <c r="K2150" s="1663">
        <v>44207</v>
      </c>
      <c r="L2150" s="1664" t="s">
        <v>2293</v>
      </c>
      <c r="M2150" s="1665">
        <v>7.4689999999999999E-3</v>
      </c>
      <c r="N2150" s="1666">
        <v>1.6175111387258134</v>
      </c>
      <c r="O2150" s="1666"/>
    </row>
    <row r="2151" spans="11:15">
      <c r="K2151" s="1663">
        <v>44208</v>
      </c>
      <c r="L2151" s="1664" t="s">
        <v>2293</v>
      </c>
      <c r="M2151" s="1665">
        <v>7.4689999999999999E-3</v>
      </c>
      <c r="N2151" s="1666">
        <v>1.6176319506327648</v>
      </c>
      <c r="O2151" s="1666"/>
    </row>
    <row r="2152" spans="11:15">
      <c r="K2152" s="1663">
        <v>44209</v>
      </c>
      <c r="L2152" s="1664" t="s">
        <v>2293</v>
      </c>
      <c r="M2152" s="1665">
        <v>7.4689999999999999E-3</v>
      </c>
      <c r="N2152" s="1666">
        <v>1.6177527715631574</v>
      </c>
      <c r="O2152" s="1666"/>
    </row>
    <row r="2153" spans="11:15">
      <c r="K2153" s="1663">
        <v>44210</v>
      </c>
      <c r="L2153" s="1664" t="s">
        <v>2293</v>
      </c>
      <c r="M2153" s="1665">
        <v>7.4689999999999999E-3</v>
      </c>
      <c r="N2153" s="1666">
        <v>1.6178736015176653</v>
      </c>
      <c r="O2153" s="1666"/>
    </row>
    <row r="2154" spans="11:15">
      <c r="K2154" s="1663">
        <v>44211</v>
      </c>
      <c r="L2154" s="1664" t="s">
        <v>2293</v>
      </c>
      <c r="M2154" s="1665">
        <v>7.4689999999999999E-3</v>
      </c>
      <c r="N2154" s="1666">
        <v>1.6179944404969626</v>
      </c>
      <c r="O2154" s="1666"/>
    </row>
    <row r="2155" spans="11:15">
      <c r="K2155" s="1663">
        <v>44212</v>
      </c>
      <c r="L2155" s="1664"/>
      <c r="M2155" s="1665">
        <v>0</v>
      </c>
      <c r="N2155" s="1666">
        <v>1.6179944404969626</v>
      </c>
      <c r="O2155" s="1666"/>
    </row>
    <row r="2156" spans="11:15">
      <c r="K2156" s="1663">
        <v>44213</v>
      </c>
      <c r="L2156" s="1664"/>
      <c r="M2156" s="1665">
        <v>0</v>
      </c>
      <c r="N2156" s="1666">
        <v>1.6179944404969626</v>
      </c>
      <c r="O2156" s="1666"/>
    </row>
    <row r="2157" spans="11:15">
      <c r="K2157" s="1663">
        <v>44214</v>
      </c>
      <c r="L2157" s="1664" t="s">
        <v>2293</v>
      </c>
      <c r="M2157" s="1665">
        <v>7.4689999999999999E-3</v>
      </c>
      <c r="N2157" s="1666">
        <v>1.6181152885017231</v>
      </c>
      <c r="O2157" s="1666"/>
    </row>
    <row r="2158" spans="11:15">
      <c r="K2158" s="1663">
        <v>44215</v>
      </c>
      <c r="L2158" s="1664" t="s">
        <v>2293</v>
      </c>
      <c r="M2158" s="1665">
        <v>7.4689999999999999E-3</v>
      </c>
      <c r="N2158" s="1666">
        <v>1.6182361455326213</v>
      </c>
      <c r="O2158" s="1666"/>
    </row>
    <row r="2159" spans="11:15">
      <c r="K2159" s="1663">
        <v>44216</v>
      </c>
      <c r="L2159" s="1664" t="s">
        <v>2293</v>
      </c>
      <c r="M2159" s="1665">
        <v>7.4689999999999999E-3</v>
      </c>
      <c r="N2159" s="1666">
        <v>1.618357011590331</v>
      </c>
      <c r="O2159" s="1666"/>
    </row>
    <row r="2160" spans="11:15">
      <c r="K2160" s="1663">
        <v>44217</v>
      </c>
      <c r="L2160" s="1664" t="s">
        <v>2293</v>
      </c>
      <c r="M2160" s="1665">
        <v>7.4689999999999999E-3</v>
      </c>
      <c r="N2160" s="1666">
        <v>1.6184778866755265</v>
      </c>
      <c r="O2160" s="1666"/>
    </row>
    <row r="2161" spans="11:15">
      <c r="K2161" s="1663">
        <v>44218</v>
      </c>
      <c r="L2161" s="1664" t="s">
        <v>2293</v>
      </c>
      <c r="M2161" s="1665">
        <v>7.4689999999999999E-3</v>
      </c>
      <c r="N2161" s="1666">
        <v>1.6185987707888823</v>
      </c>
      <c r="O2161" s="1666"/>
    </row>
    <row r="2162" spans="11:15">
      <c r="K2162" s="1663">
        <v>44219</v>
      </c>
      <c r="L2162" s="1664"/>
      <c r="M2162" s="1665">
        <v>0</v>
      </c>
      <c r="N2162" s="1666">
        <v>1.6185987707888823</v>
      </c>
      <c r="O2162" s="1666"/>
    </row>
    <row r="2163" spans="11:15">
      <c r="K2163" s="1663">
        <v>44220</v>
      </c>
      <c r="L2163" s="1664"/>
      <c r="M2163" s="1665">
        <v>0</v>
      </c>
      <c r="N2163" s="1666">
        <v>1.6185987707888823</v>
      </c>
      <c r="O2163" s="1666"/>
    </row>
    <row r="2164" spans="11:15">
      <c r="K2164" s="1663">
        <v>44221</v>
      </c>
      <c r="L2164" s="1664" t="s">
        <v>2293</v>
      </c>
      <c r="M2164" s="1665">
        <v>7.4689999999999999E-3</v>
      </c>
      <c r="N2164" s="1666">
        <v>1.6187196639310724</v>
      </c>
      <c r="O2164" s="1666"/>
    </row>
    <row r="2165" spans="11:15">
      <c r="K2165" s="1663">
        <v>44222</v>
      </c>
      <c r="L2165" s="1664" t="s">
        <v>2293</v>
      </c>
      <c r="M2165" s="1665">
        <v>7.4689999999999999E-3</v>
      </c>
      <c r="N2165" s="1666">
        <v>1.6188405661027712</v>
      </c>
      <c r="O2165" s="1666"/>
    </row>
    <row r="2166" spans="11:15">
      <c r="K2166" s="1663">
        <v>44223</v>
      </c>
      <c r="L2166" s="1664" t="s">
        <v>2293</v>
      </c>
      <c r="M2166" s="1665">
        <v>7.4689999999999999E-3</v>
      </c>
      <c r="N2166" s="1666">
        <v>1.6189614773046532</v>
      </c>
      <c r="O2166" s="1666"/>
    </row>
    <row r="2167" spans="11:15">
      <c r="K2167" s="1663">
        <v>44224</v>
      </c>
      <c r="L2167" s="1664" t="s">
        <v>2293</v>
      </c>
      <c r="M2167" s="1665">
        <v>7.4689999999999999E-3</v>
      </c>
      <c r="N2167" s="1666">
        <v>1.6190823975373929</v>
      </c>
      <c r="O2167" s="1666"/>
    </row>
    <row r="2168" spans="11:15">
      <c r="K2168" s="1663">
        <v>44225</v>
      </c>
      <c r="L2168" s="1664" t="s">
        <v>2293</v>
      </c>
      <c r="M2168" s="1665">
        <v>7.4689999999999999E-3</v>
      </c>
      <c r="N2168" s="1666">
        <v>1.6192033268016648</v>
      </c>
      <c r="O2168" s="1666"/>
    </row>
    <row r="2169" spans="11:15">
      <c r="K2169" s="1663">
        <v>44226</v>
      </c>
      <c r="L2169" s="1664"/>
      <c r="M2169" s="1665">
        <v>0</v>
      </c>
      <c r="N2169" s="1666">
        <v>1.6192033268016648</v>
      </c>
      <c r="O2169" s="1666"/>
    </row>
    <row r="2170" spans="11:15">
      <c r="K2170" s="1663">
        <v>44227</v>
      </c>
      <c r="L2170" s="1664"/>
      <c r="M2170" s="1665">
        <v>0</v>
      </c>
      <c r="N2170" s="1666">
        <v>1.6192033268016648</v>
      </c>
      <c r="O2170" s="1666"/>
    </row>
    <row r="2171" spans="11:15">
      <c r="K2171" s="1663">
        <v>44228</v>
      </c>
      <c r="L2171" s="1664" t="s">
        <v>2293</v>
      </c>
      <c r="M2171" s="1665">
        <v>7.4689999999999999E-3</v>
      </c>
      <c r="N2171" s="1666">
        <v>1.6193242650981434</v>
      </c>
      <c r="O2171" s="1666"/>
    </row>
    <row r="2172" spans="11:15">
      <c r="K2172" s="1663">
        <v>44229</v>
      </c>
      <c r="L2172" s="1664" t="s">
        <v>2293</v>
      </c>
      <c r="M2172" s="1665">
        <v>7.4689999999999999E-3</v>
      </c>
      <c r="N2172" s="1666">
        <v>1.6194452124275034</v>
      </c>
      <c r="O2172" s="1666"/>
    </row>
    <row r="2173" spans="11:15">
      <c r="K2173" s="1663">
        <v>44230</v>
      </c>
      <c r="L2173" s="1664" t="s">
        <v>2293</v>
      </c>
      <c r="M2173" s="1665">
        <v>7.4689999999999999E-3</v>
      </c>
      <c r="N2173" s="1666">
        <v>1.6195661687904195</v>
      </c>
      <c r="O2173" s="1666"/>
    </row>
    <row r="2174" spans="11:15">
      <c r="K2174" s="1663">
        <v>44231</v>
      </c>
      <c r="L2174" s="1664" t="s">
        <v>2293</v>
      </c>
      <c r="M2174" s="1665">
        <v>7.4689999999999999E-3</v>
      </c>
      <c r="N2174" s="1666">
        <v>1.6196871341875663</v>
      </c>
      <c r="O2174" s="1666"/>
    </row>
    <row r="2175" spans="11:15">
      <c r="K2175" s="1663">
        <v>44232</v>
      </c>
      <c r="L2175" s="1664" t="s">
        <v>2293</v>
      </c>
      <c r="M2175" s="1665">
        <v>7.4689999999999999E-3</v>
      </c>
      <c r="N2175" s="1666">
        <v>1.6198081086196185</v>
      </c>
      <c r="O2175" s="1666"/>
    </row>
    <row r="2176" spans="11:15">
      <c r="K2176" s="1663">
        <v>44233</v>
      </c>
      <c r="L2176" s="1664"/>
      <c r="M2176" s="1665">
        <v>0</v>
      </c>
      <c r="N2176" s="1666">
        <v>1.6198081086196185</v>
      </c>
      <c r="O2176" s="1666"/>
    </row>
    <row r="2177" spans="11:15">
      <c r="K2177" s="1663">
        <v>44234</v>
      </c>
      <c r="L2177" s="1664"/>
      <c r="M2177" s="1665">
        <v>0</v>
      </c>
      <c r="N2177" s="1666">
        <v>1.6198081086196185</v>
      </c>
      <c r="O2177" s="1666"/>
    </row>
    <row r="2178" spans="11:15">
      <c r="K2178" s="1663">
        <v>44235</v>
      </c>
      <c r="L2178" s="1664" t="s">
        <v>2293</v>
      </c>
      <c r="M2178" s="1665">
        <v>7.4689999999999999E-3</v>
      </c>
      <c r="N2178" s="1666">
        <v>1.6199290920872513</v>
      </c>
      <c r="O2178" s="1666"/>
    </row>
    <row r="2179" spans="11:15">
      <c r="K2179" s="1663">
        <v>44236</v>
      </c>
      <c r="L2179" s="1664" t="s">
        <v>2293</v>
      </c>
      <c r="M2179" s="1665">
        <v>7.4689999999999999E-3</v>
      </c>
      <c r="N2179" s="1666">
        <v>1.6200500845911392</v>
      </c>
      <c r="O2179" s="1666"/>
    </row>
    <row r="2180" spans="11:15">
      <c r="K2180" s="1663">
        <v>44237</v>
      </c>
      <c r="L2180" s="1664" t="s">
        <v>2293</v>
      </c>
      <c r="M2180" s="1665">
        <v>7.4689999999999999E-3</v>
      </c>
      <c r="N2180" s="1666">
        <v>1.6201710861319571</v>
      </c>
      <c r="O2180" s="1666"/>
    </row>
    <row r="2181" spans="11:15">
      <c r="K2181" s="1663">
        <v>44238</v>
      </c>
      <c r="L2181" s="1664" t="s">
        <v>2293</v>
      </c>
      <c r="M2181" s="1665">
        <v>7.4689999999999999E-3</v>
      </c>
      <c r="N2181" s="1666">
        <v>1.6202920967103802</v>
      </c>
      <c r="O2181" s="1666"/>
    </row>
    <row r="2182" spans="11:15">
      <c r="K2182" s="1663">
        <v>44239</v>
      </c>
      <c r="L2182" s="1664" t="s">
        <v>2293</v>
      </c>
      <c r="M2182" s="1665">
        <v>7.4689999999999999E-3</v>
      </c>
      <c r="N2182" s="1666">
        <v>1.6204131163270834</v>
      </c>
      <c r="O2182" s="1666"/>
    </row>
    <row r="2183" spans="11:15">
      <c r="K2183" s="1663">
        <v>44240</v>
      </c>
      <c r="L2183" s="1664"/>
      <c r="M2183" s="1665">
        <v>0</v>
      </c>
      <c r="N2183" s="1666">
        <v>1.6204131163270834</v>
      </c>
      <c r="O2183" s="1666"/>
    </row>
    <row r="2184" spans="11:15">
      <c r="K2184" s="1663">
        <v>44241</v>
      </c>
      <c r="L2184" s="1664"/>
      <c r="M2184" s="1665">
        <v>0</v>
      </c>
      <c r="N2184" s="1666">
        <v>1.6204131163270834</v>
      </c>
      <c r="O2184" s="1666"/>
    </row>
    <row r="2185" spans="11:15">
      <c r="K2185" s="1663">
        <v>44242</v>
      </c>
      <c r="L2185" s="1664"/>
      <c r="M2185" s="1665">
        <v>0</v>
      </c>
      <c r="N2185" s="1666">
        <v>1.6204131163270834</v>
      </c>
      <c r="O2185" s="1666"/>
    </row>
    <row r="2186" spans="11:15">
      <c r="K2186" s="1663">
        <v>44243</v>
      </c>
      <c r="L2186" s="1664"/>
      <c r="M2186" s="1665">
        <v>0</v>
      </c>
      <c r="N2186" s="1666">
        <v>1.6204131163270834</v>
      </c>
      <c r="O2186" s="1666"/>
    </row>
    <row r="2187" spans="11:15">
      <c r="K2187" s="1663">
        <v>44244</v>
      </c>
      <c r="L2187" s="1664" t="s">
        <v>2293</v>
      </c>
      <c r="M2187" s="1665">
        <v>7.4689999999999999E-3</v>
      </c>
      <c r="N2187" s="1666">
        <v>1.6205341449827417</v>
      </c>
      <c r="O2187" s="1666"/>
    </row>
    <row r="2188" spans="11:15">
      <c r="K2188" s="1663">
        <v>44245</v>
      </c>
      <c r="L2188" s="1664" t="s">
        <v>2293</v>
      </c>
      <c r="M2188" s="1665">
        <v>7.4689999999999999E-3</v>
      </c>
      <c r="N2188" s="1666">
        <v>1.6206551826780304</v>
      </c>
      <c r="O2188" s="1666"/>
    </row>
    <row r="2189" spans="11:15">
      <c r="K2189" s="1663">
        <v>44246</v>
      </c>
      <c r="L2189" s="1664" t="s">
        <v>2293</v>
      </c>
      <c r="M2189" s="1665">
        <v>7.4689999999999999E-3</v>
      </c>
      <c r="N2189" s="1666">
        <v>1.6207762294136245</v>
      </c>
      <c r="O2189" s="1666"/>
    </row>
    <row r="2190" spans="11:15">
      <c r="K2190" s="1663">
        <v>44247</v>
      </c>
      <c r="L2190" s="1664"/>
      <c r="M2190" s="1665">
        <v>0</v>
      </c>
      <c r="N2190" s="1666">
        <v>1.6207762294136245</v>
      </c>
      <c r="O2190" s="1666"/>
    </row>
    <row r="2191" spans="11:15">
      <c r="K2191" s="1663">
        <v>44248</v>
      </c>
      <c r="L2191" s="1664"/>
      <c r="M2191" s="1665">
        <v>0</v>
      </c>
      <c r="N2191" s="1666">
        <v>1.6207762294136245</v>
      </c>
      <c r="O2191" s="1666"/>
    </row>
    <row r="2192" spans="11:15">
      <c r="K2192" s="1663">
        <v>44249</v>
      </c>
      <c r="L2192" s="1664" t="s">
        <v>2293</v>
      </c>
      <c r="M2192" s="1665">
        <v>7.4689999999999999E-3</v>
      </c>
      <c r="N2192" s="1666">
        <v>1.6208972851901993</v>
      </c>
      <c r="O2192" s="1666"/>
    </row>
    <row r="2193" spans="11:15">
      <c r="K2193" s="1663">
        <v>44250</v>
      </c>
      <c r="L2193" s="1664" t="s">
        <v>2293</v>
      </c>
      <c r="M2193" s="1665">
        <v>7.4689999999999999E-3</v>
      </c>
      <c r="N2193" s="1666">
        <v>1.6210183500084301</v>
      </c>
      <c r="O2193" s="1666"/>
    </row>
    <row r="2194" spans="11:15">
      <c r="K2194" s="1663">
        <v>44251</v>
      </c>
      <c r="L2194" s="1664" t="s">
        <v>2293</v>
      </c>
      <c r="M2194" s="1665">
        <v>7.4689999999999999E-3</v>
      </c>
      <c r="N2194" s="1666">
        <v>1.621139423868992</v>
      </c>
      <c r="O2194" s="1666"/>
    </row>
    <row r="2195" spans="11:15">
      <c r="K2195" s="1663">
        <v>44252</v>
      </c>
      <c r="L2195" s="1664" t="s">
        <v>2293</v>
      </c>
      <c r="M2195" s="1665">
        <v>7.4689999999999999E-3</v>
      </c>
      <c r="N2195" s="1666">
        <v>1.6212605067725607</v>
      </c>
      <c r="O2195" s="1666"/>
    </row>
    <row r="2196" spans="11:15">
      <c r="K2196" s="1663">
        <v>44253</v>
      </c>
      <c r="L2196" s="1664" t="s">
        <v>2293</v>
      </c>
      <c r="M2196" s="1665">
        <v>7.4689999999999999E-3</v>
      </c>
      <c r="N2196" s="1666">
        <v>1.6213815987198115</v>
      </c>
      <c r="O2196" s="1666"/>
    </row>
    <row r="2197" spans="11:15">
      <c r="K2197" s="1663">
        <v>44254</v>
      </c>
      <c r="L2197" s="1664"/>
      <c r="M2197" s="1665">
        <v>0</v>
      </c>
      <c r="N2197" s="1666">
        <v>1.6213815987198115</v>
      </c>
      <c r="O2197" s="1666"/>
    </row>
    <row r="2198" spans="11:15">
      <c r="K2198" s="1663">
        <v>44255</v>
      </c>
      <c r="L2198" s="1664"/>
      <c r="M2198" s="1665">
        <v>0</v>
      </c>
      <c r="N2198" s="1666">
        <v>1.6213815987198115</v>
      </c>
      <c r="O2198" s="1666"/>
    </row>
    <row r="2199" spans="11:15">
      <c r="K2199" s="1663">
        <v>44256</v>
      </c>
      <c r="L2199" s="1664" t="s">
        <v>2293</v>
      </c>
      <c r="M2199" s="1665">
        <v>7.4689999999999999E-3</v>
      </c>
      <c r="N2199" s="1666">
        <v>1.6215026997114197</v>
      </c>
      <c r="O2199" s="1666"/>
    </row>
    <row r="2200" spans="11:15">
      <c r="K2200" s="1663">
        <v>44257</v>
      </c>
      <c r="L2200" s="1664" t="s">
        <v>2293</v>
      </c>
      <c r="M2200" s="1665">
        <v>7.4689999999999999E-3</v>
      </c>
      <c r="N2200" s="1666">
        <v>1.6216238097480611</v>
      </c>
      <c r="O2200" s="1666"/>
    </row>
    <row r="2201" spans="11:15">
      <c r="K2201" s="1663">
        <v>44258</v>
      </c>
      <c r="L2201" s="1664" t="s">
        <v>2293</v>
      </c>
      <c r="M2201" s="1665">
        <v>7.4689999999999999E-3</v>
      </c>
      <c r="N2201" s="1666">
        <v>1.6217449288304111</v>
      </c>
      <c r="O2201" s="1666"/>
    </row>
    <row r="2202" spans="11:15">
      <c r="K2202" s="1663">
        <v>44259</v>
      </c>
      <c r="L2202" s="1664" t="s">
        <v>2293</v>
      </c>
      <c r="M2202" s="1665">
        <v>7.4689999999999999E-3</v>
      </c>
      <c r="N2202" s="1666">
        <v>1.6218660569591454</v>
      </c>
      <c r="O2202" s="1666"/>
    </row>
    <row r="2203" spans="11:15">
      <c r="K2203" s="1663">
        <v>44260</v>
      </c>
      <c r="L2203" s="1664" t="s">
        <v>2293</v>
      </c>
      <c r="M2203" s="1665">
        <v>7.4689999999999999E-3</v>
      </c>
      <c r="N2203" s="1666">
        <v>1.6219871941349395</v>
      </c>
      <c r="O2203" s="1666"/>
    </row>
    <row r="2204" spans="11:15">
      <c r="K2204" s="1663">
        <v>44261</v>
      </c>
      <c r="L2204" s="1664"/>
      <c r="M2204" s="1665">
        <v>0</v>
      </c>
      <c r="N2204" s="1666">
        <v>1.6219871941349395</v>
      </c>
      <c r="O2204" s="1666"/>
    </row>
    <row r="2205" spans="11:15">
      <c r="K2205" s="1663">
        <v>44262</v>
      </c>
      <c r="L2205" s="1664"/>
      <c r="M2205" s="1665">
        <v>0</v>
      </c>
      <c r="N2205" s="1666">
        <v>1.6219871941349395</v>
      </c>
      <c r="O2205" s="1666"/>
    </row>
    <row r="2206" spans="11:15">
      <c r="K2206" s="1663">
        <v>44263</v>
      </c>
      <c r="L2206" s="1664" t="s">
        <v>2293</v>
      </c>
      <c r="M2206" s="1665">
        <v>7.4689999999999999E-3</v>
      </c>
      <c r="N2206" s="1666">
        <v>1.6221083403584693</v>
      </c>
      <c r="O2206" s="1666"/>
    </row>
    <row r="2207" spans="11:15">
      <c r="K2207" s="1663">
        <v>44264</v>
      </c>
      <c r="L2207" s="1664" t="s">
        <v>2293</v>
      </c>
      <c r="M2207" s="1665">
        <v>7.4689999999999999E-3</v>
      </c>
      <c r="N2207" s="1666">
        <v>1.6222294956304106</v>
      </c>
      <c r="O2207" s="1666"/>
    </row>
    <row r="2208" spans="11:15">
      <c r="K2208" s="1663">
        <v>44265</v>
      </c>
      <c r="L2208" s="1664" t="s">
        <v>2293</v>
      </c>
      <c r="M2208" s="1665">
        <v>7.4689999999999999E-3</v>
      </c>
      <c r="N2208" s="1666">
        <v>1.6223506599514392</v>
      </c>
      <c r="O2208" s="1666"/>
    </row>
    <row r="2209" spans="11:15">
      <c r="K2209" s="1663">
        <v>44266</v>
      </c>
      <c r="L2209" s="1664" t="s">
        <v>2293</v>
      </c>
      <c r="M2209" s="1665">
        <v>7.4689999999999999E-3</v>
      </c>
      <c r="N2209" s="1666">
        <v>1.622471833322231</v>
      </c>
      <c r="O2209" s="1666"/>
    </row>
    <row r="2210" spans="11:15">
      <c r="K2210" s="1663">
        <v>44267</v>
      </c>
      <c r="L2210" s="1664" t="s">
        <v>2293</v>
      </c>
      <c r="M2210" s="1665">
        <v>7.4689999999999999E-3</v>
      </c>
      <c r="N2210" s="1666">
        <v>1.6225930157434618</v>
      </c>
      <c r="O2210" s="1666"/>
    </row>
    <row r="2211" spans="11:15">
      <c r="K2211" s="1663">
        <v>44268</v>
      </c>
      <c r="L2211" s="1664"/>
      <c r="M2211" s="1665">
        <v>0</v>
      </c>
      <c r="N2211" s="1666">
        <v>1.6225930157434618</v>
      </c>
      <c r="O2211" s="1666"/>
    </row>
    <row r="2212" spans="11:15">
      <c r="K2212" s="1663">
        <v>44269</v>
      </c>
      <c r="L2212" s="1664"/>
      <c r="M2212" s="1665">
        <v>0</v>
      </c>
      <c r="N2212" s="1666">
        <v>1.6225930157434618</v>
      </c>
      <c r="O2212" s="1666"/>
    </row>
    <row r="2213" spans="11:15">
      <c r="K2213" s="1663">
        <v>44270</v>
      </c>
      <c r="L2213" s="1664" t="s">
        <v>2293</v>
      </c>
      <c r="M2213" s="1665">
        <v>7.4689999999999999E-3</v>
      </c>
      <c r="N2213" s="1666">
        <v>1.6227142072158076</v>
      </c>
      <c r="O2213" s="1666"/>
    </row>
    <row r="2214" spans="11:15">
      <c r="K2214" s="1663">
        <v>44271</v>
      </c>
      <c r="L2214" s="1664" t="s">
        <v>2293</v>
      </c>
      <c r="M2214" s="1665">
        <v>7.4689999999999999E-3</v>
      </c>
      <c r="N2214" s="1666">
        <v>1.6228354077399445</v>
      </c>
      <c r="O2214" s="1666"/>
    </row>
    <row r="2215" spans="11:15">
      <c r="K2215" s="1663">
        <v>44272</v>
      </c>
      <c r="L2215" s="1664" t="s">
        <v>2293</v>
      </c>
      <c r="M2215" s="1665">
        <v>7.4689999999999999E-3</v>
      </c>
      <c r="N2215" s="1666">
        <v>1.6229566173165484</v>
      </c>
      <c r="O2215" s="1666"/>
    </row>
    <row r="2216" spans="11:15">
      <c r="K2216" s="1663">
        <v>44273</v>
      </c>
      <c r="L2216" s="1664" t="s">
        <v>2293</v>
      </c>
      <c r="M2216" s="1665">
        <v>1.0378999999999999E-2</v>
      </c>
      <c r="N2216" s="1666">
        <v>1.6231250639838597</v>
      </c>
      <c r="O2216" s="1666"/>
    </row>
    <row r="2217" spans="11:15">
      <c r="K2217" s="1663">
        <v>44274</v>
      </c>
      <c r="L2217" s="1664" t="s">
        <v>2293</v>
      </c>
      <c r="M2217" s="1665">
        <v>1.0378999999999999E-2</v>
      </c>
      <c r="N2217" s="1666">
        <v>1.6232935281342507</v>
      </c>
      <c r="O2217" s="1666"/>
    </row>
    <row r="2218" spans="11:15">
      <c r="K2218" s="1663">
        <v>44275</v>
      </c>
      <c r="L2218" s="1664"/>
      <c r="M2218" s="1665">
        <v>0</v>
      </c>
      <c r="N2218" s="1666">
        <v>1.6232935281342507</v>
      </c>
      <c r="O2218" s="1666"/>
    </row>
    <row r="2219" spans="11:15">
      <c r="K2219" s="1663">
        <v>44276</v>
      </c>
      <c r="L2219" s="1664"/>
      <c r="M2219" s="1665">
        <v>0</v>
      </c>
      <c r="N2219" s="1666">
        <v>1.6232935281342507</v>
      </c>
      <c r="O2219" s="1666"/>
    </row>
    <row r="2220" spans="11:15">
      <c r="K2220" s="1663">
        <v>44277</v>
      </c>
      <c r="L2220" s="1664" t="s">
        <v>2293</v>
      </c>
      <c r="M2220" s="1665">
        <v>1.0378999999999999E-2</v>
      </c>
      <c r="N2220" s="1666">
        <v>1.6234620097695358</v>
      </c>
      <c r="O2220" s="1666"/>
    </row>
    <row r="2221" spans="11:15">
      <c r="K2221" s="1663">
        <v>44278</v>
      </c>
      <c r="L2221" s="1664" t="s">
        <v>2293</v>
      </c>
      <c r="M2221" s="1665">
        <v>1.0378999999999999E-2</v>
      </c>
      <c r="N2221" s="1666">
        <v>1.6236305088915299</v>
      </c>
      <c r="O2221" s="1666"/>
    </row>
    <row r="2222" spans="11:15">
      <c r="K2222" s="1663">
        <v>44279</v>
      </c>
      <c r="L2222" s="1664" t="s">
        <v>2293</v>
      </c>
      <c r="M2222" s="1665">
        <v>1.0378999999999999E-2</v>
      </c>
      <c r="N2222" s="1666">
        <v>1.6237990255020478</v>
      </c>
      <c r="O2222" s="1666"/>
    </row>
    <row r="2223" spans="11:15">
      <c r="K2223" s="1663">
        <v>44280</v>
      </c>
      <c r="L2223" s="1664" t="s">
        <v>2293</v>
      </c>
      <c r="M2223" s="1665">
        <v>1.0378999999999999E-2</v>
      </c>
      <c r="N2223" s="1666">
        <v>1.6239675596029048</v>
      </c>
      <c r="O2223" s="1666"/>
    </row>
    <row r="2224" spans="11:15">
      <c r="K2224" s="1663">
        <v>44281</v>
      </c>
      <c r="L2224" s="1664" t="s">
        <v>2293</v>
      </c>
      <c r="M2224" s="1665">
        <v>1.0378999999999999E-2</v>
      </c>
      <c r="N2224" s="1666">
        <v>1.6241361111959161</v>
      </c>
      <c r="O2224" s="1666"/>
    </row>
    <row r="2225" spans="11:15">
      <c r="K2225" s="1663">
        <v>44282</v>
      </c>
      <c r="L2225" s="1664"/>
      <c r="M2225" s="1665">
        <v>0</v>
      </c>
      <c r="N2225" s="1666">
        <v>1.6241361111959161</v>
      </c>
      <c r="O2225" s="1666"/>
    </row>
    <row r="2226" spans="11:15">
      <c r="K2226" s="1663">
        <v>44283</v>
      </c>
      <c r="L2226" s="1664"/>
      <c r="M2226" s="1665">
        <v>0</v>
      </c>
      <c r="N2226" s="1666">
        <v>1.6241361111959161</v>
      </c>
      <c r="O2226" s="1666"/>
    </row>
    <row r="2227" spans="11:15">
      <c r="K2227" s="1663">
        <v>44284</v>
      </c>
      <c r="L2227" s="1664" t="s">
        <v>2293</v>
      </c>
      <c r="M2227" s="1665">
        <v>1.0378999999999999E-2</v>
      </c>
      <c r="N2227" s="1666">
        <v>1.6243046802828971</v>
      </c>
      <c r="O2227" s="1666"/>
    </row>
    <row r="2228" spans="11:15">
      <c r="K2228" s="1663">
        <v>44285</v>
      </c>
      <c r="L2228" s="1664" t="s">
        <v>2293</v>
      </c>
      <c r="M2228" s="1665">
        <v>1.0378999999999999E-2</v>
      </c>
      <c r="N2228" s="1666">
        <v>1.6244732668656638</v>
      </c>
      <c r="O2228" s="1666"/>
    </row>
    <row r="2229" spans="11:15">
      <c r="K2229" s="1663">
        <v>44286</v>
      </c>
      <c r="L2229" s="1664" t="s">
        <v>2293</v>
      </c>
      <c r="M2229" s="1665">
        <v>1.0378999999999999E-2</v>
      </c>
      <c r="N2229" s="1666">
        <v>1.624641870946032</v>
      </c>
      <c r="O2229" s="1666"/>
    </row>
    <row r="2230" spans="11:15">
      <c r="K2230" s="1663">
        <v>44287</v>
      </c>
      <c r="L2230" s="1664" t="s">
        <v>2293</v>
      </c>
      <c r="M2230" s="1665">
        <v>1.0378999999999999E-2</v>
      </c>
      <c r="N2230" s="1666">
        <v>1.6248104925258176</v>
      </c>
      <c r="O2230" s="1666"/>
    </row>
    <row r="2231" spans="11:15">
      <c r="K2231" s="1663">
        <v>44288</v>
      </c>
      <c r="L2231" s="1664"/>
      <c r="M2231" s="1665">
        <v>0</v>
      </c>
      <c r="N2231" s="1666">
        <v>1.6248104925258176</v>
      </c>
      <c r="O2231" s="1666"/>
    </row>
    <row r="2232" spans="11:15">
      <c r="K2232" s="1663">
        <v>44289</v>
      </c>
      <c r="L2232" s="1664"/>
      <c r="M2232" s="1665">
        <v>0</v>
      </c>
      <c r="N2232" s="1666">
        <v>1.6248104925258176</v>
      </c>
      <c r="O2232" s="1666"/>
    </row>
    <row r="2233" spans="11:15">
      <c r="K2233" s="1663">
        <v>44290</v>
      </c>
      <c r="L2233" s="1664"/>
      <c r="M2233" s="1665">
        <v>0</v>
      </c>
      <c r="N2233" s="1666">
        <v>1.6248104925258176</v>
      </c>
      <c r="O2233" s="1666"/>
    </row>
    <row r="2234" spans="11:15">
      <c r="K2234" s="1663">
        <v>44291</v>
      </c>
      <c r="L2234" s="1664" t="s">
        <v>2293</v>
      </c>
      <c r="M2234" s="1665">
        <v>1.0378999999999999E-2</v>
      </c>
      <c r="N2234" s="1666">
        <v>1.6249791316068369</v>
      </c>
      <c r="O2234" s="1666"/>
    </row>
    <row r="2235" spans="11:15">
      <c r="K2235" s="1663">
        <v>44292</v>
      </c>
      <c r="L2235" s="1664" t="s">
        <v>2293</v>
      </c>
      <c r="M2235" s="1665">
        <v>1.0378999999999999E-2</v>
      </c>
      <c r="N2235" s="1666">
        <v>1.6251477881909064</v>
      </c>
      <c r="O2235" s="1666"/>
    </row>
    <row r="2236" spans="11:15">
      <c r="K2236" s="1663">
        <v>44293</v>
      </c>
      <c r="L2236" s="1664" t="s">
        <v>2293</v>
      </c>
      <c r="M2236" s="1665">
        <v>1.0378999999999999E-2</v>
      </c>
      <c r="N2236" s="1666">
        <v>1.6253164622798428</v>
      </c>
      <c r="O2236" s="1666"/>
    </row>
    <row r="2237" spans="11:15">
      <c r="K2237" s="1663">
        <v>44294</v>
      </c>
      <c r="L2237" s="1664" t="s">
        <v>2293</v>
      </c>
      <c r="M2237" s="1665">
        <v>1.0378999999999999E-2</v>
      </c>
      <c r="N2237" s="1666">
        <v>1.6254851538754629</v>
      </c>
      <c r="O2237" s="1666"/>
    </row>
    <row r="2238" spans="11:15">
      <c r="K2238" s="1663">
        <v>44295</v>
      </c>
      <c r="L2238" s="1664" t="s">
        <v>2293</v>
      </c>
      <c r="M2238" s="1665">
        <v>1.0378999999999999E-2</v>
      </c>
      <c r="N2238" s="1666">
        <v>1.6256538629795838</v>
      </c>
      <c r="O2238" s="1666"/>
    </row>
    <row r="2239" spans="11:15">
      <c r="K2239" s="1663">
        <v>44296</v>
      </c>
      <c r="L2239" s="1664"/>
      <c r="M2239" s="1665">
        <v>0</v>
      </c>
      <c r="N2239" s="1666">
        <v>1.6256538629795838</v>
      </c>
      <c r="O2239" s="1666"/>
    </row>
    <row r="2240" spans="11:15">
      <c r="K2240" s="1663">
        <v>44297</v>
      </c>
      <c r="L2240" s="1664"/>
      <c r="M2240" s="1665">
        <v>0</v>
      </c>
      <c r="N2240" s="1666">
        <v>1.6256538629795838</v>
      </c>
      <c r="O2240" s="1666"/>
    </row>
    <row r="2241" spans="11:15">
      <c r="K2241" s="1663">
        <v>44298</v>
      </c>
      <c r="L2241" s="1664" t="s">
        <v>2293</v>
      </c>
      <c r="M2241" s="1665">
        <v>1.0378999999999999E-2</v>
      </c>
      <c r="N2241" s="1666">
        <v>1.6258225895940226</v>
      </c>
      <c r="O2241" s="1666"/>
    </row>
    <row r="2242" spans="11:15">
      <c r="K2242" s="1663">
        <v>44299</v>
      </c>
      <c r="L2242" s="1664" t="s">
        <v>2293</v>
      </c>
      <c r="M2242" s="1665">
        <v>1.0378999999999999E-2</v>
      </c>
      <c r="N2242" s="1666">
        <v>1.6259913337205967</v>
      </c>
      <c r="O2242" s="1666"/>
    </row>
    <row r="2243" spans="11:15">
      <c r="K2243" s="1663">
        <v>44300</v>
      </c>
      <c r="L2243" s="1664" t="s">
        <v>2293</v>
      </c>
      <c r="M2243" s="1665">
        <v>1.0378999999999999E-2</v>
      </c>
      <c r="N2243" s="1666">
        <v>1.6261600953611237</v>
      </c>
      <c r="O2243" s="1666"/>
    </row>
    <row r="2244" spans="11:15">
      <c r="K2244" s="1663">
        <v>44301</v>
      </c>
      <c r="L2244" s="1664" t="s">
        <v>2293</v>
      </c>
      <c r="M2244" s="1665">
        <v>1.0378999999999999E-2</v>
      </c>
      <c r="N2244" s="1666">
        <v>1.6263288745174214</v>
      </c>
      <c r="O2244" s="1666"/>
    </row>
    <row r="2245" spans="11:15">
      <c r="K2245" s="1663">
        <v>44302</v>
      </c>
      <c r="L2245" s="1664" t="s">
        <v>2293</v>
      </c>
      <c r="M2245" s="1665">
        <v>1.0378999999999999E-2</v>
      </c>
      <c r="N2245" s="1666">
        <v>1.6264976711913075</v>
      </c>
      <c r="O2245" s="1666"/>
    </row>
    <row r="2246" spans="11:15">
      <c r="K2246" s="1663">
        <v>44303</v>
      </c>
      <c r="L2246" s="1664"/>
      <c r="M2246" s="1665">
        <v>0</v>
      </c>
      <c r="N2246" s="1666">
        <v>1.6264976711913075</v>
      </c>
      <c r="O2246" s="1666"/>
    </row>
    <row r="2247" spans="11:15">
      <c r="K2247" s="1663">
        <v>44304</v>
      </c>
      <c r="L2247" s="1664"/>
      <c r="M2247" s="1665">
        <v>0</v>
      </c>
      <c r="N2247" s="1666">
        <v>1.6264976711913075</v>
      </c>
      <c r="O2247" s="1666"/>
    </row>
    <row r="2248" spans="11:15">
      <c r="K2248" s="1663">
        <v>44305</v>
      </c>
      <c r="L2248" s="1664" t="s">
        <v>2293</v>
      </c>
      <c r="M2248" s="1665">
        <v>1.0378999999999999E-2</v>
      </c>
      <c r="N2248" s="1666">
        <v>1.6266664853846005</v>
      </c>
      <c r="O2248" s="1666"/>
    </row>
    <row r="2249" spans="11:15">
      <c r="K2249" s="1663">
        <v>44306</v>
      </c>
      <c r="L2249" s="1664" t="s">
        <v>2293</v>
      </c>
      <c r="M2249" s="1665">
        <v>1.0378999999999999E-2</v>
      </c>
      <c r="N2249" s="1666">
        <v>1.6268353170991185</v>
      </c>
      <c r="O2249" s="1666"/>
    </row>
    <row r="2250" spans="11:15">
      <c r="K2250" s="1663">
        <v>44307</v>
      </c>
      <c r="L2250" s="1664"/>
      <c r="M2250" s="1665">
        <v>0</v>
      </c>
      <c r="N2250" s="1666">
        <v>1.6268353170991185</v>
      </c>
      <c r="O2250" s="1666"/>
    </row>
    <row r="2251" spans="11:15">
      <c r="K2251" s="1663">
        <v>44308</v>
      </c>
      <c r="L2251" s="1664" t="s">
        <v>2293</v>
      </c>
      <c r="M2251" s="1665">
        <v>1.0378999999999999E-2</v>
      </c>
      <c r="N2251" s="1666">
        <v>1.6270041663366803</v>
      </c>
      <c r="O2251" s="1666"/>
    </row>
    <row r="2252" spans="11:15">
      <c r="K2252" s="1663">
        <v>44309</v>
      </c>
      <c r="L2252" s="1664" t="s">
        <v>2293</v>
      </c>
      <c r="M2252" s="1665">
        <v>1.0378999999999999E-2</v>
      </c>
      <c r="N2252" s="1666">
        <v>1.6271730330991045</v>
      </c>
      <c r="O2252" s="1666"/>
    </row>
    <row r="2253" spans="11:15">
      <c r="K2253" s="1663">
        <v>44310</v>
      </c>
      <c r="L2253" s="1664"/>
      <c r="M2253" s="1665">
        <v>0</v>
      </c>
      <c r="N2253" s="1666">
        <v>1.6271730330991045</v>
      </c>
      <c r="O2253" s="1666"/>
    </row>
    <row r="2254" spans="11:15">
      <c r="K2254" s="1663">
        <v>44311</v>
      </c>
      <c r="L2254" s="1664"/>
      <c r="M2254" s="1665">
        <v>0</v>
      </c>
      <c r="N2254" s="1666">
        <v>1.6271730330991045</v>
      </c>
      <c r="O2254" s="1666"/>
    </row>
    <row r="2255" spans="11:15">
      <c r="K2255" s="1663">
        <v>44312</v>
      </c>
      <c r="L2255" s="1664" t="s">
        <v>2293</v>
      </c>
      <c r="M2255" s="1665">
        <v>1.0378999999999999E-2</v>
      </c>
      <c r="N2255" s="1666">
        <v>1.62734191738821</v>
      </c>
      <c r="O2255" s="1666"/>
    </row>
    <row r="2256" spans="11:15">
      <c r="K2256" s="1663">
        <v>44313</v>
      </c>
      <c r="L2256" s="1664" t="s">
        <v>2293</v>
      </c>
      <c r="M2256" s="1665">
        <v>1.0378999999999999E-2</v>
      </c>
      <c r="N2256" s="1666">
        <v>1.6275108192058159</v>
      </c>
      <c r="O2256" s="1666"/>
    </row>
    <row r="2257" spans="11:15">
      <c r="K2257" s="1663">
        <v>44314</v>
      </c>
      <c r="L2257" s="1664" t="s">
        <v>2293</v>
      </c>
      <c r="M2257" s="1665">
        <v>1.0378999999999999E-2</v>
      </c>
      <c r="N2257" s="1666">
        <v>1.6276797385537414</v>
      </c>
      <c r="O2257" s="1666"/>
    </row>
    <row r="2258" spans="11:15">
      <c r="K2258" s="1663">
        <v>44315</v>
      </c>
      <c r="L2258" s="1664" t="s">
        <v>2293</v>
      </c>
      <c r="M2258" s="1665">
        <v>1.0378999999999999E-2</v>
      </c>
      <c r="N2258" s="1666">
        <v>1.627848675433806</v>
      </c>
      <c r="O2258" s="1666"/>
    </row>
    <row r="2259" spans="11:15">
      <c r="K2259" s="1663">
        <v>44316</v>
      </c>
      <c r="L2259" s="1664" t="s">
        <v>2293</v>
      </c>
      <c r="M2259" s="1665">
        <v>1.0378999999999999E-2</v>
      </c>
      <c r="N2259" s="1666">
        <v>1.6280176298478293</v>
      </c>
      <c r="O2259" s="1666"/>
    </row>
    <row r="2260" spans="11:15">
      <c r="K2260" s="1663">
        <v>44317</v>
      </c>
      <c r="L2260" s="1664"/>
      <c r="M2260" s="1665">
        <v>0</v>
      </c>
      <c r="N2260" s="1666">
        <v>1.6280176298478293</v>
      </c>
      <c r="O2260" s="1666"/>
    </row>
    <row r="2261" spans="11:15">
      <c r="K2261" s="1663">
        <v>44318</v>
      </c>
      <c r="L2261" s="1664"/>
      <c r="M2261" s="1665">
        <v>0</v>
      </c>
      <c r="N2261" s="1666">
        <v>1.6280176298478293</v>
      </c>
      <c r="O2261" s="1666"/>
    </row>
    <row r="2262" spans="11:15">
      <c r="K2262" s="1663">
        <v>44319</v>
      </c>
      <c r="L2262" s="1664" t="s">
        <v>2293</v>
      </c>
      <c r="M2262" s="1665">
        <v>1.0378999999999999E-2</v>
      </c>
      <c r="N2262" s="1666">
        <v>1.6281866017976312</v>
      </c>
      <c r="O2262" s="1666"/>
    </row>
    <row r="2263" spans="11:15">
      <c r="K2263" s="1663">
        <v>44320</v>
      </c>
      <c r="L2263" s="1664" t="s">
        <v>2293</v>
      </c>
      <c r="M2263" s="1665">
        <v>1.0378999999999999E-2</v>
      </c>
      <c r="N2263" s="1666">
        <v>1.6283555912850318</v>
      </c>
      <c r="O2263" s="1666"/>
    </row>
    <row r="2264" spans="11:15">
      <c r="K2264" s="1663">
        <v>44321</v>
      </c>
      <c r="L2264" s="1664" t="s">
        <v>2293</v>
      </c>
      <c r="M2264" s="1665">
        <v>1.0378999999999999E-2</v>
      </c>
      <c r="N2264" s="1666">
        <v>1.6285245983118515</v>
      </c>
      <c r="O2264" s="1666"/>
    </row>
    <row r="2265" spans="11:15">
      <c r="K2265" s="1663">
        <v>44322</v>
      </c>
      <c r="L2265" s="1664" t="s">
        <v>2293</v>
      </c>
      <c r="M2265" s="1665">
        <v>1.3269E-2</v>
      </c>
      <c r="N2265" s="1666">
        <v>1.6287406872408015</v>
      </c>
      <c r="O2265" s="1666"/>
    </row>
    <row r="2266" spans="11:15">
      <c r="K2266" s="1663">
        <v>44323</v>
      </c>
      <c r="L2266" s="1664" t="s">
        <v>2293</v>
      </c>
      <c r="M2266" s="1665">
        <v>1.3269E-2</v>
      </c>
      <c r="N2266" s="1666">
        <v>1.6289568048425915</v>
      </c>
      <c r="O2266" s="1666"/>
    </row>
    <row r="2267" spans="11:15">
      <c r="K2267" s="1663">
        <v>44324</v>
      </c>
      <c r="L2267" s="1664"/>
      <c r="M2267" s="1665">
        <v>0</v>
      </c>
      <c r="N2267" s="1666">
        <v>1.6289568048425915</v>
      </c>
      <c r="O2267" s="1666"/>
    </row>
    <row r="2268" spans="11:15">
      <c r="K2268" s="1663">
        <v>44325</v>
      </c>
      <c r="L2268" s="1664"/>
      <c r="M2268" s="1665">
        <v>0</v>
      </c>
      <c r="N2268" s="1666">
        <v>1.6289568048425915</v>
      </c>
      <c r="O2268" s="1666"/>
    </row>
    <row r="2269" spans="11:15">
      <c r="K2269" s="1663">
        <v>44326</v>
      </c>
      <c r="L2269" s="1664" t="s">
        <v>2293</v>
      </c>
      <c r="M2269" s="1665">
        <v>1.3269E-2</v>
      </c>
      <c r="N2269" s="1666">
        <v>1.6291729511210262</v>
      </c>
      <c r="O2269" s="1666"/>
    </row>
    <row r="2270" spans="11:15">
      <c r="K2270" s="1663">
        <v>44327</v>
      </c>
      <c r="L2270" s="1664" t="s">
        <v>2293</v>
      </c>
      <c r="M2270" s="1665">
        <v>1.3269E-2</v>
      </c>
      <c r="N2270" s="1666">
        <v>1.6293891260799105</v>
      </c>
      <c r="O2270" s="1666"/>
    </row>
    <row r="2271" spans="11:15">
      <c r="K2271" s="1663">
        <v>44328</v>
      </c>
      <c r="L2271" s="1664" t="s">
        <v>2293</v>
      </c>
      <c r="M2271" s="1665">
        <v>1.3269E-2</v>
      </c>
      <c r="N2271" s="1666">
        <v>1.6296053297230502</v>
      </c>
      <c r="O2271" s="1666"/>
    </row>
    <row r="2272" spans="11:15">
      <c r="K2272" s="1663">
        <v>44329</v>
      </c>
      <c r="L2272" s="1664" t="s">
        <v>2293</v>
      </c>
      <c r="M2272" s="1665">
        <v>1.3269E-2</v>
      </c>
      <c r="N2272" s="1666">
        <v>1.6298215620542511</v>
      </c>
      <c r="O2272" s="1666"/>
    </row>
    <row r="2273" spans="11:15">
      <c r="K2273" s="1663">
        <v>44330</v>
      </c>
      <c r="L2273" s="1664" t="s">
        <v>2293</v>
      </c>
      <c r="M2273" s="1665">
        <v>1.3269E-2</v>
      </c>
      <c r="N2273" s="1666">
        <v>1.6300378230773203</v>
      </c>
      <c r="O2273" s="1666"/>
    </row>
    <row r="2274" spans="11:15">
      <c r="K2274" s="1663">
        <v>44331</v>
      </c>
      <c r="L2274" s="1664"/>
      <c r="M2274" s="1665">
        <v>0</v>
      </c>
      <c r="N2274" s="1666">
        <v>1.6300378230773203</v>
      </c>
      <c r="O2274" s="1666"/>
    </row>
    <row r="2275" spans="11:15">
      <c r="K2275" s="1663">
        <v>44332</v>
      </c>
      <c r="L2275" s="1664"/>
      <c r="M2275" s="1665">
        <v>0</v>
      </c>
      <c r="N2275" s="1666">
        <v>1.6300378230773203</v>
      </c>
      <c r="O2275" s="1666"/>
    </row>
    <row r="2276" spans="11:15">
      <c r="K2276" s="1663">
        <v>44333</v>
      </c>
      <c r="L2276" s="1664" t="s">
        <v>2293</v>
      </c>
      <c r="M2276" s="1665">
        <v>1.3269E-2</v>
      </c>
      <c r="N2276" s="1666">
        <v>1.6302541127960644</v>
      </c>
      <c r="O2276" s="1666"/>
    </row>
    <row r="2277" spans="11:15">
      <c r="K2277" s="1663">
        <v>44334</v>
      </c>
      <c r="L2277" s="1664" t="s">
        <v>2293</v>
      </c>
      <c r="M2277" s="1665">
        <v>1.3269E-2</v>
      </c>
      <c r="N2277" s="1666">
        <v>1.6304704312142912</v>
      </c>
      <c r="O2277" s="1666"/>
    </row>
    <row r="2278" spans="11:15">
      <c r="K2278" s="1663">
        <v>44335</v>
      </c>
      <c r="L2278" s="1664" t="s">
        <v>2293</v>
      </c>
      <c r="M2278" s="1665">
        <v>1.3269E-2</v>
      </c>
      <c r="N2278" s="1666">
        <v>1.6306867783358092</v>
      </c>
      <c r="O2278" s="1666"/>
    </row>
    <row r="2279" spans="11:15">
      <c r="K2279" s="1663">
        <v>44336</v>
      </c>
      <c r="L2279" s="1664" t="s">
        <v>2293</v>
      </c>
      <c r="M2279" s="1665">
        <v>1.3269E-2</v>
      </c>
      <c r="N2279" s="1666">
        <v>1.6309031541644268</v>
      </c>
      <c r="O2279" s="1666"/>
    </row>
    <row r="2280" spans="11:15">
      <c r="K2280" s="1663">
        <v>44337</v>
      </c>
      <c r="L2280" s="1664" t="s">
        <v>2293</v>
      </c>
      <c r="M2280" s="1665">
        <v>1.3269E-2</v>
      </c>
      <c r="N2280" s="1666">
        <v>1.6311195587039529</v>
      </c>
      <c r="O2280" s="1666"/>
    </row>
    <row r="2281" spans="11:15">
      <c r="K2281" s="1663">
        <v>44338</v>
      </c>
      <c r="L2281" s="1664"/>
      <c r="M2281" s="1665">
        <v>0</v>
      </c>
      <c r="N2281" s="1666">
        <v>1.6311195587039529</v>
      </c>
      <c r="O2281" s="1666"/>
    </row>
    <row r="2282" spans="11:15">
      <c r="K2282" s="1663">
        <v>44339</v>
      </c>
      <c r="L2282" s="1664"/>
      <c r="M2282" s="1665">
        <v>0</v>
      </c>
      <c r="N2282" s="1666">
        <v>1.6311195587039529</v>
      </c>
      <c r="O2282" s="1666"/>
    </row>
    <row r="2283" spans="11:15">
      <c r="K2283" s="1663">
        <v>44340</v>
      </c>
      <c r="L2283" s="1664" t="s">
        <v>2293</v>
      </c>
      <c r="M2283" s="1665">
        <v>1.3269E-2</v>
      </c>
      <c r="N2283" s="1666">
        <v>1.6313359919581973</v>
      </c>
      <c r="O2283" s="1666"/>
    </row>
    <row r="2284" spans="11:15">
      <c r="K2284" s="1663">
        <v>44341</v>
      </c>
      <c r="L2284" s="1664" t="s">
        <v>2293</v>
      </c>
      <c r="M2284" s="1665">
        <v>1.3269E-2</v>
      </c>
      <c r="N2284" s="1666">
        <v>1.6315524539309703</v>
      </c>
      <c r="O2284" s="1666"/>
    </row>
    <row r="2285" spans="11:15">
      <c r="K2285" s="1663">
        <v>44342</v>
      </c>
      <c r="L2285" s="1664" t="s">
        <v>2293</v>
      </c>
      <c r="M2285" s="1665">
        <v>1.3269E-2</v>
      </c>
      <c r="N2285" s="1666">
        <v>1.6317689446260824</v>
      </c>
      <c r="O2285" s="1666"/>
    </row>
    <row r="2286" spans="11:15">
      <c r="K2286" s="1663">
        <v>44343</v>
      </c>
      <c r="L2286" s="1664" t="s">
        <v>2293</v>
      </c>
      <c r="M2286" s="1665">
        <v>1.3269E-2</v>
      </c>
      <c r="N2286" s="1666">
        <v>1.6319854640473448</v>
      </c>
      <c r="O2286" s="1666"/>
    </row>
    <row r="2287" spans="11:15">
      <c r="K2287" s="1663">
        <v>44344</v>
      </c>
      <c r="L2287" s="1664" t="s">
        <v>2293</v>
      </c>
      <c r="M2287" s="1665">
        <v>1.3269E-2</v>
      </c>
      <c r="N2287" s="1666">
        <v>1.6322020121985694</v>
      </c>
      <c r="O2287" s="1666"/>
    </row>
    <row r="2288" spans="11:15">
      <c r="K2288" s="1663">
        <v>44345</v>
      </c>
      <c r="L2288" s="1664"/>
      <c r="M2288" s="1665">
        <v>0</v>
      </c>
      <c r="N2288" s="1666">
        <v>1.6322020121985694</v>
      </c>
      <c r="O2288" s="1666"/>
    </row>
    <row r="2289" spans="11:15">
      <c r="K2289" s="1663">
        <v>44346</v>
      </c>
      <c r="L2289" s="1664"/>
      <c r="M2289" s="1665">
        <v>0</v>
      </c>
      <c r="N2289" s="1666">
        <v>1.6322020121985694</v>
      </c>
      <c r="O2289" s="1666"/>
    </row>
    <row r="2290" spans="11:15">
      <c r="K2290" s="1663">
        <v>44347</v>
      </c>
      <c r="L2290" s="1664" t="s">
        <v>2293</v>
      </c>
      <c r="M2290" s="1665">
        <v>1.3269E-2</v>
      </c>
      <c r="N2290" s="1666">
        <v>1.6324185890835681</v>
      </c>
      <c r="O2290" s="1666"/>
    </row>
    <row r="2291" spans="11:15">
      <c r="K2291" s="1663">
        <v>44348</v>
      </c>
      <c r="L2291" s="1664" t="s">
        <v>2293</v>
      </c>
      <c r="M2291" s="1665">
        <v>1.3269E-2</v>
      </c>
      <c r="N2291" s="1666">
        <v>1.6326351947061537</v>
      </c>
      <c r="O2291" s="1666"/>
    </row>
    <row r="2292" spans="11:15">
      <c r="K2292" s="1663">
        <v>44349</v>
      </c>
      <c r="L2292" s="1664" t="s">
        <v>2293</v>
      </c>
      <c r="M2292" s="1665">
        <v>1.3269E-2</v>
      </c>
      <c r="N2292" s="1666">
        <v>1.6328518290701393</v>
      </c>
      <c r="O2292" s="1666"/>
    </row>
    <row r="2293" spans="11:15">
      <c r="K2293" s="1663">
        <v>44350</v>
      </c>
      <c r="L2293" s="1664"/>
      <c r="M2293" s="1665">
        <v>0</v>
      </c>
      <c r="N2293" s="1666">
        <v>1.6328518290701393</v>
      </c>
      <c r="O2293" s="1666"/>
    </row>
    <row r="2294" spans="11:15">
      <c r="K2294" s="1663">
        <v>44351</v>
      </c>
      <c r="L2294" s="1664" t="s">
        <v>2293</v>
      </c>
      <c r="M2294" s="1665">
        <v>1.3269E-2</v>
      </c>
      <c r="N2294" s="1666">
        <v>1.6330684921793386</v>
      </c>
      <c r="O2294" s="1666"/>
    </row>
    <row r="2295" spans="11:15">
      <c r="K2295" s="1663">
        <v>44352</v>
      </c>
      <c r="L2295" s="1664"/>
      <c r="M2295" s="1665">
        <v>0</v>
      </c>
      <c r="N2295" s="1666">
        <v>1.6330684921793386</v>
      </c>
      <c r="O2295" s="1666"/>
    </row>
    <row r="2296" spans="11:15">
      <c r="K2296" s="1663">
        <v>44353</v>
      </c>
      <c r="L2296" s="1664"/>
      <c r="M2296" s="1665">
        <v>0</v>
      </c>
      <c r="N2296" s="1666">
        <v>1.6330684921793386</v>
      </c>
      <c r="O2296" s="1666"/>
    </row>
    <row r="2297" spans="11:15">
      <c r="K2297" s="1663">
        <v>44354</v>
      </c>
      <c r="L2297" s="1664" t="s">
        <v>2293</v>
      </c>
      <c r="M2297" s="1665">
        <v>1.3269E-2</v>
      </c>
      <c r="N2297" s="1666">
        <v>1.633285184037566</v>
      </c>
      <c r="O2297" s="1666"/>
    </row>
    <row r="2298" spans="11:15">
      <c r="K2298" s="1663">
        <v>44355</v>
      </c>
      <c r="L2298" s="1664" t="s">
        <v>2293</v>
      </c>
      <c r="M2298" s="1665">
        <v>1.3269E-2</v>
      </c>
      <c r="N2298" s="1666">
        <v>1.6335019046486359</v>
      </c>
      <c r="O2298" s="1666"/>
    </row>
    <row r="2299" spans="11:15">
      <c r="K2299" s="1663">
        <v>44356</v>
      </c>
      <c r="L2299" s="1664" t="s">
        <v>2293</v>
      </c>
      <c r="M2299" s="1665">
        <v>1.3269E-2</v>
      </c>
      <c r="N2299" s="1666">
        <v>1.6337186540163637</v>
      </c>
      <c r="O2299" s="1666"/>
    </row>
    <row r="2300" spans="11:15">
      <c r="K2300" s="1663">
        <v>44357</v>
      </c>
      <c r="L2300" s="1664" t="s">
        <v>2293</v>
      </c>
      <c r="M2300" s="1665">
        <v>1.3269E-2</v>
      </c>
      <c r="N2300" s="1666">
        <v>1.6339354321445652</v>
      </c>
      <c r="O2300" s="1666"/>
    </row>
    <row r="2301" spans="11:15">
      <c r="K2301" s="1663">
        <v>44358</v>
      </c>
      <c r="L2301" s="1664" t="s">
        <v>2293</v>
      </c>
      <c r="M2301" s="1665">
        <v>1.3269E-2</v>
      </c>
      <c r="N2301" s="1666">
        <v>1.6341522390370564</v>
      </c>
      <c r="O2301" s="1666"/>
    </row>
    <row r="2302" spans="11:15">
      <c r="K2302" s="1663">
        <v>44359</v>
      </c>
      <c r="L2302" s="1664"/>
      <c r="M2302" s="1665">
        <v>0</v>
      </c>
      <c r="N2302" s="1666">
        <v>1.6341522390370564</v>
      </c>
      <c r="O2302" s="1666"/>
    </row>
    <row r="2303" spans="11:15">
      <c r="K2303" s="1663">
        <v>44360</v>
      </c>
      <c r="L2303" s="1664"/>
      <c r="M2303" s="1665">
        <v>0</v>
      </c>
      <c r="N2303" s="1666">
        <v>1.6341522390370564</v>
      </c>
      <c r="O2303" s="1666"/>
    </row>
    <row r="2304" spans="11:15">
      <c r="K2304" s="1663">
        <v>44361</v>
      </c>
      <c r="L2304" s="1664" t="s">
        <v>2293</v>
      </c>
      <c r="M2304" s="1665">
        <v>1.3269E-2</v>
      </c>
      <c r="N2304" s="1666">
        <v>1.6343690746976542</v>
      </c>
      <c r="O2304" s="1666"/>
    </row>
    <row r="2305" spans="11:15">
      <c r="K2305" s="1663">
        <v>44362</v>
      </c>
      <c r="L2305" s="1664" t="s">
        <v>2293</v>
      </c>
      <c r="M2305" s="1665">
        <v>1.3269E-2</v>
      </c>
      <c r="N2305" s="1666">
        <v>1.634585939130176</v>
      </c>
      <c r="O2305" s="1666"/>
    </row>
    <row r="2306" spans="11:15">
      <c r="K2306" s="1663">
        <v>44363</v>
      </c>
      <c r="L2306" s="1664" t="s">
        <v>2293</v>
      </c>
      <c r="M2306" s="1665">
        <v>1.3269E-2</v>
      </c>
      <c r="N2306" s="1666">
        <v>1.6348028323384394</v>
      </c>
      <c r="O2306" s="1666"/>
    </row>
    <row r="2307" spans="11:15">
      <c r="K2307" s="1663">
        <v>44364</v>
      </c>
      <c r="L2307" s="1664" t="s">
        <v>2293</v>
      </c>
      <c r="M2307" s="1665">
        <v>1.6136999999999999E-2</v>
      </c>
      <c r="N2307" s="1666">
        <v>1.635066640471494</v>
      </c>
      <c r="O2307" s="1666"/>
    </row>
    <row r="2308" spans="11:15">
      <c r="K2308" s="1663">
        <v>44365</v>
      </c>
      <c r="L2308" s="1664" t="s">
        <v>2293</v>
      </c>
      <c r="M2308" s="1665">
        <v>1.6136999999999999E-2</v>
      </c>
      <c r="N2308" s="1666">
        <v>1.6353304911752669</v>
      </c>
      <c r="O2308" s="1666"/>
    </row>
    <row r="2309" spans="11:15">
      <c r="K2309" s="1663">
        <v>44366</v>
      </c>
      <c r="L2309" s="1664"/>
      <c r="M2309" s="1665">
        <v>0</v>
      </c>
      <c r="N2309" s="1666">
        <v>1.6353304911752669</v>
      </c>
      <c r="O2309" s="1666"/>
    </row>
    <row r="2310" spans="11:15">
      <c r="K2310" s="1663">
        <v>44367</v>
      </c>
      <c r="L2310" s="1664"/>
      <c r="M2310" s="1665">
        <v>0</v>
      </c>
      <c r="N2310" s="1666">
        <v>1.6353304911752669</v>
      </c>
      <c r="O2310" s="1666"/>
    </row>
    <row r="2311" spans="11:15">
      <c r="K2311" s="1663">
        <v>44368</v>
      </c>
      <c r="L2311" s="1664" t="s">
        <v>2293</v>
      </c>
      <c r="M2311" s="1665">
        <v>1.6136999999999999E-2</v>
      </c>
      <c r="N2311" s="1666">
        <v>1.6355943844566279</v>
      </c>
      <c r="O2311" s="1666"/>
    </row>
    <row r="2312" spans="11:15">
      <c r="K2312" s="1663">
        <v>44369</v>
      </c>
      <c r="L2312" s="1664" t="s">
        <v>2293</v>
      </c>
      <c r="M2312" s="1665">
        <v>1.6136999999999999E-2</v>
      </c>
      <c r="N2312" s="1666">
        <v>1.6358583203224477</v>
      </c>
      <c r="O2312" s="1666"/>
    </row>
    <row r="2313" spans="11:15">
      <c r="K2313" s="1663">
        <v>44370</v>
      </c>
      <c r="L2313" s="1664" t="s">
        <v>2293</v>
      </c>
      <c r="M2313" s="1665">
        <v>1.6136999999999999E-2</v>
      </c>
      <c r="N2313" s="1666">
        <v>1.6361222987795982</v>
      </c>
      <c r="O2313" s="1666"/>
    </row>
    <row r="2314" spans="11:15">
      <c r="K2314" s="1663">
        <v>44371</v>
      </c>
      <c r="L2314" s="1664" t="s">
        <v>2293</v>
      </c>
      <c r="M2314" s="1665">
        <v>1.6136999999999999E-2</v>
      </c>
      <c r="N2314" s="1666">
        <v>1.6363863198349524</v>
      </c>
      <c r="O2314" s="1666"/>
    </row>
    <row r="2315" spans="11:15">
      <c r="K2315" s="1663">
        <v>44372</v>
      </c>
      <c r="L2315" s="1664" t="s">
        <v>2293</v>
      </c>
      <c r="M2315" s="1665">
        <v>1.6136999999999999E-2</v>
      </c>
      <c r="N2315" s="1666">
        <v>1.6366503834953843</v>
      </c>
      <c r="O2315" s="1666"/>
    </row>
    <row r="2316" spans="11:15">
      <c r="K2316" s="1663">
        <v>44373</v>
      </c>
      <c r="L2316" s="1664"/>
      <c r="M2316" s="1665">
        <v>0</v>
      </c>
      <c r="N2316" s="1666">
        <v>1.6366503834953843</v>
      </c>
      <c r="O2316" s="1666"/>
    </row>
    <row r="2317" spans="11:15">
      <c r="K2317" s="1663">
        <v>44374</v>
      </c>
      <c r="L2317" s="1664"/>
      <c r="M2317" s="1665">
        <v>0</v>
      </c>
      <c r="N2317" s="1666">
        <v>1.6366503834953843</v>
      </c>
      <c r="O2317" s="1666"/>
    </row>
    <row r="2318" spans="11:15">
      <c r="K2318" s="1663">
        <v>44375</v>
      </c>
      <c r="L2318" s="1664" t="s">
        <v>2293</v>
      </c>
      <c r="M2318" s="1665">
        <v>1.6136999999999999E-2</v>
      </c>
      <c r="N2318" s="1666">
        <v>1.636914489767769</v>
      </c>
      <c r="O2318" s="1666"/>
    </row>
    <row r="2319" spans="11:15">
      <c r="K2319" s="1663">
        <v>44376</v>
      </c>
      <c r="L2319" s="1664" t="s">
        <v>2293</v>
      </c>
      <c r="M2319" s="1665">
        <v>1.6136999999999999E-2</v>
      </c>
      <c r="N2319" s="1666">
        <v>1.6371786386589828</v>
      </c>
      <c r="O2319" s="1666"/>
    </row>
    <row r="2320" spans="11:15">
      <c r="K2320" s="1663">
        <v>44377</v>
      </c>
      <c r="L2320" s="1664" t="s">
        <v>2293</v>
      </c>
      <c r="M2320" s="1665">
        <v>1.6136999999999999E-2</v>
      </c>
      <c r="N2320" s="1666">
        <v>1.6374428301759034</v>
      </c>
      <c r="O2320" s="1666"/>
    </row>
    <row r="2321" spans="11:15">
      <c r="K2321" s="1663">
        <v>44378</v>
      </c>
      <c r="L2321" s="1664" t="s">
        <v>2293</v>
      </c>
      <c r="M2321" s="1665">
        <v>1.6136999999999999E-2</v>
      </c>
      <c r="N2321" s="1666">
        <v>1.637707064325409</v>
      </c>
      <c r="O2321" s="1666"/>
    </row>
    <row r="2322" spans="11:15">
      <c r="K2322" s="1663">
        <v>44379</v>
      </c>
      <c r="L2322" s="1664" t="s">
        <v>2293</v>
      </c>
      <c r="M2322" s="1665">
        <v>1.6136999999999999E-2</v>
      </c>
      <c r="N2322" s="1666">
        <v>1.6379713411143793</v>
      </c>
      <c r="O2322" s="1666"/>
    </row>
    <row r="2323" spans="11:15">
      <c r="K2323" s="1663">
        <v>44380</v>
      </c>
      <c r="L2323" s="1664"/>
      <c r="M2323" s="1665">
        <v>0</v>
      </c>
      <c r="N2323" s="1666">
        <v>1.6379713411143793</v>
      </c>
      <c r="O2323" s="1666"/>
    </row>
    <row r="2324" spans="11:15">
      <c r="K2324" s="1663">
        <v>44381</v>
      </c>
      <c r="L2324" s="1664"/>
      <c r="M2324" s="1665">
        <v>0</v>
      </c>
      <c r="N2324" s="1666">
        <v>1.6379713411143793</v>
      </c>
      <c r="O2324" s="1666"/>
    </row>
    <row r="2325" spans="11:15">
      <c r="K2325" s="1663">
        <v>44382</v>
      </c>
      <c r="L2325" s="1664" t="s">
        <v>2293</v>
      </c>
      <c r="M2325" s="1665">
        <v>1.6136999999999999E-2</v>
      </c>
      <c r="N2325" s="1666">
        <v>1.638235660549695</v>
      </c>
      <c r="O2325" s="1666"/>
    </row>
    <row r="2326" spans="11:15">
      <c r="K2326" s="1663">
        <v>44383</v>
      </c>
      <c r="L2326" s="1664" t="s">
        <v>2293</v>
      </c>
      <c r="M2326" s="1665">
        <v>1.6136999999999999E-2</v>
      </c>
      <c r="N2326" s="1666">
        <v>1.638500022638238</v>
      </c>
      <c r="O2326" s="1666"/>
    </row>
    <row r="2327" spans="11:15">
      <c r="K2327" s="1663">
        <v>44384</v>
      </c>
      <c r="L2327" s="1664" t="s">
        <v>2293</v>
      </c>
      <c r="M2327" s="1665">
        <v>1.6136999999999999E-2</v>
      </c>
      <c r="N2327" s="1666">
        <v>1.6387644273868913</v>
      </c>
      <c r="O2327" s="1666"/>
    </row>
    <row r="2328" spans="11:15">
      <c r="K2328" s="1663">
        <v>44385</v>
      </c>
      <c r="L2328" s="1664" t="s">
        <v>2293</v>
      </c>
      <c r="M2328" s="1665">
        <v>1.6136999999999999E-2</v>
      </c>
      <c r="N2328" s="1666">
        <v>1.6390288748025388</v>
      </c>
      <c r="O2328" s="1666"/>
    </row>
    <row r="2329" spans="11:15">
      <c r="K2329" s="1663">
        <v>44386</v>
      </c>
      <c r="L2329" s="1664" t="s">
        <v>2293</v>
      </c>
      <c r="M2329" s="1665">
        <v>1.6136999999999999E-2</v>
      </c>
      <c r="N2329" s="1666">
        <v>1.6392933648920658</v>
      </c>
      <c r="O2329" s="1666"/>
    </row>
    <row r="2330" spans="11:15">
      <c r="K2330" s="1663">
        <v>44387</v>
      </c>
      <c r="L2330" s="1664"/>
      <c r="M2330" s="1665">
        <v>0</v>
      </c>
      <c r="N2330" s="1666">
        <v>1.6392933648920658</v>
      </c>
      <c r="O2330" s="1666"/>
    </row>
    <row r="2331" spans="11:15">
      <c r="K2331" s="1663">
        <v>44388</v>
      </c>
      <c r="L2331" s="1664"/>
      <c r="M2331" s="1665">
        <v>0</v>
      </c>
      <c r="N2331" s="1666">
        <v>1.6392933648920658</v>
      </c>
      <c r="O2331" s="1666"/>
    </row>
    <row r="2332" spans="11:15">
      <c r="K2332" s="1663">
        <v>44389</v>
      </c>
      <c r="L2332" s="1664" t="s">
        <v>2293</v>
      </c>
      <c r="M2332" s="1665">
        <v>1.6136999999999999E-2</v>
      </c>
      <c r="N2332" s="1666">
        <v>1.6395578976623586</v>
      </c>
      <c r="O2332" s="1666"/>
    </row>
    <row r="2333" spans="11:15">
      <c r="K2333" s="1663">
        <v>44390</v>
      </c>
      <c r="L2333" s="1664" t="s">
        <v>2293</v>
      </c>
      <c r="M2333" s="1665">
        <v>1.6136999999999999E-2</v>
      </c>
      <c r="N2333" s="1666">
        <v>1.6398224731203044</v>
      </c>
      <c r="O2333" s="1666"/>
    </row>
    <row r="2334" spans="11:15">
      <c r="K2334" s="1663">
        <v>44391</v>
      </c>
      <c r="L2334" s="1664" t="s">
        <v>2293</v>
      </c>
      <c r="M2334" s="1665">
        <v>1.6136999999999999E-2</v>
      </c>
      <c r="N2334" s="1666">
        <v>1.6400870912727918</v>
      </c>
      <c r="O2334" s="1666"/>
    </row>
    <row r="2335" spans="11:15">
      <c r="K2335" s="1663">
        <v>44392</v>
      </c>
      <c r="L2335" s="1664" t="s">
        <v>2293</v>
      </c>
      <c r="M2335" s="1665">
        <v>1.6136999999999999E-2</v>
      </c>
      <c r="N2335" s="1666">
        <v>1.6403517521267106</v>
      </c>
      <c r="O2335" s="1666"/>
    </row>
    <row r="2336" spans="11:15">
      <c r="K2336" s="1663">
        <v>44393</v>
      </c>
      <c r="L2336" s="1664" t="s">
        <v>2293</v>
      </c>
      <c r="M2336" s="1665">
        <v>1.6136999999999999E-2</v>
      </c>
      <c r="N2336" s="1666">
        <v>1.6406164556889513</v>
      </c>
      <c r="O2336" s="1666"/>
    </row>
    <row r="2337" spans="11:15">
      <c r="K2337" s="1663">
        <v>44394</v>
      </c>
      <c r="L2337" s="1664"/>
      <c r="M2337" s="1665">
        <v>0</v>
      </c>
      <c r="N2337" s="1666">
        <v>1.6406164556889513</v>
      </c>
      <c r="O2337" s="1666"/>
    </row>
    <row r="2338" spans="11:15">
      <c r="K2338" s="1663">
        <v>44395</v>
      </c>
      <c r="L2338" s="1664"/>
      <c r="M2338" s="1665">
        <v>0</v>
      </c>
      <c r="N2338" s="1666">
        <v>1.6406164556889513</v>
      </c>
      <c r="O2338" s="1666"/>
    </row>
    <row r="2339" spans="11:15">
      <c r="K2339" s="1663">
        <v>44396</v>
      </c>
      <c r="L2339" s="1664" t="s">
        <v>2293</v>
      </c>
      <c r="M2339" s="1665">
        <v>1.6136999999999999E-2</v>
      </c>
      <c r="N2339" s="1666">
        <v>1.6408812019664059</v>
      </c>
      <c r="O2339" s="1666"/>
    </row>
    <row r="2340" spans="11:15">
      <c r="K2340" s="1663">
        <v>44397</v>
      </c>
      <c r="L2340" s="1664" t="s">
        <v>2293</v>
      </c>
      <c r="M2340" s="1665">
        <v>1.6136999999999999E-2</v>
      </c>
      <c r="N2340" s="1666">
        <v>1.6411459909659674</v>
      </c>
      <c r="O2340" s="1666"/>
    </row>
    <row r="2341" spans="11:15">
      <c r="K2341" s="1663">
        <v>44398</v>
      </c>
      <c r="L2341" s="1664" t="s">
        <v>2293</v>
      </c>
      <c r="M2341" s="1665">
        <v>1.6136999999999999E-2</v>
      </c>
      <c r="N2341" s="1666">
        <v>1.6414108226945296</v>
      </c>
      <c r="O2341" s="1666"/>
    </row>
    <row r="2342" spans="11:15">
      <c r="K2342" s="1663">
        <v>44399</v>
      </c>
      <c r="L2342" s="1664" t="s">
        <v>2293</v>
      </c>
      <c r="M2342" s="1665">
        <v>1.6136999999999999E-2</v>
      </c>
      <c r="N2342" s="1666">
        <v>1.6416756971589879</v>
      </c>
      <c r="O2342" s="1666"/>
    </row>
    <row r="2343" spans="11:15">
      <c r="K2343" s="1663">
        <v>44400</v>
      </c>
      <c r="L2343" s="1664" t="s">
        <v>2293</v>
      </c>
      <c r="M2343" s="1665">
        <v>1.6136999999999999E-2</v>
      </c>
      <c r="N2343" s="1666">
        <v>1.6419406143662385</v>
      </c>
      <c r="O2343" s="1666"/>
    </row>
    <row r="2344" spans="11:15">
      <c r="K2344" s="1663">
        <v>44401</v>
      </c>
      <c r="L2344" s="1664"/>
      <c r="M2344" s="1665">
        <v>0</v>
      </c>
      <c r="N2344" s="1666">
        <v>1.6419406143662385</v>
      </c>
      <c r="O2344" s="1666"/>
    </row>
    <row r="2345" spans="11:15">
      <c r="K2345" s="1663">
        <v>44402</v>
      </c>
      <c r="L2345" s="1664"/>
      <c r="M2345" s="1665">
        <v>0</v>
      </c>
      <c r="N2345" s="1666">
        <v>1.6419406143662385</v>
      </c>
      <c r="O2345" s="1666"/>
    </row>
    <row r="2346" spans="11:15">
      <c r="K2346" s="1663">
        <v>44403</v>
      </c>
      <c r="L2346" s="1664" t="s">
        <v>2293</v>
      </c>
      <c r="M2346" s="1665">
        <v>1.6136999999999999E-2</v>
      </c>
      <c r="N2346" s="1666">
        <v>1.6422055743231789</v>
      </c>
      <c r="O2346" s="1666"/>
    </row>
    <row r="2347" spans="11:15">
      <c r="K2347" s="1663">
        <v>44404</v>
      </c>
      <c r="L2347" s="1664" t="s">
        <v>2293</v>
      </c>
      <c r="M2347" s="1665">
        <v>1.6136999999999999E-2</v>
      </c>
      <c r="N2347" s="1666">
        <v>1.6424705770367076</v>
      </c>
      <c r="O2347" s="1666"/>
    </row>
    <row r="2348" spans="11:15">
      <c r="K2348" s="1663">
        <v>44405</v>
      </c>
      <c r="L2348" s="1664" t="s">
        <v>2293</v>
      </c>
      <c r="M2348" s="1665">
        <v>1.6136999999999999E-2</v>
      </c>
      <c r="N2348" s="1666">
        <v>1.6427356225137242</v>
      </c>
      <c r="O2348" s="1666"/>
    </row>
    <row r="2349" spans="11:15">
      <c r="K2349" s="1663">
        <v>44406</v>
      </c>
      <c r="L2349" s="1664" t="s">
        <v>2293</v>
      </c>
      <c r="M2349" s="1665">
        <v>1.6136999999999999E-2</v>
      </c>
      <c r="N2349" s="1666">
        <v>1.6430007107611293</v>
      </c>
      <c r="O2349" s="1666"/>
    </row>
    <row r="2350" spans="11:15">
      <c r="K2350" s="1663">
        <v>44407</v>
      </c>
      <c r="L2350" s="1664" t="s">
        <v>2293</v>
      </c>
      <c r="M2350" s="1665">
        <v>1.6136999999999999E-2</v>
      </c>
      <c r="N2350" s="1666">
        <v>1.6432658417858248</v>
      </c>
      <c r="O2350" s="1666"/>
    </row>
    <row r="2351" spans="11:15">
      <c r="K2351" s="1663">
        <v>44408</v>
      </c>
      <c r="L2351" s="1664"/>
      <c r="M2351" s="1665">
        <v>0</v>
      </c>
      <c r="N2351" s="1666">
        <v>1.6432658417858248</v>
      </c>
      <c r="O2351" s="1666"/>
    </row>
    <row r="2352" spans="11:15">
      <c r="K2352" s="1663">
        <v>44409</v>
      </c>
      <c r="L2352" s="1664"/>
      <c r="M2352" s="1665">
        <v>0</v>
      </c>
      <c r="N2352" s="1666">
        <v>1.6432658417858248</v>
      </c>
      <c r="O2352" s="1666"/>
    </row>
    <row r="2353" spans="11:15">
      <c r="K2353" s="1663">
        <v>44410</v>
      </c>
      <c r="L2353" s="1664" t="s">
        <v>2293</v>
      </c>
      <c r="M2353" s="1665">
        <v>1.6136999999999999E-2</v>
      </c>
      <c r="N2353" s="1666">
        <v>1.6435310155947138</v>
      </c>
      <c r="O2353" s="1666"/>
    </row>
    <row r="2354" spans="11:15">
      <c r="K2354" s="1663">
        <v>44411</v>
      </c>
      <c r="L2354" s="1664" t="s">
        <v>2293</v>
      </c>
      <c r="M2354" s="1665">
        <v>1.6136999999999999E-2</v>
      </c>
      <c r="N2354" s="1666">
        <v>1.6437962321947004</v>
      </c>
      <c r="O2354" s="1666"/>
    </row>
    <row r="2355" spans="11:15">
      <c r="K2355" s="1663">
        <v>44412</v>
      </c>
      <c r="L2355" s="1664" t="s">
        <v>2293</v>
      </c>
      <c r="M2355" s="1665">
        <v>1.6136999999999999E-2</v>
      </c>
      <c r="N2355" s="1666">
        <v>1.6440614915926897</v>
      </c>
      <c r="O2355" s="1666"/>
    </row>
    <row r="2356" spans="11:15">
      <c r="K2356" s="1663">
        <v>44413</v>
      </c>
      <c r="L2356" s="1664" t="s">
        <v>2293</v>
      </c>
      <c r="M2356" s="1665">
        <v>1.993E-2</v>
      </c>
      <c r="N2356" s="1666">
        <v>1.6443891530479642</v>
      </c>
      <c r="O2356" s="1666"/>
    </row>
    <row r="2357" spans="11:15">
      <c r="K2357" s="1663">
        <v>44414</v>
      </c>
      <c r="L2357" s="1664" t="s">
        <v>2293</v>
      </c>
      <c r="M2357" s="1665">
        <v>1.993E-2</v>
      </c>
      <c r="N2357" s="1666">
        <v>1.6447168798061667</v>
      </c>
      <c r="O2357" s="1666"/>
    </row>
    <row r="2358" spans="11:15">
      <c r="K2358" s="1663">
        <v>44415</v>
      </c>
      <c r="L2358" s="1664"/>
      <c r="M2358" s="1665">
        <v>0</v>
      </c>
      <c r="N2358" s="1666">
        <v>1.6447168798061667</v>
      </c>
      <c r="O2358" s="1666"/>
    </row>
    <row r="2359" spans="11:15">
      <c r="K2359" s="1663">
        <v>44416</v>
      </c>
      <c r="L2359" s="1664"/>
      <c r="M2359" s="1665">
        <v>0</v>
      </c>
      <c r="N2359" s="1666">
        <v>1.6447168798061667</v>
      </c>
      <c r="O2359" s="1666"/>
    </row>
    <row r="2360" spans="11:15">
      <c r="K2360" s="1663">
        <v>44417</v>
      </c>
      <c r="L2360" s="1664" t="s">
        <v>2293</v>
      </c>
      <c r="M2360" s="1665">
        <v>1.993E-2</v>
      </c>
      <c r="N2360" s="1666">
        <v>1.645044671880312</v>
      </c>
      <c r="O2360" s="1666"/>
    </row>
    <row r="2361" spans="11:15">
      <c r="K2361" s="1663">
        <v>44418</v>
      </c>
      <c r="L2361" s="1664" t="s">
        <v>2293</v>
      </c>
      <c r="M2361" s="1665">
        <v>1.993E-2</v>
      </c>
      <c r="N2361" s="1666">
        <v>1.6453725292834178</v>
      </c>
      <c r="O2361" s="1666"/>
    </row>
    <row r="2362" spans="11:15">
      <c r="K2362" s="1663">
        <v>44419</v>
      </c>
      <c r="L2362" s="1664" t="s">
        <v>2293</v>
      </c>
      <c r="M2362" s="1665">
        <v>1.993E-2</v>
      </c>
      <c r="N2362" s="1666">
        <v>1.6457004520285041</v>
      </c>
      <c r="O2362" s="1666"/>
    </row>
    <row r="2363" spans="11:15">
      <c r="K2363" s="1663">
        <v>44420</v>
      </c>
      <c r="L2363" s="1664" t="s">
        <v>2293</v>
      </c>
      <c r="M2363" s="1665">
        <v>1.993E-2</v>
      </c>
      <c r="N2363" s="1666">
        <v>1.6460284401285934</v>
      </c>
      <c r="O2363" s="1666"/>
    </row>
    <row r="2364" spans="11:15">
      <c r="K2364" s="1663">
        <v>44421</v>
      </c>
      <c r="L2364" s="1664" t="s">
        <v>2293</v>
      </c>
      <c r="M2364" s="1665">
        <v>1.993E-2</v>
      </c>
      <c r="N2364" s="1666">
        <v>1.646356493596711</v>
      </c>
      <c r="O2364" s="1666"/>
    </row>
    <row r="2365" spans="11:15">
      <c r="K2365" s="1663">
        <v>44422</v>
      </c>
      <c r="L2365" s="1664"/>
      <c r="M2365" s="1665">
        <v>0</v>
      </c>
      <c r="N2365" s="1666">
        <v>1.646356493596711</v>
      </c>
      <c r="O2365" s="1666"/>
    </row>
    <row r="2366" spans="11:15">
      <c r="K2366" s="1663">
        <v>44423</v>
      </c>
      <c r="L2366" s="1664"/>
      <c r="M2366" s="1665">
        <v>0</v>
      </c>
      <c r="N2366" s="1666">
        <v>1.646356493596711</v>
      </c>
      <c r="O2366" s="1666"/>
    </row>
    <row r="2367" spans="11:15">
      <c r="K2367" s="1663">
        <v>44424</v>
      </c>
      <c r="L2367" s="1664" t="s">
        <v>2293</v>
      </c>
      <c r="M2367" s="1665">
        <v>1.993E-2</v>
      </c>
      <c r="N2367" s="1666">
        <v>1.6466846124458849</v>
      </c>
      <c r="O2367" s="1666"/>
    </row>
    <row r="2368" spans="11:15">
      <c r="K2368" s="1663">
        <v>44425</v>
      </c>
      <c r="L2368" s="1664" t="s">
        <v>2293</v>
      </c>
      <c r="M2368" s="1665">
        <v>1.993E-2</v>
      </c>
      <c r="N2368" s="1666">
        <v>1.6470127966891455</v>
      </c>
      <c r="O2368" s="1666"/>
    </row>
    <row r="2369" spans="11:15">
      <c r="K2369" s="1663">
        <v>44426</v>
      </c>
      <c r="L2369" s="1664" t="s">
        <v>2293</v>
      </c>
      <c r="M2369" s="1665">
        <v>1.993E-2</v>
      </c>
      <c r="N2369" s="1666">
        <v>1.6473410463395257</v>
      </c>
      <c r="O2369" s="1666"/>
    </row>
    <row r="2370" spans="11:15">
      <c r="K2370" s="1663">
        <v>44427</v>
      </c>
      <c r="L2370" s="1664" t="s">
        <v>2293</v>
      </c>
      <c r="M2370" s="1665">
        <v>1.993E-2</v>
      </c>
      <c r="N2370" s="1666">
        <v>1.6476693614100613</v>
      </c>
      <c r="O2370" s="1666"/>
    </row>
    <row r="2371" spans="11:15">
      <c r="K2371" s="1663">
        <v>44428</v>
      </c>
      <c r="L2371" s="1664" t="s">
        <v>2293</v>
      </c>
      <c r="M2371" s="1665">
        <v>1.993E-2</v>
      </c>
      <c r="N2371" s="1666">
        <v>1.6479977419137903</v>
      </c>
      <c r="O2371" s="1666"/>
    </row>
    <row r="2372" spans="11:15">
      <c r="K2372" s="1663">
        <v>44429</v>
      </c>
      <c r="L2372" s="1664"/>
      <c r="M2372" s="1665">
        <v>0</v>
      </c>
      <c r="N2372" s="1666">
        <v>1.6479977419137903</v>
      </c>
      <c r="O2372" s="1666"/>
    </row>
    <row r="2373" spans="11:15">
      <c r="K2373" s="1663">
        <v>44430</v>
      </c>
      <c r="L2373" s="1664"/>
      <c r="M2373" s="1665">
        <v>0</v>
      </c>
      <c r="N2373" s="1666">
        <v>1.6479977419137903</v>
      </c>
      <c r="O2373" s="1666"/>
    </row>
    <row r="2374" spans="11:15">
      <c r="K2374" s="1663">
        <v>44431</v>
      </c>
      <c r="L2374" s="1664" t="s">
        <v>2293</v>
      </c>
      <c r="M2374" s="1665">
        <v>1.993E-2</v>
      </c>
      <c r="N2374" s="1666">
        <v>1.6483261878637538</v>
      </c>
      <c r="O2374" s="1666"/>
    </row>
    <row r="2375" spans="11:15">
      <c r="K2375" s="1663">
        <v>44432</v>
      </c>
      <c r="L2375" s="1664" t="s">
        <v>2293</v>
      </c>
      <c r="M2375" s="1665">
        <v>1.993E-2</v>
      </c>
      <c r="N2375" s="1666">
        <v>1.6486546992729951</v>
      </c>
      <c r="O2375" s="1666"/>
    </row>
    <row r="2376" spans="11:15">
      <c r="K2376" s="1663">
        <v>44433</v>
      </c>
      <c r="L2376" s="1664" t="s">
        <v>2293</v>
      </c>
      <c r="M2376" s="1665">
        <v>1.993E-2</v>
      </c>
      <c r="N2376" s="1666">
        <v>1.6489832761545602</v>
      </c>
      <c r="O2376" s="1666"/>
    </row>
    <row r="2377" spans="11:15">
      <c r="K2377" s="1663">
        <v>44434</v>
      </c>
      <c r="L2377" s="1664" t="s">
        <v>2293</v>
      </c>
      <c r="M2377" s="1665">
        <v>1.993E-2</v>
      </c>
      <c r="N2377" s="1666">
        <v>1.6493119185214977</v>
      </c>
      <c r="O2377" s="1666"/>
    </row>
    <row r="2378" spans="11:15">
      <c r="K2378" s="1663">
        <v>44435</v>
      </c>
      <c r="L2378" s="1664" t="s">
        <v>2293</v>
      </c>
      <c r="M2378" s="1665">
        <v>1.993E-2</v>
      </c>
      <c r="N2378" s="1666">
        <v>1.649640626386859</v>
      </c>
      <c r="O2378" s="1666"/>
    </row>
    <row r="2379" spans="11:15">
      <c r="K2379" s="1663">
        <v>44436</v>
      </c>
      <c r="L2379" s="1664"/>
      <c r="M2379" s="1665">
        <v>0</v>
      </c>
      <c r="N2379" s="1666">
        <v>1.649640626386859</v>
      </c>
      <c r="O2379" s="1666"/>
    </row>
    <row r="2380" spans="11:15">
      <c r="K2380" s="1663">
        <v>44437</v>
      </c>
      <c r="L2380" s="1664"/>
      <c r="M2380" s="1665">
        <v>0</v>
      </c>
      <c r="N2380" s="1666">
        <v>1.649640626386859</v>
      </c>
      <c r="O2380" s="1666"/>
    </row>
    <row r="2381" spans="11:15">
      <c r="K2381" s="1663">
        <v>44438</v>
      </c>
      <c r="L2381" s="1664" t="s">
        <v>2293</v>
      </c>
      <c r="M2381" s="1665">
        <v>1.993E-2</v>
      </c>
      <c r="N2381" s="1666">
        <v>1.6499693997636979</v>
      </c>
      <c r="O2381" s="1666"/>
    </row>
    <row r="2382" spans="11:15">
      <c r="K2382" s="1663">
        <v>44439</v>
      </c>
      <c r="L2382" s="1664" t="s">
        <v>2293</v>
      </c>
      <c r="M2382" s="1665">
        <v>1.993E-2</v>
      </c>
      <c r="N2382" s="1666">
        <v>1.6502982386650709</v>
      </c>
      <c r="O2382" s="1666"/>
    </row>
    <row r="2383" spans="11:15">
      <c r="K2383" s="1663">
        <v>44440</v>
      </c>
      <c r="L2383" s="1664" t="s">
        <v>2293</v>
      </c>
      <c r="M2383" s="1665">
        <v>1.993E-2</v>
      </c>
      <c r="N2383" s="1666">
        <v>1.6506271431040369</v>
      </c>
      <c r="O2383" s="1666"/>
    </row>
    <row r="2384" spans="11:15">
      <c r="K2384" s="1663">
        <v>44441</v>
      </c>
      <c r="L2384" s="1664" t="s">
        <v>2293</v>
      </c>
      <c r="M2384" s="1665">
        <v>1.993E-2</v>
      </c>
      <c r="N2384" s="1666">
        <v>1.6509561130936576</v>
      </c>
      <c r="O2384" s="1666"/>
    </row>
    <row r="2385" spans="11:15">
      <c r="K2385" s="1663">
        <v>44442</v>
      </c>
      <c r="L2385" s="1664" t="s">
        <v>2293</v>
      </c>
      <c r="M2385" s="1665">
        <v>1.993E-2</v>
      </c>
      <c r="N2385" s="1666">
        <v>1.6512851486469973</v>
      </c>
      <c r="O2385" s="1666"/>
    </row>
    <row r="2386" spans="11:15">
      <c r="K2386" s="1663">
        <v>44443</v>
      </c>
      <c r="L2386" s="1664"/>
      <c r="M2386" s="1665">
        <v>0</v>
      </c>
      <c r="N2386" s="1666">
        <v>1.6512851486469973</v>
      </c>
      <c r="O2386" s="1666"/>
    </row>
    <row r="2387" spans="11:15">
      <c r="K2387" s="1663">
        <v>44444</v>
      </c>
      <c r="L2387" s="1664"/>
      <c r="M2387" s="1665">
        <v>0</v>
      </c>
      <c r="N2387" s="1666">
        <v>1.6512851486469973</v>
      </c>
      <c r="O2387" s="1666"/>
    </row>
    <row r="2388" spans="11:15">
      <c r="K2388" s="1663">
        <v>44445</v>
      </c>
      <c r="L2388" s="1664" t="s">
        <v>2293</v>
      </c>
      <c r="M2388" s="1665">
        <v>1.993E-2</v>
      </c>
      <c r="N2388" s="1666">
        <v>1.6516142497771227</v>
      </c>
      <c r="O2388" s="1666"/>
    </row>
    <row r="2389" spans="11:15">
      <c r="K2389" s="1663">
        <v>44446</v>
      </c>
      <c r="L2389" s="1664"/>
      <c r="M2389" s="1665">
        <v>0</v>
      </c>
      <c r="N2389" s="1666">
        <v>1.6516142497771227</v>
      </c>
      <c r="O2389" s="1666"/>
    </row>
    <row r="2390" spans="11:15">
      <c r="K2390" s="1663">
        <v>44447</v>
      </c>
      <c r="L2390" s="1664" t="s">
        <v>2293</v>
      </c>
      <c r="M2390" s="1665">
        <v>1.993E-2</v>
      </c>
      <c r="N2390" s="1666">
        <v>1.6519434164971032</v>
      </c>
      <c r="O2390" s="1666"/>
    </row>
    <row r="2391" spans="11:15">
      <c r="K2391" s="1663">
        <v>44448</v>
      </c>
      <c r="L2391" s="1664" t="s">
        <v>2293</v>
      </c>
      <c r="M2391" s="1665">
        <v>1.993E-2</v>
      </c>
      <c r="N2391" s="1666">
        <v>1.652272648820011</v>
      </c>
      <c r="O2391" s="1666"/>
    </row>
    <row r="2392" spans="11:15">
      <c r="K2392" s="1663">
        <v>44449</v>
      </c>
      <c r="L2392" s="1664" t="s">
        <v>2293</v>
      </c>
      <c r="M2392" s="1665">
        <v>1.993E-2</v>
      </c>
      <c r="N2392" s="1666">
        <v>1.6526019467589208</v>
      </c>
      <c r="O2392" s="1666"/>
    </row>
    <row r="2393" spans="11:15">
      <c r="K2393" s="1663">
        <v>44450</v>
      </c>
      <c r="L2393" s="1664"/>
      <c r="M2393" s="1665">
        <v>0</v>
      </c>
      <c r="N2393" s="1666">
        <v>1.6526019467589208</v>
      </c>
      <c r="O2393" s="1666"/>
    </row>
    <row r="2394" spans="11:15">
      <c r="K2394" s="1663">
        <v>44451</v>
      </c>
      <c r="L2394" s="1664"/>
      <c r="M2394" s="1665">
        <v>0</v>
      </c>
      <c r="N2394" s="1666">
        <v>1.6526019467589208</v>
      </c>
      <c r="O2394" s="1666"/>
    </row>
    <row r="2395" spans="11:15">
      <c r="K2395" s="1663">
        <v>44452</v>
      </c>
      <c r="L2395" s="1664" t="s">
        <v>2293</v>
      </c>
      <c r="M2395" s="1665">
        <v>1.993E-2</v>
      </c>
      <c r="N2395" s="1666">
        <v>1.6529313103269099</v>
      </c>
      <c r="O2395" s="1666"/>
    </row>
    <row r="2396" spans="11:15">
      <c r="K2396" s="1663">
        <v>44453</v>
      </c>
      <c r="L2396" s="1664" t="s">
        <v>2293</v>
      </c>
      <c r="M2396" s="1665">
        <v>1.993E-2</v>
      </c>
      <c r="N2396" s="1666">
        <v>1.653260739537058</v>
      </c>
      <c r="O2396" s="1666"/>
    </row>
    <row r="2397" spans="11:15">
      <c r="K2397" s="1663">
        <v>44454</v>
      </c>
      <c r="L2397" s="1664" t="s">
        <v>2293</v>
      </c>
      <c r="M2397" s="1665">
        <v>1.993E-2</v>
      </c>
      <c r="N2397" s="1666">
        <v>1.6535902344024478</v>
      </c>
      <c r="O2397" s="1666"/>
    </row>
    <row r="2398" spans="11:15">
      <c r="K2398" s="1663">
        <v>44455</v>
      </c>
      <c r="L2398" s="1664" t="s">
        <v>2293</v>
      </c>
      <c r="M2398" s="1665">
        <v>1.993E-2</v>
      </c>
      <c r="N2398" s="1666">
        <v>1.6539197949361641</v>
      </c>
      <c r="O2398" s="1666"/>
    </row>
    <row r="2399" spans="11:15">
      <c r="K2399" s="1663">
        <v>44456</v>
      </c>
      <c r="L2399" s="1664" t="s">
        <v>2293</v>
      </c>
      <c r="M2399" s="1665">
        <v>1.993E-2</v>
      </c>
      <c r="N2399" s="1666">
        <v>1.654249421151295</v>
      </c>
      <c r="O2399" s="1666"/>
    </row>
    <row r="2400" spans="11:15">
      <c r="K2400" s="1663">
        <v>44457</v>
      </c>
      <c r="L2400" s="1664"/>
      <c r="M2400" s="1665">
        <v>0</v>
      </c>
      <c r="N2400" s="1666">
        <v>1.654249421151295</v>
      </c>
      <c r="O2400" s="1666"/>
    </row>
    <row r="2401" spans="11:15">
      <c r="K2401" s="1663">
        <v>44458</v>
      </c>
      <c r="L2401" s="1664"/>
      <c r="M2401" s="1665">
        <v>0</v>
      </c>
      <c r="N2401" s="1666">
        <v>1.654249421151295</v>
      </c>
      <c r="O2401" s="1666"/>
    </row>
    <row r="2402" spans="11:15">
      <c r="K2402" s="1663">
        <v>44459</v>
      </c>
      <c r="L2402" s="1664" t="s">
        <v>2293</v>
      </c>
      <c r="M2402" s="1665">
        <v>1.993E-2</v>
      </c>
      <c r="N2402" s="1666">
        <v>1.6545791130609304</v>
      </c>
      <c r="O2402" s="1666"/>
    </row>
    <row r="2403" spans="11:15">
      <c r="K2403" s="1663">
        <v>44460</v>
      </c>
      <c r="L2403" s="1664" t="s">
        <v>2293</v>
      </c>
      <c r="M2403" s="1665">
        <v>1.993E-2</v>
      </c>
      <c r="N2403" s="1666">
        <v>1.6549088706781634</v>
      </c>
      <c r="O2403" s="1666"/>
    </row>
    <row r="2404" spans="11:15">
      <c r="K2404" s="1663">
        <v>44461</v>
      </c>
      <c r="L2404" s="1664" t="s">
        <v>2293</v>
      </c>
      <c r="M2404" s="1665">
        <v>1.993E-2</v>
      </c>
      <c r="N2404" s="1666">
        <v>1.6552386940160895</v>
      </c>
      <c r="O2404" s="1666"/>
    </row>
    <row r="2405" spans="11:15">
      <c r="K2405" s="1663">
        <v>44462</v>
      </c>
      <c r="L2405" s="1664" t="s">
        <v>2293</v>
      </c>
      <c r="M2405" s="1665">
        <v>2.3687E-2</v>
      </c>
      <c r="N2405" s="1666">
        <v>1.6556307704055411</v>
      </c>
      <c r="O2405" s="1666"/>
    </row>
    <row r="2406" spans="11:15">
      <c r="K2406" s="1663">
        <v>44463</v>
      </c>
      <c r="L2406" s="1664" t="s">
        <v>2293</v>
      </c>
      <c r="M2406" s="1665">
        <v>2.3687E-2</v>
      </c>
      <c r="N2406" s="1666">
        <v>1.656022939666127</v>
      </c>
      <c r="O2406" s="1666"/>
    </row>
    <row r="2407" spans="11:15">
      <c r="K2407" s="1663">
        <v>44464</v>
      </c>
      <c r="L2407" s="1664"/>
      <c r="M2407" s="1665">
        <v>0</v>
      </c>
      <c r="N2407" s="1666">
        <v>1.656022939666127</v>
      </c>
      <c r="O2407" s="1666"/>
    </row>
    <row r="2408" spans="11:15">
      <c r="K2408" s="1663">
        <v>44465</v>
      </c>
      <c r="L2408" s="1664"/>
      <c r="M2408" s="1665">
        <v>0</v>
      </c>
      <c r="N2408" s="1666">
        <v>1.656022939666127</v>
      </c>
      <c r="O2408" s="1666"/>
    </row>
    <row r="2409" spans="11:15">
      <c r="K2409" s="1663">
        <v>44466</v>
      </c>
      <c r="L2409" s="1664" t="s">
        <v>2293</v>
      </c>
      <c r="M2409" s="1665">
        <v>2.3687E-2</v>
      </c>
      <c r="N2409" s="1666">
        <v>1.6564152018198457</v>
      </c>
      <c r="O2409" s="1666"/>
    </row>
    <row r="2410" spans="11:15">
      <c r="K2410" s="1663">
        <v>44467</v>
      </c>
      <c r="L2410" s="1664" t="s">
        <v>2293</v>
      </c>
      <c r="M2410" s="1665">
        <v>2.3687E-2</v>
      </c>
      <c r="N2410" s="1666">
        <v>1.6568075568887006</v>
      </c>
      <c r="O2410" s="1666"/>
    </row>
    <row r="2411" spans="11:15">
      <c r="K2411" s="1663">
        <v>44468</v>
      </c>
      <c r="L2411" s="1664" t="s">
        <v>2293</v>
      </c>
      <c r="M2411" s="1665">
        <v>2.3687E-2</v>
      </c>
      <c r="N2411" s="1666">
        <v>1.6572000048947009</v>
      </c>
      <c r="O2411" s="1666"/>
    </row>
    <row r="2412" spans="11:15">
      <c r="K2412" s="1663">
        <v>44469</v>
      </c>
      <c r="L2412" s="1664" t="s">
        <v>2293</v>
      </c>
      <c r="M2412" s="1665">
        <v>2.3687E-2</v>
      </c>
      <c r="N2412" s="1666">
        <v>1.6575925458598602</v>
      </c>
      <c r="O2412" s="1666"/>
    </row>
    <row r="2413" spans="11:15">
      <c r="K2413" s="1663">
        <v>44470</v>
      </c>
      <c r="L2413" s="1664" t="s">
        <v>2293</v>
      </c>
      <c r="M2413" s="1665">
        <v>2.3687E-2</v>
      </c>
      <c r="N2413" s="1666">
        <v>1.657985179806198</v>
      </c>
      <c r="O2413" s="1666"/>
    </row>
    <row r="2414" spans="11:15">
      <c r="K2414" s="1663">
        <v>44471</v>
      </c>
      <c r="L2414" s="1664"/>
      <c r="M2414" s="1665">
        <v>0</v>
      </c>
      <c r="N2414" s="1666">
        <v>1.657985179806198</v>
      </c>
      <c r="O2414" s="1666"/>
    </row>
    <row r="2415" spans="11:15">
      <c r="K2415" s="1663">
        <v>44472</v>
      </c>
      <c r="L2415" s="1664"/>
      <c r="M2415" s="1665">
        <v>0</v>
      </c>
      <c r="N2415" s="1666">
        <v>1.657985179806198</v>
      </c>
      <c r="O2415" s="1666"/>
    </row>
    <row r="2416" spans="11:15">
      <c r="K2416" s="1663">
        <v>44473</v>
      </c>
      <c r="L2416" s="1664" t="s">
        <v>2293</v>
      </c>
      <c r="M2416" s="1665">
        <v>2.3687E-2</v>
      </c>
      <c r="N2416" s="1666">
        <v>1.6583779067557385</v>
      </c>
      <c r="O2416" s="1666"/>
    </row>
    <row r="2417" spans="11:15">
      <c r="K2417" s="1663">
        <v>44474</v>
      </c>
      <c r="L2417" s="1664" t="s">
        <v>2293</v>
      </c>
      <c r="M2417" s="1665">
        <v>2.3687E-2</v>
      </c>
      <c r="N2417" s="1666">
        <v>1.6587707267305116</v>
      </c>
      <c r="O2417" s="1666"/>
    </row>
    <row r="2418" spans="11:15">
      <c r="K2418" s="1663">
        <v>44475</v>
      </c>
      <c r="L2418" s="1664" t="s">
        <v>2293</v>
      </c>
      <c r="M2418" s="1665">
        <v>2.3687E-2</v>
      </c>
      <c r="N2418" s="1666">
        <v>1.6591636397525522</v>
      </c>
      <c r="O2418" s="1666"/>
    </row>
    <row r="2419" spans="11:15">
      <c r="K2419" s="1663">
        <v>44476</v>
      </c>
      <c r="L2419" s="1664" t="s">
        <v>2293</v>
      </c>
      <c r="M2419" s="1665">
        <v>2.3687E-2</v>
      </c>
      <c r="N2419" s="1666">
        <v>1.6595566458439004</v>
      </c>
      <c r="O2419" s="1666"/>
    </row>
    <row r="2420" spans="11:15">
      <c r="K2420" s="1663">
        <v>44477</v>
      </c>
      <c r="L2420" s="1664" t="s">
        <v>2293</v>
      </c>
      <c r="M2420" s="1665">
        <v>2.3687E-2</v>
      </c>
      <c r="N2420" s="1666">
        <v>1.6599497450266014</v>
      </c>
      <c r="O2420" s="1666"/>
    </row>
    <row r="2421" spans="11:15">
      <c r="K2421" s="1663">
        <v>44478</v>
      </c>
      <c r="L2421" s="1664"/>
      <c r="M2421" s="1665">
        <v>0</v>
      </c>
      <c r="N2421" s="1666">
        <v>1.6599497450266014</v>
      </c>
      <c r="O2421" s="1666"/>
    </row>
    <row r="2422" spans="11:15">
      <c r="K2422" s="1663">
        <v>44479</v>
      </c>
      <c r="L2422" s="1664"/>
      <c r="M2422" s="1665">
        <v>0</v>
      </c>
      <c r="N2422" s="1666">
        <v>1.6599497450266014</v>
      </c>
      <c r="O2422" s="1666"/>
    </row>
    <row r="2423" spans="11:15">
      <c r="K2423" s="1663">
        <v>44480</v>
      </c>
      <c r="L2423" s="1664" t="s">
        <v>2293</v>
      </c>
      <c r="M2423" s="1665">
        <v>2.3687E-2</v>
      </c>
      <c r="N2423" s="1666">
        <v>1.6603429373227059</v>
      </c>
      <c r="O2423" s="1666"/>
    </row>
    <row r="2424" spans="11:15">
      <c r="K2424" s="1663">
        <v>44481</v>
      </c>
      <c r="L2424" s="1664"/>
      <c r="M2424" s="1665">
        <v>0</v>
      </c>
      <c r="N2424" s="1666">
        <v>1.6603429373227059</v>
      </c>
      <c r="O2424" s="1666"/>
    </row>
    <row r="2425" spans="11:15">
      <c r="K2425" s="1663">
        <v>44482</v>
      </c>
      <c r="L2425" s="1664" t="s">
        <v>2293</v>
      </c>
      <c r="M2425" s="1665">
        <v>2.3687E-2</v>
      </c>
      <c r="N2425" s="1666">
        <v>1.6607362227542695</v>
      </c>
      <c r="O2425" s="1666"/>
    </row>
    <row r="2426" spans="11:15">
      <c r="K2426" s="1663">
        <v>44483</v>
      </c>
      <c r="L2426" s="1664" t="s">
        <v>2293</v>
      </c>
      <c r="M2426" s="1665">
        <v>2.3687E-2</v>
      </c>
      <c r="N2426" s="1666">
        <v>1.6611296013433532</v>
      </c>
      <c r="O2426" s="1666"/>
    </row>
    <row r="2427" spans="11:15">
      <c r="K2427" s="1663">
        <v>44484</v>
      </c>
      <c r="L2427" s="1664" t="s">
        <v>2293</v>
      </c>
      <c r="M2427" s="1665">
        <v>2.3687E-2</v>
      </c>
      <c r="N2427" s="1666">
        <v>1.6615230731120234</v>
      </c>
      <c r="O2427" s="1666"/>
    </row>
    <row r="2428" spans="11:15">
      <c r="K2428" s="1663">
        <v>44485</v>
      </c>
      <c r="L2428" s="1664"/>
      <c r="M2428" s="1665">
        <v>0</v>
      </c>
      <c r="N2428" s="1666">
        <v>1.6615230731120234</v>
      </c>
      <c r="O2428" s="1666"/>
    </row>
    <row r="2429" spans="11:15">
      <c r="K2429" s="1663">
        <v>44486</v>
      </c>
      <c r="L2429" s="1664"/>
      <c r="M2429" s="1665">
        <v>0</v>
      </c>
      <c r="N2429" s="1666">
        <v>1.6615230731120234</v>
      </c>
      <c r="O2429" s="1666"/>
    </row>
    <row r="2430" spans="11:15">
      <c r="K2430" s="1663">
        <v>44487</v>
      </c>
      <c r="L2430" s="1664" t="s">
        <v>2293</v>
      </c>
      <c r="M2430" s="1665">
        <v>2.3687E-2</v>
      </c>
      <c r="N2430" s="1666">
        <v>1.6619166380823513</v>
      </c>
      <c r="O2430" s="1666"/>
    </row>
    <row r="2431" spans="11:15">
      <c r="K2431" s="1663">
        <v>44488</v>
      </c>
      <c r="L2431" s="1664" t="s">
        <v>2293</v>
      </c>
      <c r="M2431" s="1665">
        <v>2.3687E-2</v>
      </c>
      <c r="N2431" s="1666">
        <v>1.6623102962764138</v>
      </c>
      <c r="O2431" s="1666"/>
    </row>
    <row r="2432" spans="11:15">
      <c r="K2432" s="1663">
        <v>44489</v>
      </c>
      <c r="L2432" s="1664" t="s">
        <v>2293</v>
      </c>
      <c r="M2432" s="1665">
        <v>2.3687E-2</v>
      </c>
      <c r="N2432" s="1666">
        <v>1.6627040477162927</v>
      </c>
      <c r="O2432" s="1666"/>
    </row>
    <row r="2433" spans="11:15">
      <c r="K2433" s="1663">
        <v>44490</v>
      </c>
      <c r="L2433" s="1664" t="s">
        <v>2293</v>
      </c>
      <c r="M2433" s="1665">
        <v>2.3687E-2</v>
      </c>
      <c r="N2433" s="1666">
        <v>1.6630978924240751</v>
      </c>
      <c r="O2433" s="1666"/>
    </row>
    <row r="2434" spans="11:15">
      <c r="K2434" s="1663">
        <v>44491</v>
      </c>
      <c r="L2434" s="1664" t="s">
        <v>2293</v>
      </c>
      <c r="M2434" s="1665">
        <v>2.3687E-2</v>
      </c>
      <c r="N2434" s="1666">
        <v>1.6634918304218536</v>
      </c>
      <c r="O2434" s="1666"/>
    </row>
    <row r="2435" spans="11:15">
      <c r="K2435" s="1663">
        <v>44492</v>
      </c>
      <c r="L2435" s="1664"/>
      <c r="M2435" s="1665">
        <v>0</v>
      </c>
      <c r="N2435" s="1666">
        <v>1.6634918304218536</v>
      </c>
      <c r="O2435" s="1666"/>
    </row>
    <row r="2436" spans="11:15">
      <c r="K2436" s="1663">
        <v>44493</v>
      </c>
      <c r="L2436" s="1664"/>
      <c r="M2436" s="1665">
        <v>0</v>
      </c>
      <c r="N2436" s="1666">
        <v>1.6634918304218536</v>
      </c>
      <c r="O2436" s="1666"/>
    </row>
    <row r="2437" spans="11:15">
      <c r="K2437" s="1663">
        <v>44494</v>
      </c>
      <c r="L2437" s="1664" t="s">
        <v>2293</v>
      </c>
      <c r="M2437" s="1665">
        <v>2.3687E-2</v>
      </c>
      <c r="N2437" s="1666">
        <v>1.6638858617317256</v>
      </c>
      <c r="O2437" s="1666"/>
    </row>
    <row r="2438" spans="11:15">
      <c r="K2438" s="1663">
        <v>44495</v>
      </c>
      <c r="L2438" s="1664" t="s">
        <v>2293</v>
      </c>
      <c r="M2438" s="1665">
        <v>2.3687E-2</v>
      </c>
      <c r="N2438" s="1666">
        <v>1.664279986375794</v>
      </c>
      <c r="O2438" s="1666"/>
    </row>
    <row r="2439" spans="11:15">
      <c r="K2439" s="1663">
        <v>44496</v>
      </c>
      <c r="L2439" s="1664" t="s">
        <v>2293</v>
      </c>
      <c r="M2439" s="1665">
        <v>2.3687E-2</v>
      </c>
      <c r="N2439" s="1666">
        <v>1.6646742043761666</v>
      </c>
      <c r="O2439" s="1666"/>
    </row>
    <row r="2440" spans="11:15">
      <c r="K2440" s="1663">
        <v>44497</v>
      </c>
      <c r="L2440" s="1664" t="s">
        <v>2293</v>
      </c>
      <c r="M2440" s="1665">
        <v>2.9256000000000001E-2</v>
      </c>
      <c r="N2440" s="1666">
        <v>1.6651612214613991</v>
      </c>
      <c r="O2440" s="1666"/>
    </row>
    <row r="2441" spans="11:15">
      <c r="K2441" s="1663">
        <v>44498</v>
      </c>
      <c r="L2441" s="1664" t="s">
        <v>2293</v>
      </c>
      <c r="M2441" s="1665">
        <v>2.9256000000000001E-2</v>
      </c>
      <c r="N2441" s="1666">
        <v>1.66564838102835</v>
      </c>
      <c r="O2441" s="1666"/>
    </row>
    <row r="2442" spans="11:15">
      <c r="K2442" s="1663">
        <v>44499</v>
      </c>
      <c r="L2442" s="1664"/>
      <c r="M2442" s="1665">
        <v>0</v>
      </c>
      <c r="N2442" s="1666">
        <v>1.66564838102835</v>
      </c>
      <c r="O2442" s="1666"/>
    </row>
    <row r="2443" spans="11:15">
      <c r="K2443" s="1663">
        <v>44500</v>
      </c>
      <c r="L2443" s="1664"/>
      <c r="M2443" s="1665">
        <v>0</v>
      </c>
      <c r="N2443" s="1666">
        <v>1.66564838102835</v>
      </c>
      <c r="O2443" s="1666"/>
    </row>
    <row r="2444" spans="11:15">
      <c r="K2444" s="1663">
        <v>44501</v>
      </c>
      <c r="L2444" s="1664" t="s">
        <v>2293</v>
      </c>
      <c r="M2444" s="1665">
        <v>2.9256000000000001E-2</v>
      </c>
      <c r="N2444" s="1666">
        <v>1.6661356831187037</v>
      </c>
      <c r="O2444" s="1666"/>
    </row>
    <row r="2445" spans="11:15">
      <c r="K2445" s="1663">
        <v>44502</v>
      </c>
      <c r="L2445" s="1664"/>
      <c r="M2445" s="1665">
        <v>0</v>
      </c>
      <c r="N2445" s="1666">
        <v>1.6661356831187037</v>
      </c>
      <c r="O2445" s="1666"/>
    </row>
    <row r="2446" spans="11:15">
      <c r="K2446" s="1663">
        <v>44503</v>
      </c>
      <c r="L2446" s="1664" t="s">
        <v>2293</v>
      </c>
      <c r="M2446" s="1665">
        <v>2.9256000000000001E-2</v>
      </c>
      <c r="N2446" s="1666">
        <v>1.6666231277741572</v>
      </c>
      <c r="O2446" s="1666"/>
    </row>
    <row r="2447" spans="11:15">
      <c r="K2447" s="1663">
        <v>44504</v>
      </c>
      <c r="L2447" s="1664" t="s">
        <v>2293</v>
      </c>
      <c r="M2447" s="1665">
        <v>2.9256000000000001E-2</v>
      </c>
      <c r="N2447" s="1666">
        <v>1.6671107150364191</v>
      </c>
      <c r="O2447" s="1666"/>
    </row>
    <row r="2448" spans="11:15">
      <c r="K2448" s="1663">
        <v>44505</v>
      </c>
      <c r="L2448" s="1664" t="s">
        <v>2293</v>
      </c>
      <c r="M2448" s="1665">
        <v>2.9256000000000001E-2</v>
      </c>
      <c r="N2448" s="1666">
        <v>1.6675984449472103</v>
      </c>
      <c r="O2448" s="1666"/>
    </row>
    <row r="2449" spans="11:15">
      <c r="K2449" s="1663">
        <v>44506</v>
      </c>
      <c r="L2449" s="1664"/>
      <c r="M2449" s="1665">
        <v>0</v>
      </c>
      <c r="N2449" s="1666">
        <v>1.6675984449472103</v>
      </c>
      <c r="O2449" s="1666"/>
    </row>
    <row r="2450" spans="11:15">
      <c r="K2450" s="1663">
        <v>44507</v>
      </c>
      <c r="L2450" s="1664"/>
      <c r="M2450" s="1665">
        <v>0</v>
      </c>
      <c r="N2450" s="1666">
        <v>1.6675984449472103</v>
      </c>
      <c r="O2450" s="1666"/>
    </row>
    <row r="2451" spans="11:15">
      <c r="K2451" s="1663">
        <v>44508</v>
      </c>
      <c r="L2451" s="1664" t="s">
        <v>2293</v>
      </c>
      <c r="M2451" s="1665">
        <v>2.9256000000000001E-2</v>
      </c>
      <c r="N2451" s="1666">
        <v>1.6680863175482643</v>
      </c>
      <c r="O2451" s="1666"/>
    </row>
    <row r="2452" spans="11:15">
      <c r="K2452" s="1663">
        <v>44509</v>
      </c>
      <c r="L2452" s="1664" t="s">
        <v>2293</v>
      </c>
      <c r="M2452" s="1665">
        <v>2.9256000000000001E-2</v>
      </c>
      <c r="N2452" s="1666">
        <v>1.6685743328813265</v>
      </c>
      <c r="O2452" s="1666"/>
    </row>
    <row r="2453" spans="11:15">
      <c r="K2453" s="1663">
        <v>44510</v>
      </c>
      <c r="L2453" s="1664" t="s">
        <v>2293</v>
      </c>
      <c r="M2453" s="1665">
        <v>2.9256000000000001E-2</v>
      </c>
      <c r="N2453" s="1666">
        <v>1.6690624909881544</v>
      </c>
      <c r="O2453" s="1666"/>
    </row>
    <row r="2454" spans="11:15">
      <c r="K2454" s="1663">
        <v>44511</v>
      </c>
      <c r="L2454" s="1664" t="s">
        <v>2293</v>
      </c>
      <c r="M2454" s="1665">
        <v>2.9256000000000001E-2</v>
      </c>
      <c r="N2454" s="1666">
        <v>1.6695507919105181</v>
      </c>
      <c r="O2454" s="1666"/>
    </row>
    <row r="2455" spans="11:15">
      <c r="K2455" s="1663">
        <v>44512</v>
      </c>
      <c r="L2455" s="1664" t="s">
        <v>2293</v>
      </c>
      <c r="M2455" s="1665">
        <v>2.9256000000000001E-2</v>
      </c>
      <c r="N2455" s="1666">
        <v>1.6700392356901996</v>
      </c>
      <c r="O2455" s="1666"/>
    </row>
    <row r="2456" spans="11:15">
      <c r="K2456" s="1663">
        <v>44513</v>
      </c>
      <c r="L2456" s="1664"/>
      <c r="M2456" s="1665">
        <v>0</v>
      </c>
      <c r="N2456" s="1666">
        <v>1.6700392356901996</v>
      </c>
      <c r="O2456" s="1666"/>
    </row>
    <row r="2457" spans="11:15">
      <c r="K2457" s="1663">
        <v>44514</v>
      </c>
      <c r="L2457" s="1664"/>
      <c r="M2457" s="1665">
        <v>0</v>
      </c>
      <c r="N2457" s="1666">
        <v>1.6700392356901996</v>
      </c>
      <c r="O2457" s="1666"/>
    </row>
    <row r="2458" spans="11:15">
      <c r="K2458" s="1663">
        <v>44515</v>
      </c>
      <c r="L2458" s="1664"/>
      <c r="M2458" s="1665">
        <v>0</v>
      </c>
      <c r="N2458" s="1666">
        <v>1.6700392356901996</v>
      </c>
      <c r="O2458" s="1666"/>
    </row>
    <row r="2459" spans="11:15">
      <c r="K2459" s="1663">
        <v>44516</v>
      </c>
      <c r="L2459" s="1664" t="s">
        <v>2293</v>
      </c>
      <c r="M2459" s="1665">
        <v>2.9256000000000001E-2</v>
      </c>
      <c r="N2459" s="1666">
        <v>1.6705278223689934</v>
      </c>
      <c r="O2459" s="1666"/>
    </row>
    <row r="2460" spans="11:15">
      <c r="K2460" s="1663">
        <v>44517</v>
      </c>
      <c r="L2460" s="1664" t="s">
        <v>2293</v>
      </c>
      <c r="M2460" s="1665">
        <v>2.9256000000000001E-2</v>
      </c>
      <c r="N2460" s="1666">
        <v>1.6710165519887059</v>
      </c>
      <c r="O2460" s="1666"/>
    </row>
    <row r="2461" spans="11:15">
      <c r="K2461" s="1663">
        <v>44518</v>
      </c>
      <c r="L2461" s="1664" t="s">
        <v>2293</v>
      </c>
      <c r="M2461" s="1665">
        <v>2.9256000000000001E-2</v>
      </c>
      <c r="N2461" s="1666">
        <v>1.6715054245911558</v>
      </c>
      <c r="O2461" s="1666"/>
    </row>
    <row r="2462" spans="11:15">
      <c r="K2462" s="1663">
        <v>44519</v>
      </c>
      <c r="L2462" s="1664" t="s">
        <v>2293</v>
      </c>
      <c r="M2462" s="1665">
        <v>2.9256000000000001E-2</v>
      </c>
      <c r="N2462" s="1666">
        <v>1.6719944402181743</v>
      </c>
      <c r="O2462" s="1666"/>
    </row>
    <row r="2463" spans="11:15">
      <c r="K2463" s="1663">
        <v>44520</v>
      </c>
      <c r="L2463" s="1664"/>
      <c r="M2463" s="1665">
        <v>0</v>
      </c>
      <c r="N2463" s="1666">
        <v>1.6719944402181743</v>
      </c>
      <c r="O2463" s="1666"/>
    </row>
    <row r="2464" spans="11:15">
      <c r="K2464" s="1663">
        <v>44521</v>
      </c>
      <c r="L2464" s="1664"/>
      <c r="M2464" s="1665">
        <v>0</v>
      </c>
      <c r="N2464" s="1666">
        <v>1.6719944402181743</v>
      </c>
      <c r="O2464" s="1666"/>
    </row>
    <row r="2465" spans="11:15">
      <c r="K2465" s="1663">
        <v>44522</v>
      </c>
      <c r="L2465" s="1664" t="s">
        <v>2293</v>
      </c>
      <c r="M2465" s="1665">
        <v>2.9256000000000001E-2</v>
      </c>
      <c r="N2465" s="1666">
        <v>1.6724835989116047</v>
      </c>
      <c r="O2465" s="1666"/>
    </row>
    <row r="2466" spans="11:15">
      <c r="K2466" s="1663">
        <v>44523</v>
      </c>
      <c r="L2466" s="1664" t="s">
        <v>2293</v>
      </c>
      <c r="M2466" s="1665">
        <v>2.9256000000000001E-2</v>
      </c>
      <c r="N2466" s="1666">
        <v>1.6729729007133025</v>
      </c>
      <c r="O2466" s="1666"/>
    </row>
    <row r="2467" spans="11:15">
      <c r="K2467" s="1663">
        <v>44524</v>
      </c>
      <c r="L2467" s="1664" t="s">
        <v>2293</v>
      </c>
      <c r="M2467" s="1665">
        <v>2.9256000000000001E-2</v>
      </c>
      <c r="N2467" s="1666">
        <v>1.6734623456651354</v>
      </c>
      <c r="O2467" s="1666"/>
    </row>
    <row r="2468" spans="11:15">
      <c r="K2468" s="1663">
        <v>44525</v>
      </c>
      <c r="L2468" s="1664" t="s">
        <v>2293</v>
      </c>
      <c r="M2468" s="1665">
        <v>2.9256000000000001E-2</v>
      </c>
      <c r="N2468" s="1666">
        <v>1.6739519338089834</v>
      </c>
      <c r="O2468" s="1666"/>
    </row>
    <row r="2469" spans="11:15">
      <c r="K2469" s="1663">
        <v>44526</v>
      </c>
      <c r="L2469" s="1664" t="s">
        <v>2293</v>
      </c>
      <c r="M2469" s="1665">
        <v>2.9256000000000001E-2</v>
      </c>
      <c r="N2469" s="1666">
        <v>1.6744416651867389</v>
      </c>
      <c r="O2469" s="1666"/>
    </row>
    <row r="2470" spans="11:15">
      <c r="K2470" s="1663">
        <v>44527</v>
      </c>
      <c r="L2470" s="1664"/>
      <c r="M2470" s="1665">
        <v>0</v>
      </c>
      <c r="N2470" s="1666">
        <v>1.6744416651867389</v>
      </c>
      <c r="O2470" s="1666"/>
    </row>
    <row r="2471" spans="11:15">
      <c r="K2471" s="1663">
        <v>44528</v>
      </c>
      <c r="L2471" s="1664"/>
      <c r="M2471" s="1665">
        <v>0</v>
      </c>
      <c r="N2471" s="1666">
        <v>1.6744416651867389</v>
      </c>
      <c r="O2471" s="1666"/>
    </row>
    <row r="2472" spans="11:15">
      <c r="K2472" s="1663">
        <v>44529</v>
      </c>
      <c r="L2472" s="1664" t="s">
        <v>2293</v>
      </c>
      <c r="M2472" s="1665">
        <v>2.9256000000000001E-2</v>
      </c>
      <c r="N2472" s="1666">
        <v>1.6749315398403062</v>
      </c>
      <c r="O2472" s="1666"/>
    </row>
    <row r="2473" spans="11:15">
      <c r="K2473" s="1663">
        <v>44530</v>
      </c>
      <c r="L2473" s="1664" t="s">
        <v>2293</v>
      </c>
      <c r="M2473" s="1665">
        <v>2.9256000000000001E-2</v>
      </c>
      <c r="N2473" s="1666">
        <v>1.6754215578116021</v>
      </c>
      <c r="O2473" s="1666"/>
    </row>
    <row r="2474" spans="11:15">
      <c r="K2474" s="1663">
        <v>44531</v>
      </c>
      <c r="L2474" s="1664" t="s">
        <v>2293</v>
      </c>
      <c r="M2474" s="1665">
        <v>2.9256000000000001E-2</v>
      </c>
      <c r="N2474" s="1666">
        <v>1.6759117191425557</v>
      </c>
      <c r="O2474" s="1666"/>
    </row>
    <row r="2475" spans="11:15">
      <c r="K2475" s="1663">
        <v>44532</v>
      </c>
      <c r="L2475" s="1664" t="s">
        <v>2293</v>
      </c>
      <c r="M2475" s="1665">
        <v>2.9256000000000001E-2</v>
      </c>
      <c r="N2475" s="1666">
        <v>1.6764020238751083</v>
      </c>
      <c r="O2475" s="1666"/>
    </row>
    <row r="2476" spans="11:15">
      <c r="K2476" s="1663">
        <v>44533</v>
      </c>
      <c r="L2476" s="1664" t="s">
        <v>2293</v>
      </c>
      <c r="M2476" s="1665">
        <v>2.9256000000000001E-2</v>
      </c>
      <c r="N2476" s="1666">
        <v>1.6768924720512133</v>
      </c>
      <c r="O2476" s="1666"/>
    </row>
    <row r="2477" spans="11:15">
      <c r="K2477" s="1663">
        <v>44534</v>
      </c>
      <c r="L2477" s="1664"/>
      <c r="M2477" s="1665">
        <v>0</v>
      </c>
      <c r="N2477" s="1666">
        <v>1.6768924720512133</v>
      </c>
      <c r="O2477" s="1666"/>
    </row>
    <row r="2478" spans="11:15">
      <c r="K2478" s="1663">
        <v>44535</v>
      </c>
      <c r="L2478" s="1664"/>
      <c r="M2478" s="1665">
        <v>0</v>
      </c>
      <c r="N2478" s="1666">
        <v>1.6768924720512133</v>
      </c>
      <c r="O2478" s="1666"/>
    </row>
    <row r="2479" spans="11:15">
      <c r="K2479" s="1663">
        <v>44536</v>
      </c>
      <c r="L2479" s="1664" t="s">
        <v>2293</v>
      </c>
      <c r="M2479" s="1665">
        <v>2.9256000000000001E-2</v>
      </c>
      <c r="N2479" s="1666">
        <v>1.6773830637128369</v>
      </c>
      <c r="O2479" s="1666"/>
    </row>
    <row r="2480" spans="11:15">
      <c r="K2480" s="1663">
        <v>44537</v>
      </c>
      <c r="L2480" s="1664" t="s">
        <v>2293</v>
      </c>
      <c r="M2480" s="1665">
        <v>2.9256000000000001E-2</v>
      </c>
      <c r="N2480" s="1666">
        <v>1.6778737989019568</v>
      </c>
      <c r="O2480" s="1666"/>
    </row>
    <row r="2481" spans="11:15">
      <c r="K2481" s="1663">
        <v>44538</v>
      </c>
      <c r="L2481" s="1664" t="s">
        <v>2293</v>
      </c>
      <c r="M2481" s="1665">
        <v>2.9256000000000001E-2</v>
      </c>
      <c r="N2481" s="1666">
        <v>1.6783646776605636</v>
      </c>
      <c r="O2481" s="1666"/>
    </row>
    <row r="2482" spans="11:15">
      <c r="K2482" s="1663">
        <v>44539</v>
      </c>
      <c r="L2482" s="1664" t="s">
        <v>2293</v>
      </c>
      <c r="M2482" s="1665">
        <v>3.4749000000000002E-2</v>
      </c>
      <c r="N2482" s="1666">
        <v>1.678947892602404</v>
      </c>
      <c r="O2482" s="1666"/>
    </row>
    <row r="2483" spans="11:15">
      <c r="K2483" s="1663">
        <v>44540</v>
      </c>
      <c r="L2483" s="1664" t="s">
        <v>2293</v>
      </c>
      <c r="M2483" s="1665">
        <v>3.4749000000000002E-2</v>
      </c>
      <c r="N2483" s="1666">
        <v>1.6795313102056044</v>
      </c>
      <c r="O2483" s="1666"/>
    </row>
    <row r="2484" spans="11:15">
      <c r="K2484" s="1663">
        <v>44541</v>
      </c>
      <c r="L2484" s="1664"/>
      <c r="M2484" s="1665">
        <v>0</v>
      </c>
      <c r="N2484" s="1666">
        <v>1.6795313102056044</v>
      </c>
      <c r="O2484" s="1666"/>
    </row>
    <row r="2485" spans="11:15">
      <c r="K2485" s="1663">
        <v>44542</v>
      </c>
      <c r="L2485" s="1664"/>
      <c r="M2485" s="1665">
        <v>0</v>
      </c>
      <c r="N2485" s="1666">
        <v>1.6795313102056044</v>
      </c>
      <c r="O2485" s="1666"/>
    </row>
    <row r="2486" spans="11:15">
      <c r="K2486" s="1663">
        <v>44543</v>
      </c>
      <c r="L2486" s="1664" t="s">
        <v>2293</v>
      </c>
      <c r="M2486" s="1665">
        <v>3.4749000000000002E-2</v>
      </c>
      <c r="N2486" s="1666">
        <v>1.6801149305405878</v>
      </c>
      <c r="O2486" s="1666"/>
    </row>
    <row r="2487" spans="11:15">
      <c r="K2487" s="1663">
        <v>44544</v>
      </c>
      <c r="L2487" s="1664" t="s">
        <v>2293</v>
      </c>
      <c r="M2487" s="1665">
        <v>3.4749000000000002E-2</v>
      </c>
      <c r="N2487" s="1666">
        <v>1.6806987536778013</v>
      </c>
      <c r="O2487" s="1666"/>
    </row>
    <row r="2488" spans="11:15">
      <c r="K2488" s="1663">
        <v>44545</v>
      </c>
      <c r="L2488" s="1664" t="s">
        <v>2293</v>
      </c>
      <c r="M2488" s="1665">
        <v>3.4749000000000002E-2</v>
      </c>
      <c r="N2488" s="1666">
        <v>1.6812827796877168</v>
      </c>
      <c r="O2488" s="1666"/>
    </row>
    <row r="2489" spans="11:15">
      <c r="K2489" s="1663">
        <v>44546</v>
      </c>
      <c r="L2489" s="1664" t="s">
        <v>2293</v>
      </c>
      <c r="M2489" s="1665">
        <v>3.4749000000000002E-2</v>
      </c>
      <c r="N2489" s="1666">
        <v>1.6818670086408305</v>
      </c>
      <c r="O2489" s="1666"/>
    </row>
    <row r="2490" spans="11:15">
      <c r="K2490" s="1663">
        <v>44547</v>
      </c>
      <c r="L2490" s="1664" t="s">
        <v>2293</v>
      </c>
      <c r="M2490" s="1665">
        <v>3.4749000000000002E-2</v>
      </c>
      <c r="N2490" s="1666">
        <v>1.6824514406076632</v>
      </c>
      <c r="O2490" s="1666"/>
    </row>
    <row r="2491" spans="11:15">
      <c r="K2491" s="1663">
        <v>44548</v>
      </c>
      <c r="L2491" s="1664"/>
      <c r="M2491" s="1665">
        <v>0</v>
      </c>
      <c r="N2491" s="1666">
        <v>1.6824514406076632</v>
      </c>
      <c r="O2491" s="1666"/>
    </row>
    <row r="2492" spans="11:15">
      <c r="K2492" s="1663">
        <v>44549</v>
      </c>
      <c r="L2492" s="1664"/>
      <c r="M2492" s="1665">
        <v>0</v>
      </c>
      <c r="N2492" s="1666">
        <v>1.6824514406076632</v>
      </c>
      <c r="O2492" s="1666"/>
    </row>
    <row r="2493" spans="11:15">
      <c r="K2493" s="1663">
        <v>44550</v>
      </c>
      <c r="L2493" s="1664" t="s">
        <v>2293</v>
      </c>
      <c r="M2493" s="1665">
        <v>3.4749000000000002E-2</v>
      </c>
      <c r="N2493" s="1666">
        <v>1.6830360756587599</v>
      </c>
      <c r="O2493" s="1666"/>
    </row>
    <row r="2494" spans="11:15">
      <c r="K2494" s="1663">
        <v>44551</v>
      </c>
      <c r="L2494" s="1664" t="s">
        <v>2293</v>
      </c>
      <c r="M2494" s="1665">
        <v>3.4749000000000002E-2</v>
      </c>
      <c r="N2494" s="1666">
        <v>1.6836209138646905</v>
      </c>
      <c r="O2494" s="1666"/>
    </row>
    <row r="2495" spans="11:15">
      <c r="K2495" s="1663">
        <v>44552</v>
      </c>
      <c r="L2495" s="1664" t="s">
        <v>2293</v>
      </c>
      <c r="M2495" s="1665">
        <v>3.4749000000000002E-2</v>
      </c>
      <c r="N2495" s="1666">
        <v>1.6842059552960493</v>
      </c>
      <c r="O2495" s="1666"/>
    </row>
    <row r="2496" spans="11:15">
      <c r="K2496" s="1663">
        <v>44553</v>
      </c>
      <c r="L2496" s="1664" t="s">
        <v>2293</v>
      </c>
      <c r="M2496" s="1665">
        <v>3.4749000000000002E-2</v>
      </c>
      <c r="N2496" s="1666">
        <v>1.6847912000234551</v>
      </c>
      <c r="O2496" s="1666"/>
    </row>
    <row r="2497" spans="11:15">
      <c r="K2497" s="1663">
        <v>44554</v>
      </c>
      <c r="L2497" s="1664" t="s">
        <v>2293</v>
      </c>
      <c r="M2497" s="1665">
        <v>3.4749000000000002E-2</v>
      </c>
      <c r="N2497" s="1666">
        <v>1.6853766481175512</v>
      </c>
      <c r="O2497" s="1666"/>
    </row>
    <row r="2498" spans="11:15">
      <c r="K2498" s="1663">
        <v>44555</v>
      </c>
      <c r="L2498" s="1664"/>
      <c r="M2498" s="1665">
        <v>0</v>
      </c>
      <c r="N2498" s="1666">
        <v>1.6853766481175512</v>
      </c>
      <c r="O2498" s="1666"/>
    </row>
    <row r="2499" spans="11:15">
      <c r="K2499" s="1663">
        <v>44556</v>
      </c>
      <c r="L2499" s="1664"/>
      <c r="M2499" s="1665">
        <v>0</v>
      </c>
      <c r="N2499" s="1666">
        <v>1.6853766481175512</v>
      </c>
      <c r="O2499" s="1666"/>
    </row>
    <row r="2500" spans="11:15">
      <c r="K2500" s="1663">
        <v>44557</v>
      </c>
      <c r="L2500" s="1664" t="s">
        <v>2293</v>
      </c>
      <c r="M2500" s="1665">
        <v>3.4749000000000002E-2</v>
      </c>
      <c r="N2500" s="1666">
        <v>1.6859622996490056</v>
      </c>
      <c r="O2500" s="1666"/>
    </row>
    <row r="2501" spans="11:15">
      <c r="K2501" s="1663">
        <v>44558</v>
      </c>
      <c r="L2501" s="1664" t="s">
        <v>2293</v>
      </c>
      <c r="M2501" s="1665">
        <v>3.4749000000000002E-2</v>
      </c>
      <c r="N2501" s="1666">
        <v>1.6865481546885106</v>
      </c>
      <c r="O2501" s="1666"/>
    </row>
    <row r="2502" spans="11:15">
      <c r="K2502" s="1663">
        <v>44559</v>
      </c>
      <c r="L2502" s="1664" t="s">
        <v>2293</v>
      </c>
      <c r="M2502" s="1665">
        <v>3.4749000000000002E-2</v>
      </c>
      <c r="N2502" s="1666">
        <v>1.6871342133067833</v>
      </c>
      <c r="O2502" s="1666"/>
    </row>
    <row r="2503" spans="11:15">
      <c r="K2503" s="1663">
        <v>44560</v>
      </c>
      <c r="L2503" s="1664" t="s">
        <v>2293</v>
      </c>
      <c r="M2503" s="1665">
        <v>3.4749000000000002E-2</v>
      </c>
      <c r="N2503" s="1666">
        <v>1.6877204755745652</v>
      </c>
      <c r="O2503" s="1666"/>
    </row>
    <row r="2504" spans="11:15">
      <c r="K2504" s="1663">
        <v>44561</v>
      </c>
      <c r="L2504" s="1664" t="s">
        <v>2293</v>
      </c>
      <c r="M2504" s="1665">
        <v>3.4749000000000002E-2</v>
      </c>
      <c r="N2504" s="1666">
        <v>1.6883069415626226</v>
      </c>
      <c r="O2504" s="1666"/>
    </row>
    <row r="2505" spans="11:15">
      <c r="K2505" s="1663">
        <v>44562</v>
      </c>
      <c r="L2505" s="1664"/>
      <c r="M2505" s="1665">
        <v>0</v>
      </c>
      <c r="N2505" s="1666">
        <v>1.6883069415626226</v>
      </c>
      <c r="O2505" s="1666"/>
    </row>
    <row r="2506" spans="11:15">
      <c r="K2506" s="1663">
        <v>44563</v>
      </c>
      <c r="L2506" s="1664"/>
      <c r="M2506" s="1665">
        <v>0</v>
      </c>
      <c r="N2506" s="1666">
        <v>1.6883069415626226</v>
      </c>
      <c r="O2506" s="1666"/>
    </row>
    <row r="2507" spans="11:15">
      <c r="K2507" s="1663">
        <v>44564</v>
      </c>
      <c r="L2507" s="1664" t="s">
        <v>2293</v>
      </c>
      <c r="M2507" s="1665">
        <v>3.4749000000000002E-2</v>
      </c>
      <c r="N2507" s="1666">
        <v>1.6888936113417463</v>
      </c>
      <c r="O2507" s="1666"/>
    </row>
    <row r="2508" spans="11:15">
      <c r="K2508" s="1663">
        <v>44565</v>
      </c>
      <c r="L2508" s="1664" t="s">
        <v>2293</v>
      </c>
      <c r="M2508" s="1665">
        <v>3.4749000000000002E-2</v>
      </c>
      <c r="N2508" s="1666">
        <v>1.6894804849827514</v>
      </c>
      <c r="O2508" s="1666"/>
    </row>
    <row r="2509" spans="11:15">
      <c r="K2509" s="1663">
        <v>44566</v>
      </c>
      <c r="L2509" s="1664" t="s">
        <v>2293</v>
      </c>
      <c r="M2509" s="1665">
        <v>3.4749000000000002E-2</v>
      </c>
      <c r="N2509" s="1666">
        <v>1.6900675625564781</v>
      </c>
      <c r="O2509" s="1666"/>
    </row>
    <row r="2510" spans="11:15">
      <c r="K2510" s="1663">
        <v>44567</v>
      </c>
      <c r="L2510" s="1664" t="s">
        <v>2293</v>
      </c>
      <c r="M2510" s="1665">
        <v>3.4749000000000002E-2</v>
      </c>
      <c r="N2510" s="1666">
        <v>1.6906548441337907</v>
      </c>
      <c r="O2510" s="1666"/>
    </row>
    <row r="2511" spans="11:15">
      <c r="K2511" s="1663">
        <v>44568</v>
      </c>
      <c r="L2511" s="1664" t="s">
        <v>2293</v>
      </c>
      <c r="M2511" s="1665">
        <v>3.4749000000000002E-2</v>
      </c>
      <c r="N2511" s="1666">
        <v>1.6912423297855788</v>
      </c>
      <c r="O2511" s="1666"/>
    </row>
    <row r="2512" spans="11:15">
      <c r="K2512" s="1663">
        <v>44569</v>
      </c>
      <c r="L2512" s="1664"/>
      <c r="M2512" s="1665">
        <v>0</v>
      </c>
      <c r="N2512" s="1666">
        <v>1.6912423297855788</v>
      </c>
      <c r="O2512" s="1666"/>
    </row>
    <row r="2513" spans="11:15">
      <c r="K2513" s="1663">
        <v>44570</v>
      </c>
      <c r="L2513" s="1664"/>
      <c r="M2513" s="1665">
        <v>0</v>
      </c>
      <c r="N2513" s="1666">
        <v>1.6912423297855788</v>
      </c>
      <c r="O2513" s="1666"/>
    </row>
    <row r="2514" spans="11:15">
      <c r="K2514" s="1663">
        <v>44571</v>
      </c>
      <c r="L2514" s="1664" t="s">
        <v>2293</v>
      </c>
      <c r="M2514" s="1665">
        <v>3.4749000000000002E-2</v>
      </c>
      <c r="N2514" s="1666">
        <v>1.691830019582756</v>
      </c>
      <c r="O2514" s="1666"/>
    </row>
    <row r="2515" spans="11:15">
      <c r="K2515" s="1663">
        <v>44572</v>
      </c>
      <c r="L2515" s="1664" t="s">
        <v>2293</v>
      </c>
      <c r="M2515" s="1665">
        <v>3.4749000000000002E-2</v>
      </c>
      <c r="N2515" s="1666">
        <v>1.6924179135962609</v>
      </c>
      <c r="O2515" s="1666"/>
    </row>
    <row r="2516" spans="11:15">
      <c r="K2516" s="1663">
        <v>44573</v>
      </c>
      <c r="L2516" s="1664" t="s">
        <v>2293</v>
      </c>
      <c r="M2516" s="1665">
        <v>3.4749000000000002E-2</v>
      </c>
      <c r="N2516" s="1666">
        <v>1.6930060118970565</v>
      </c>
      <c r="O2516" s="1666"/>
    </row>
    <row r="2517" spans="11:15">
      <c r="K2517" s="1663">
        <v>44574</v>
      </c>
      <c r="L2517" s="1664" t="s">
        <v>2293</v>
      </c>
      <c r="M2517" s="1665">
        <v>3.4749000000000002E-2</v>
      </c>
      <c r="N2517" s="1666">
        <v>1.6935943145561305</v>
      </c>
      <c r="O2517" s="1666"/>
    </row>
    <row r="2518" spans="11:15">
      <c r="K2518" s="1663">
        <v>44575</v>
      </c>
      <c r="L2518" s="1664" t="s">
        <v>2293</v>
      </c>
      <c r="M2518" s="1665">
        <v>3.4749000000000002E-2</v>
      </c>
      <c r="N2518" s="1666">
        <v>1.6941828216444956</v>
      </c>
      <c r="O2518" s="1666"/>
    </row>
    <row r="2519" spans="11:15">
      <c r="K2519" s="1663">
        <v>44576</v>
      </c>
      <c r="L2519" s="1664"/>
      <c r="M2519" s="1665">
        <v>0</v>
      </c>
      <c r="N2519" s="1666">
        <v>1.6941828216444956</v>
      </c>
      <c r="O2519" s="1666"/>
    </row>
    <row r="2520" spans="11:15">
      <c r="K2520" s="1663">
        <v>44577</v>
      </c>
      <c r="L2520" s="1664"/>
      <c r="M2520" s="1665">
        <v>0</v>
      </c>
      <c r="N2520" s="1666">
        <v>1.6941828216444956</v>
      </c>
      <c r="O2520" s="1666"/>
    </row>
    <row r="2521" spans="11:15">
      <c r="K2521" s="1663">
        <v>44578</v>
      </c>
      <c r="L2521" s="1664" t="s">
        <v>2293</v>
      </c>
      <c r="M2521" s="1665">
        <v>3.4749000000000002E-2</v>
      </c>
      <c r="N2521" s="1666">
        <v>1.694771533233189</v>
      </c>
      <c r="O2521" s="1666"/>
    </row>
    <row r="2522" spans="11:15">
      <c r="K2522" s="1663">
        <v>44579</v>
      </c>
      <c r="L2522" s="1664" t="s">
        <v>2293</v>
      </c>
      <c r="M2522" s="1665">
        <v>3.4749000000000002E-2</v>
      </c>
      <c r="N2522" s="1666">
        <v>1.6953604493932721</v>
      </c>
      <c r="O2522" s="1666"/>
    </row>
    <row r="2523" spans="11:15">
      <c r="K2523" s="1663">
        <v>44580</v>
      </c>
      <c r="L2523" s="1664" t="s">
        <v>2293</v>
      </c>
      <c r="M2523" s="1665">
        <v>3.4749000000000002E-2</v>
      </c>
      <c r="N2523" s="1666">
        <v>1.6959495701958318</v>
      </c>
      <c r="O2523" s="1666"/>
    </row>
    <row r="2524" spans="11:15">
      <c r="K2524" s="1663">
        <v>44581</v>
      </c>
      <c r="L2524" s="1664" t="s">
        <v>2293</v>
      </c>
      <c r="M2524" s="1665">
        <v>3.4749000000000002E-2</v>
      </c>
      <c r="N2524" s="1666">
        <v>1.6965388957119791</v>
      </c>
      <c r="O2524" s="1666"/>
    </row>
    <row r="2525" spans="11:15">
      <c r="K2525" s="1663">
        <v>44582</v>
      </c>
      <c r="L2525" s="1664" t="s">
        <v>2293</v>
      </c>
      <c r="M2525" s="1665">
        <v>3.4749000000000002E-2</v>
      </c>
      <c r="N2525" s="1666">
        <v>1.6971284260128501</v>
      </c>
      <c r="O2525" s="1666"/>
    </row>
    <row r="2526" spans="11:15">
      <c r="K2526" s="1663">
        <v>44583</v>
      </c>
      <c r="L2526" s="1664"/>
      <c r="M2526" s="1665">
        <v>0</v>
      </c>
      <c r="N2526" s="1666">
        <v>1.6971284260128501</v>
      </c>
      <c r="O2526" s="1666"/>
    </row>
    <row r="2527" spans="11:15">
      <c r="K2527" s="1663">
        <v>44584</v>
      </c>
      <c r="L2527" s="1664"/>
      <c r="M2527" s="1665">
        <v>0</v>
      </c>
      <c r="N2527" s="1666">
        <v>1.6971284260128501</v>
      </c>
      <c r="O2527" s="1666"/>
    </row>
    <row r="2528" spans="11:15">
      <c r="K2528" s="1663">
        <v>44585</v>
      </c>
      <c r="L2528" s="1664" t="s">
        <v>2293</v>
      </c>
      <c r="M2528" s="1665">
        <v>3.4749000000000002E-2</v>
      </c>
      <c r="N2528" s="1666">
        <v>1.6977181611696053</v>
      </c>
      <c r="O2528" s="1666"/>
    </row>
    <row r="2529" spans="11:15">
      <c r="K2529" s="1663">
        <v>44586</v>
      </c>
      <c r="L2529" s="1664" t="s">
        <v>2293</v>
      </c>
      <c r="M2529" s="1665">
        <v>3.4749000000000002E-2</v>
      </c>
      <c r="N2529" s="1666">
        <v>1.69830810125343</v>
      </c>
      <c r="O2529" s="1666"/>
    </row>
    <row r="2530" spans="11:15">
      <c r="K2530" s="1663">
        <v>44587</v>
      </c>
      <c r="L2530" s="1664" t="s">
        <v>2293</v>
      </c>
      <c r="M2530" s="1665">
        <v>3.4749000000000002E-2</v>
      </c>
      <c r="N2530" s="1666">
        <v>1.6988982463355347</v>
      </c>
      <c r="O2530" s="1666"/>
    </row>
    <row r="2531" spans="11:15">
      <c r="K2531" s="1663">
        <v>44588</v>
      </c>
      <c r="L2531" s="1664" t="s">
        <v>2293</v>
      </c>
      <c r="M2531" s="1665">
        <v>3.4749000000000002E-2</v>
      </c>
      <c r="N2531" s="1666">
        <v>1.6994885964871538</v>
      </c>
      <c r="O2531" s="1666"/>
    </row>
    <row r="2532" spans="11:15">
      <c r="K2532" s="1663">
        <v>44589</v>
      </c>
      <c r="L2532" s="1664" t="s">
        <v>2293</v>
      </c>
      <c r="M2532" s="1665">
        <v>3.4749000000000002E-2</v>
      </c>
      <c r="N2532" s="1666">
        <v>1.700079151779547</v>
      </c>
      <c r="O2532" s="1666"/>
    </row>
    <row r="2533" spans="11:15">
      <c r="K2533" s="1663">
        <v>44590</v>
      </c>
      <c r="L2533" s="1664"/>
      <c r="M2533" s="1665">
        <v>0</v>
      </c>
      <c r="N2533" s="1666">
        <v>1.700079151779547</v>
      </c>
      <c r="O2533" s="1666"/>
    </row>
    <row r="2534" spans="11:15">
      <c r="K2534" s="1663">
        <v>44591</v>
      </c>
      <c r="L2534" s="1664"/>
      <c r="M2534" s="1665">
        <v>0</v>
      </c>
      <c r="N2534" s="1666">
        <v>1.700079151779547</v>
      </c>
      <c r="O2534" s="1666"/>
    </row>
    <row r="2535" spans="11:15">
      <c r="K2535" s="1663">
        <v>44592</v>
      </c>
      <c r="L2535" s="1664" t="s">
        <v>2293</v>
      </c>
      <c r="M2535" s="1665">
        <v>3.4749000000000002E-2</v>
      </c>
      <c r="N2535" s="1666">
        <v>1.700669912283999</v>
      </c>
      <c r="O2535" s="1666"/>
    </row>
    <row r="2536" spans="11:15">
      <c r="K2536" s="1663">
        <v>44593</v>
      </c>
      <c r="L2536" s="1664" t="s">
        <v>2293</v>
      </c>
      <c r="M2536" s="1665">
        <v>3.4749000000000002E-2</v>
      </c>
      <c r="N2536" s="1666">
        <v>1.7012608780718186</v>
      </c>
      <c r="O2536" s="1666"/>
    </row>
    <row r="2537" spans="11:15">
      <c r="K2537" s="1663">
        <v>44594</v>
      </c>
      <c r="L2537" s="1664" t="s">
        <v>2293</v>
      </c>
      <c r="M2537" s="1665">
        <v>3.4749000000000002E-2</v>
      </c>
      <c r="N2537" s="1666">
        <v>1.7018520492143399</v>
      </c>
      <c r="O2537" s="1666"/>
    </row>
    <row r="2538" spans="11:15">
      <c r="K2538" s="1663">
        <v>44595</v>
      </c>
      <c r="L2538" s="1664" t="s">
        <v>2293</v>
      </c>
      <c r="M2538" s="1665">
        <v>4.0168000000000002E-2</v>
      </c>
      <c r="N2538" s="1666">
        <v>1.7025356491454682</v>
      </c>
      <c r="O2538" s="1666"/>
    </row>
    <row r="2539" spans="11:15">
      <c r="K2539" s="1663">
        <v>44596</v>
      </c>
      <c r="L2539" s="1664" t="s">
        <v>2293</v>
      </c>
      <c r="M2539" s="1665">
        <v>4.0168000000000002E-2</v>
      </c>
      <c r="N2539" s="1666">
        <v>1.7032195236650169</v>
      </c>
      <c r="O2539" s="1666"/>
    </row>
    <row r="2540" spans="11:15">
      <c r="K2540" s="1663">
        <v>44597</v>
      </c>
      <c r="L2540" s="1664"/>
      <c r="M2540" s="1665">
        <v>0</v>
      </c>
      <c r="N2540" s="1666">
        <v>1.7032195236650169</v>
      </c>
      <c r="O2540" s="1666"/>
    </row>
    <row r="2541" spans="11:15">
      <c r="K2541" s="1663">
        <v>44598</v>
      </c>
      <c r="L2541" s="1664"/>
      <c r="M2541" s="1665">
        <v>0</v>
      </c>
      <c r="N2541" s="1666">
        <v>1.7032195236650169</v>
      </c>
      <c r="O2541" s="1666"/>
    </row>
    <row r="2542" spans="11:15">
      <c r="K2542" s="1663">
        <v>44599</v>
      </c>
      <c r="L2542" s="1664" t="s">
        <v>2293</v>
      </c>
      <c r="M2542" s="1665">
        <v>4.0168000000000002E-2</v>
      </c>
      <c r="N2542" s="1666">
        <v>1.7039036728832826</v>
      </c>
      <c r="O2542" s="1666"/>
    </row>
    <row r="2543" spans="11:15">
      <c r="K2543" s="1663">
        <v>44600</v>
      </c>
      <c r="L2543" s="1664" t="s">
        <v>2293</v>
      </c>
      <c r="M2543" s="1665">
        <v>4.0168000000000002E-2</v>
      </c>
      <c r="N2543" s="1666">
        <v>1.7045880969106062</v>
      </c>
      <c r="O2543" s="1666"/>
    </row>
    <row r="2544" spans="11:15">
      <c r="K2544" s="1663">
        <v>44601</v>
      </c>
      <c r="L2544" s="1664" t="s">
        <v>2293</v>
      </c>
      <c r="M2544" s="1665">
        <v>4.0168000000000002E-2</v>
      </c>
      <c r="N2544" s="1666">
        <v>1.7052727958573732</v>
      </c>
      <c r="O2544" s="1666"/>
    </row>
    <row r="2545" spans="11:15">
      <c r="K2545" s="1663">
        <v>44602</v>
      </c>
      <c r="L2545" s="1664" t="s">
        <v>2293</v>
      </c>
      <c r="M2545" s="1665">
        <v>4.0168000000000002E-2</v>
      </c>
      <c r="N2545" s="1666">
        <v>1.7059577698340131</v>
      </c>
      <c r="O2545" s="1666"/>
    </row>
    <row r="2546" spans="11:15">
      <c r="K2546" s="1663">
        <v>44603</v>
      </c>
      <c r="L2546" s="1664" t="s">
        <v>2293</v>
      </c>
      <c r="M2546" s="1665">
        <v>4.0168000000000002E-2</v>
      </c>
      <c r="N2546" s="1666">
        <v>1.706643018951</v>
      </c>
      <c r="O2546" s="1666"/>
    </row>
    <row r="2547" spans="11:15">
      <c r="K2547" s="1663">
        <v>44604</v>
      </c>
      <c r="L2547" s="1664"/>
      <c r="M2547" s="1665">
        <v>0</v>
      </c>
      <c r="N2547" s="1666">
        <v>1.706643018951</v>
      </c>
      <c r="O2547" s="1666"/>
    </row>
    <row r="2548" spans="11:15">
      <c r="K2548" s="1663">
        <v>44605</v>
      </c>
      <c r="L2548" s="1664"/>
      <c r="M2548" s="1665">
        <v>0</v>
      </c>
      <c r="N2548" s="1666">
        <v>1.706643018951</v>
      </c>
      <c r="O2548" s="1666"/>
    </row>
    <row r="2549" spans="11:15">
      <c r="K2549" s="1663">
        <v>44606</v>
      </c>
      <c r="L2549" s="1664" t="s">
        <v>2293</v>
      </c>
      <c r="M2549" s="1665">
        <v>4.0168000000000002E-2</v>
      </c>
      <c r="N2549" s="1666">
        <v>1.7073285433188521</v>
      </c>
      <c r="O2549" s="1666"/>
    </row>
    <row r="2550" spans="11:15">
      <c r="K2550" s="1663">
        <v>44607</v>
      </c>
      <c r="L2550" s="1664" t="s">
        <v>2293</v>
      </c>
      <c r="M2550" s="1665">
        <v>4.0168000000000002E-2</v>
      </c>
      <c r="N2550" s="1666">
        <v>1.7080143430481323</v>
      </c>
      <c r="O2550" s="1666"/>
    </row>
    <row r="2551" spans="11:15">
      <c r="K2551" s="1663">
        <v>44608</v>
      </c>
      <c r="L2551" s="1664" t="s">
        <v>2293</v>
      </c>
      <c r="M2551" s="1665">
        <v>4.0168000000000002E-2</v>
      </c>
      <c r="N2551" s="1666">
        <v>1.7087004182494478</v>
      </c>
      <c r="O2551" s="1666"/>
    </row>
    <row r="2552" spans="11:15">
      <c r="K2552" s="1663">
        <v>44609</v>
      </c>
      <c r="L2552" s="1664" t="s">
        <v>2293</v>
      </c>
      <c r="M2552" s="1665">
        <v>4.0168000000000002E-2</v>
      </c>
      <c r="N2552" s="1666">
        <v>1.7093867690334503</v>
      </c>
      <c r="O2552" s="1666"/>
    </row>
    <row r="2553" spans="11:15">
      <c r="K2553" s="1663">
        <v>44610</v>
      </c>
      <c r="L2553" s="1664" t="s">
        <v>2293</v>
      </c>
      <c r="M2553" s="1665">
        <v>4.0168000000000002E-2</v>
      </c>
      <c r="N2553" s="1666">
        <v>1.7100733955108356</v>
      </c>
      <c r="O2553" s="1666"/>
    </row>
    <row r="2554" spans="11:15">
      <c r="K2554" s="1663">
        <v>44611</v>
      </c>
      <c r="L2554" s="1664"/>
      <c r="M2554" s="1665">
        <v>0</v>
      </c>
      <c r="N2554" s="1666">
        <v>1.7100733955108356</v>
      </c>
      <c r="O2554" s="1666"/>
    </row>
    <row r="2555" spans="11:15">
      <c r="K2555" s="1663">
        <v>44612</v>
      </c>
      <c r="L2555" s="1664"/>
      <c r="M2555" s="1665">
        <v>0</v>
      </c>
      <c r="N2555" s="1666">
        <v>1.7100733955108356</v>
      </c>
      <c r="O2555" s="1666"/>
    </row>
    <row r="2556" spans="11:15">
      <c r="K2556" s="1663">
        <v>44613</v>
      </c>
      <c r="L2556" s="1664" t="s">
        <v>2293</v>
      </c>
      <c r="M2556" s="1665">
        <v>4.0168000000000002E-2</v>
      </c>
      <c r="N2556" s="1666">
        <v>1.7107602977923444</v>
      </c>
      <c r="O2556" s="1666"/>
    </row>
    <row r="2557" spans="11:15">
      <c r="K2557" s="1663">
        <v>44614</v>
      </c>
      <c r="L2557" s="1664" t="s">
        <v>2293</v>
      </c>
      <c r="M2557" s="1665">
        <v>4.0168000000000002E-2</v>
      </c>
      <c r="N2557" s="1666">
        <v>1.7114474759887615</v>
      </c>
      <c r="O2557" s="1666"/>
    </row>
    <row r="2558" spans="11:15">
      <c r="K2558" s="1663">
        <v>44615</v>
      </c>
      <c r="L2558" s="1664" t="s">
        <v>2293</v>
      </c>
      <c r="M2558" s="1665">
        <v>4.0168000000000002E-2</v>
      </c>
      <c r="N2558" s="1666">
        <v>1.7121349302109166</v>
      </c>
      <c r="O2558" s="1666"/>
    </row>
    <row r="2559" spans="11:15">
      <c r="K2559" s="1663">
        <v>44616</v>
      </c>
      <c r="L2559" s="1664" t="s">
        <v>2293</v>
      </c>
      <c r="M2559" s="1665">
        <v>4.0168000000000002E-2</v>
      </c>
      <c r="N2559" s="1666">
        <v>1.7128226605696837</v>
      </c>
      <c r="O2559" s="1666"/>
    </row>
    <row r="2560" spans="11:15">
      <c r="K2560" s="1663">
        <v>44617</v>
      </c>
      <c r="L2560" s="1664" t="s">
        <v>2293</v>
      </c>
      <c r="M2560" s="1665">
        <v>4.0168000000000002E-2</v>
      </c>
      <c r="N2560" s="1666">
        <v>1.7135106671759812</v>
      </c>
      <c r="O2560" s="1666"/>
    </row>
    <row r="2561" spans="11:15">
      <c r="K2561" s="1663">
        <v>44618</v>
      </c>
      <c r="L2561" s="1664"/>
      <c r="M2561" s="1665">
        <v>0</v>
      </c>
      <c r="N2561" s="1666">
        <v>1.7135106671759812</v>
      </c>
      <c r="O2561" s="1666"/>
    </row>
    <row r="2562" spans="11:15">
      <c r="K2562" s="1663">
        <v>44619</v>
      </c>
      <c r="L2562" s="1664"/>
      <c r="M2562" s="1665">
        <v>0</v>
      </c>
      <c r="N2562" s="1666">
        <v>1.7135106671759812</v>
      </c>
      <c r="O2562" s="1666"/>
    </row>
    <row r="2563" spans="11:15">
      <c r="K2563" s="1663">
        <v>44620</v>
      </c>
      <c r="L2563" s="1664"/>
      <c r="M2563" s="1665">
        <v>0</v>
      </c>
      <c r="N2563" s="1666">
        <v>1.7135106671759812</v>
      </c>
      <c r="O2563" s="1666"/>
    </row>
    <row r="2564" spans="11:15">
      <c r="K2564" s="1663">
        <v>44621</v>
      </c>
      <c r="L2564" s="1664"/>
      <c r="M2564" s="1665">
        <v>0</v>
      </c>
      <c r="N2564" s="1666">
        <v>1.7135106671759812</v>
      </c>
      <c r="O2564" s="1666"/>
    </row>
    <row r="2565" spans="11:15">
      <c r="K2565" s="1663">
        <v>44622</v>
      </c>
      <c r="L2565" s="1664" t="s">
        <v>2293</v>
      </c>
      <c r="M2565" s="1665">
        <v>4.0168000000000002E-2</v>
      </c>
      <c r="N2565" s="1666">
        <v>1.7141989501407724</v>
      </c>
      <c r="O2565" s="1666"/>
    </row>
    <row r="2566" spans="11:15">
      <c r="K2566" s="1663">
        <v>44623</v>
      </c>
      <c r="L2566" s="1664" t="s">
        <v>2293</v>
      </c>
      <c r="M2566" s="1665">
        <v>4.0168000000000002E-2</v>
      </c>
      <c r="N2566" s="1666">
        <v>1.7148875095750649</v>
      </c>
      <c r="O2566" s="1666"/>
    </row>
    <row r="2567" spans="11:15">
      <c r="K2567" s="1663">
        <v>44624</v>
      </c>
      <c r="L2567" s="1664" t="s">
        <v>2293</v>
      </c>
      <c r="M2567" s="1665">
        <v>4.0168000000000002E-2</v>
      </c>
      <c r="N2567" s="1666">
        <v>1.7155763455899109</v>
      </c>
      <c r="O2567" s="1666"/>
    </row>
    <row r="2568" spans="11:15">
      <c r="K2568" s="1663">
        <v>44625</v>
      </c>
      <c r="L2568" s="1664"/>
      <c r="M2568" s="1665">
        <v>0</v>
      </c>
      <c r="N2568" s="1666">
        <v>1.7155763455899109</v>
      </c>
      <c r="O2568" s="1666"/>
    </row>
    <row r="2569" spans="11:15">
      <c r="K2569" s="1663">
        <v>44626</v>
      </c>
      <c r="L2569" s="1664"/>
      <c r="M2569" s="1665">
        <v>0</v>
      </c>
      <c r="N2569" s="1666">
        <v>1.7155763455899109</v>
      </c>
      <c r="O2569" s="1666"/>
    </row>
    <row r="2570" spans="11:15">
      <c r="K2570" s="1663">
        <v>44627</v>
      </c>
      <c r="L2570" s="1664" t="s">
        <v>2293</v>
      </c>
      <c r="M2570" s="1665">
        <v>4.0168000000000002E-2</v>
      </c>
      <c r="N2570" s="1666">
        <v>1.7162654582964074</v>
      </c>
      <c r="O2570" s="1666"/>
    </row>
    <row r="2571" spans="11:15">
      <c r="K2571" s="1663">
        <v>44628</v>
      </c>
      <c r="L2571" s="1664" t="s">
        <v>2293</v>
      </c>
      <c r="M2571" s="1665">
        <v>4.0168000000000002E-2</v>
      </c>
      <c r="N2571" s="1666">
        <v>1.716954847805696</v>
      </c>
      <c r="O2571" s="1666"/>
    </row>
    <row r="2572" spans="11:15">
      <c r="K2572" s="1663">
        <v>44629</v>
      </c>
      <c r="L2572" s="1664" t="s">
        <v>2293</v>
      </c>
      <c r="M2572" s="1665">
        <v>4.0168000000000002E-2</v>
      </c>
      <c r="N2572" s="1666">
        <v>1.7176445142289625</v>
      </c>
      <c r="O2572" s="1666"/>
    </row>
    <row r="2573" spans="11:15">
      <c r="K2573" s="1663">
        <v>44630</v>
      </c>
      <c r="L2573" s="1664" t="s">
        <v>2293</v>
      </c>
      <c r="M2573" s="1665">
        <v>4.0168000000000002E-2</v>
      </c>
      <c r="N2573" s="1666">
        <v>1.718334457677438</v>
      </c>
      <c r="O2573" s="1666"/>
    </row>
    <row r="2574" spans="11:15">
      <c r="K2574" s="1663">
        <v>44631</v>
      </c>
      <c r="L2574" s="1664" t="s">
        <v>2293</v>
      </c>
      <c r="M2574" s="1665">
        <v>4.0168000000000002E-2</v>
      </c>
      <c r="N2574" s="1666">
        <v>1.7190246782623977</v>
      </c>
      <c r="O2574" s="1666"/>
    </row>
    <row r="2575" spans="11:15">
      <c r="K2575" s="1663">
        <v>44632</v>
      </c>
      <c r="L2575" s="1664"/>
      <c r="M2575" s="1665">
        <v>0</v>
      </c>
      <c r="N2575" s="1666">
        <v>1.7190246782623977</v>
      </c>
      <c r="O2575" s="1666"/>
    </row>
    <row r="2576" spans="11:15">
      <c r="K2576" s="1663">
        <v>44633</v>
      </c>
      <c r="L2576" s="1664"/>
      <c r="M2576" s="1665">
        <v>0</v>
      </c>
      <c r="N2576" s="1666">
        <v>1.7190246782623977</v>
      </c>
      <c r="O2576" s="1666"/>
    </row>
    <row r="2577" spans="11:15">
      <c r="K2577" s="1663">
        <v>44634</v>
      </c>
      <c r="L2577" s="1664" t="s">
        <v>2293</v>
      </c>
      <c r="M2577" s="1665">
        <v>4.0168000000000002E-2</v>
      </c>
      <c r="N2577" s="1666">
        <v>1.7197151760951621</v>
      </c>
      <c r="O2577" s="1666"/>
    </row>
    <row r="2578" spans="11:15">
      <c r="K2578" s="1663">
        <v>44635</v>
      </c>
      <c r="L2578" s="1664" t="s">
        <v>2293</v>
      </c>
      <c r="M2578" s="1665">
        <v>4.0168000000000002E-2</v>
      </c>
      <c r="N2578" s="1666">
        <v>1.7204059512870959</v>
      </c>
      <c r="O2578" s="1666"/>
    </row>
    <row r="2579" spans="11:15">
      <c r="K2579" s="1663">
        <v>44636</v>
      </c>
      <c r="L2579" s="1664" t="s">
        <v>2293</v>
      </c>
      <c r="M2579" s="1665">
        <v>4.0168000000000002E-2</v>
      </c>
      <c r="N2579" s="1666">
        <v>1.721097003949609</v>
      </c>
      <c r="O2579" s="1666"/>
    </row>
    <row r="2580" spans="11:15">
      <c r="K2580" s="1663">
        <v>44637</v>
      </c>
      <c r="L2580" s="1664" t="s">
        <v>2293</v>
      </c>
      <c r="M2580" s="1665">
        <v>4.3739E-2</v>
      </c>
      <c r="N2580" s="1666">
        <v>1.7218497945681666</v>
      </c>
      <c r="O2580" s="1666"/>
    </row>
    <row r="2581" spans="11:15">
      <c r="K2581" s="1663">
        <v>44638</v>
      </c>
      <c r="L2581" s="1664" t="s">
        <v>2293</v>
      </c>
      <c r="M2581" s="1665">
        <v>4.3739E-2</v>
      </c>
      <c r="N2581" s="1666">
        <v>1.7226029144498129</v>
      </c>
      <c r="O2581" s="1666"/>
    </row>
    <row r="2582" spans="11:15">
      <c r="K2582" s="1663">
        <v>44639</v>
      </c>
      <c r="L2582" s="1664"/>
      <c r="M2582" s="1665">
        <v>0</v>
      </c>
      <c r="N2582" s="1666">
        <v>1.7226029144498129</v>
      </c>
      <c r="O2582" s="1666"/>
    </row>
    <row r="2583" spans="11:15">
      <c r="K2583" s="1663">
        <v>44640</v>
      </c>
      <c r="L2583" s="1664"/>
      <c r="M2583" s="1665">
        <v>0</v>
      </c>
      <c r="N2583" s="1666">
        <v>1.7226029144498129</v>
      </c>
      <c r="O2583" s="1666"/>
    </row>
    <row r="2584" spans="11:15">
      <c r="K2584" s="1663">
        <v>44641</v>
      </c>
      <c r="L2584" s="1664" t="s">
        <v>2293</v>
      </c>
      <c r="M2584" s="1665">
        <v>4.3739E-2</v>
      </c>
      <c r="N2584" s="1666">
        <v>1.7233563637385643</v>
      </c>
      <c r="O2584" s="1666"/>
    </row>
    <row r="2585" spans="11:15">
      <c r="K2585" s="1663">
        <v>44642</v>
      </c>
      <c r="L2585" s="1664" t="s">
        <v>2293</v>
      </c>
      <c r="M2585" s="1665">
        <v>4.3739E-2</v>
      </c>
      <c r="N2585" s="1666">
        <v>1.7241101425785001</v>
      </c>
      <c r="O2585" s="1666"/>
    </row>
    <row r="2586" spans="11:15">
      <c r="K2586" s="1663">
        <v>44643</v>
      </c>
      <c r="L2586" s="1664" t="s">
        <v>2293</v>
      </c>
      <c r="M2586" s="1665">
        <v>4.3739E-2</v>
      </c>
      <c r="N2586" s="1666">
        <v>1.7248642511137626</v>
      </c>
      <c r="O2586" s="1666"/>
    </row>
    <row r="2587" spans="11:15">
      <c r="K2587" s="1663">
        <v>44644</v>
      </c>
      <c r="L2587" s="1664" t="s">
        <v>2293</v>
      </c>
      <c r="M2587" s="1665">
        <v>4.3739E-2</v>
      </c>
      <c r="N2587" s="1666">
        <v>1.7256186894885575</v>
      </c>
      <c r="O2587" s="1666"/>
    </row>
    <row r="2588" spans="11:15">
      <c r="K2588" s="1663">
        <v>44645</v>
      </c>
      <c r="L2588" s="1664" t="s">
        <v>2293</v>
      </c>
      <c r="M2588" s="1665">
        <v>4.3739E-2</v>
      </c>
      <c r="N2588" s="1666">
        <v>1.726373457847153</v>
      </c>
      <c r="O2588" s="1666"/>
    </row>
    <row r="2589" spans="11:15">
      <c r="K2589" s="1663">
        <v>44646</v>
      </c>
      <c r="L2589" s="1664"/>
      <c r="M2589" s="1665">
        <v>0</v>
      </c>
      <c r="N2589" s="1666">
        <v>1.726373457847153</v>
      </c>
      <c r="O2589" s="1666"/>
    </row>
    <row r="2590" spans="11:15">
      <c r="K2590" s="1663">
        <v>44647</v>
      </c>
      <c r="L2590" s="1664"/>
      <c r="M2590" s="1665">
        <v>0</v>
      </c>
      <c r="N2590" s="1666">
        <v>1.726373457847153</v>
      </c>
      <c r="O2590" s="1666"/>
    </row>
    <row r="2591" spans="11:15">
      <c r="K2591" s="1663">
        <v>44648</v>
      </c>
      <c r="L2591" s="1664" t="s">
        <v>2293</v>
      </c>
      <c r="M2591" s="1665">
        <v>4.3739E-2</v>
      </c>
      <c r="N2591" s="1666">
        <v>1.727128556333881</v>
      </c>
      <c r="O2591" s="1666"/>
    </row>
    <row r="2592" spans="11:15">
      <c r="K2592" s="1663">
        <v>44649</v>
      </c>
      <c r="L2592" s="1664" t="s">
        <v>2293</v>
      </c>
      <c r="M2592" s="1665">
        <v>4.3739E-2</v>
      </c>
      <c r="N2592" s="1666">
        <v>1.727883985093136</v>
      </c>
      <c r="O2592" s="1666"/>
    </row>
    <row r="2593" spans="11:15">
      <c r="K2593" s="1663">
        <v>44650</v>
      </c>
      <c r="L2593" s="1664" t="s">
        <v>2293</v>
      </c>
      <c r="M2593" s="1665">
        <v>4.3739E-2</v>
      </c>
      <c r="N2593" s="1666">
        <v>1.7286397442693762</v>
      </c>
      <c r="O2593" s="1666"/>
    </row>
    <row r="2594" spans="11:15">
      <c r="K2594" s="1663">
        <v>44651</v>
      </c>
      <c r="L2594" s="1664" t="s">
        <v>2293</v>
      </c>
      <c r="M2594" s="1665">
        <v>4.3739E-2</v>
      </c>
      <c r="N2594" s="1666">
        <v>1.7293958340071223</v>
      </c>
      <c r="O2594" s="1666"/>
    </row>
    <row r="2595" spans="11:15">
      <c r="K2595" s="1663">
        <v>44652</v>
      </c>
      <c r="L2595" s="1664" t="s">
        <v>2293</v>
      </c>
      <c r="M2595" s="1665">
        <v>4.3739E-2</v>
      </c>
      <c r="N2595" s="1666">
        <v>1.7301522544509589</v>
      </c>
      <c r="O2595" s="1666"/>
    </row>
    <row r="2596" spans="11:15">
      <c r="K2596" s="1663">
        <v>44653</v>
      </c>
      <c r="L2596" s="1664"/>
      <c r="M2596" s="1665">
        <v>0</v>
      </c>
      <c r="N2596" s="1666">
        <v>1.7301522544509589</v>
      </c>
      <c r="O2596" s="1666"/>
    </row>
    <row r="2597" spans="11:15">
      <c r="K2597" s="1663">
        <v>44654</v>
      </c>
      <c r="L2597" s="1664"/>
      <c r="M2597" s="1665">
        <v>0</v>
      </c>
      <c r="N2597" s="1666">
        <v>1.7301522544509589</v>
      </c>
      <c r="O2597" s="1666"/>
    </row>
    <row r="2598" spans="11:15">
      <c r="K2598" s="1663">
        <v>44655</v>
      </c>
      <c r="L2598" s="1664" t="s">
        <v>2293</v>
      </c>
      <c r="M2598" s="1665">
        <v>4.3739E-2</v>
      </c>
      <c r="N2598" s="1666">
        <v>1.7309090057455334</v>
      </c>
      <c r="O2598" s="1666"/>
    </row>
    <row r="2599" spans="11:15">
      <c r="K2599" s="1663">
        <v>44656</v>
      </c>
      <c r="L2599" s="1664" t="s">
        <v>2293</v>
      </c>
      <c r="M2599" s="1665">
        <v>4.3739E-2</v>
      </c>
      <c r="N2599" s="1666">
        <v>1.7316660880355565</v>
      </c>
      <c r="O2599" s="1666"/>
    </row>
    <row r="2600" spans="11:15">
      <c r="K2600" s="1663">
        <v>44657</v>
      </c>
      <c r="L2600" s="1664" t="s">
        <v>2293</v>
      </c>
      <c r="M2600" s="1665">
        <v>4.3739E-2</v>
      </c>
      <c r="N2600" s="1666">
        <v>1.7324235014658025</v>
      </c>
      <c r="O2600" s="1666"/>
    </row>
    <row r="2601" spans="11:15">
      <c r="K2601" s="1663">
        <v>44658</v>
      </c>
      <c r="L2601" s="1664" t="s">
        <v>2293</v>
      </c>
      <c r="M2601" s="1665">
        <v>4.3739E-2</v>
      </c>
      <c r="N2601" s="1666">
        <v>1.7331812461811087</v>
      </c>
      <c r="O2601" s="1666"/>
    </row>
    <row r="2602" spans="11:15">
      <c r="K2602" s="1663">
        <v>44659</v>
      </c>
      <c r="L2602" s="1664" t="s">
        <v>2293</v>
      </c>
      <c r="M2602" s="1665">
        <v>4.3739E-2</v>
      </c>
      <c r="N2602" s="1666">
        <v>1.7339393223263759</v>
      </c>
      <c r="O2602" s="1666"/>
    </row>
    <row r="2603" spans="11:15">
      <c r="K2603" s="1663">
        <v>44660</v>
      </c>
      <c r="L2603" s="1664"/>
      <c r="M2603" s="1665">
        <v>0</v>
      </c>
      <c r="N2603" s="1666">
        <v>1.7339393223263759</v>
      </c>
      <c r="O2603" s="1666"/>
    </row>
    <row r="2604" spans="11:15">
      <c r="K2604" s="1663">
        <v>44661</v>
      </c>
      <c r="L2604" s="1664"/>
      <c r="M2604" s="1665">
        <v>0</v>
      </c>
      <c r="N2604" s="1666">
        <v>1.7339393223263759</v>
      </c>
      <c r="O2604" s="1666"/>
    </row>
    <row r="2605" spans="11:15">
      <c r="K2605" s="1663">
        <v>44662</v>
      </c>
      <c r="L2605" s="1664" t="s">
        <v>2293</v>
      </c>
      <c r="M2605" s="1665">
        <v>4.3739E-2</v>
      </c>
      <c r="N2605" s="1666">
        <v>1.7346977300465685</v>
      </c>
      <c r="O2605" s="1666"/>
    </row>
    <row r="2606" spans="11:15">
      <c r="K2606" s="1663">
        <v>44663</v>
      </c>
      <c r="L2606" s="1664" t="s">
        <v>2293</v>
      </c>
      <c r="M2606" s="1665">
        <v>4.3739E-2</v>
      </c>
      <c r="N2606" s="1666">
        <v>1.7354564694867136</v>
      </c>
      <c r="O2606" s="1666"/>
    </row>
    <row r="2607" spans="11:15">
      <c r="K2607" s="1663">
        <v>44664</v>
      </c>
      <c r="L2607" s="1664" t="s">
        <v>2293</v>
      </c>
      <c r="M2607" s="1665">
        <v>4.3739E-2</v>
      </c>
      <c r="N2607" s="1666">
        <v>1.7362155407919027</v>
      </c>
      <c r="O2607" s="1666"/>
    </row>
    <row r="2608" spans="11:15">
      <c r="K2608" s="1663">
        <v>44665</v>
      </c>
      <c r="L2608" s="1664" t="s">
        <v>2293</v>
      </c>
      <c r="M2608" s="1665">
        <v>4.3739E-2</v>
      </c>
      <c r="N2608" s="1666">
        <v>1.7369749441072897</v>
      </c>
      <c r="O2608" s="1666"/>
    </row>
    <row r="2609" spans="11:15">
      <c r="K2609" s="1663">
        <v>44666</v>
      </c>
      <c r="L2609" s="1664"/>
      <c r="M2609" s="1665">
        <v>0</v>
      </c>
      <c r="N2609" s="1666">
        <v>1.7369749441072897</v>
      </c>
      <c r="O2609" s="1666"/>
    </row>
    <row r="2610" spans="11:15">
      <c r="K2610" s="1663">
        <v>44667</v>
      </c>
      <c r="L2610" s="1664"/>
      <c r="M2610" s="1665">
        <v>0</v>
      </c>
      <c r="N2610" s="1666">
        <v>1.7369749441072897</v>
      </c>
      <c r="O2610" s="1666"/>
    </row>
    <row r="2611" spans="11:15">
      <c r="K2611" s="1663">
        <v>44668</v>
      </c>
      <c r="L2611" s="1664"/>
      <c r="M2611" s="1665">
        <v>0</v>
      </c>
      <c r="N2611" s="1666">
        <v>1.7369749441072897</v>
      </c>
      <c r="O2611" s="1666"/>
    </row>
    <row r="2612" spans="11:15">
      <c r="K2612" s="1663">
        <v>44669</v>
      </c>
      <c r="L2612" s="1664" t="s">
        <v>2293</v>
      </c>
      <c r="M2612" s="1665">
        <v>4.3739E-2</v>
      </c>
      <c r="N2612" s="1666">
        <v>1.737734679578093</v>
      </c>
      <c r="O2612" s="1666"/>
    </row>
    <row r="2613" spans="11:15">
      <c r="K2613" s="1663">
        <v>44670</v>
      </c>
      <c r="L2613" s="1664" t="s">
        <v>2293</v>
      </c>
      <c r="M2613" s="1665">
        <v>4.3739E-2</v>
      </c>
      <c r="N2613" s="1666">
        <v>1.7384947473495937</v>
      </c>
      <c r="O2613" s="1666"/>
    </row>
    <row r="2614" spans="11:15">
      <c r="K2614" s="1663">
        <v>44671</v>
      </c>
      <c r="L2614" s="1664" t="s">
        <v>2293</v>
      </c>
      <c r="M2614" s="1665">
        <v>4.3739E-2</v>
      </c>
      <c r="N2614" s="1666">
        <v>1.7392551475671372</v>
      </c>
      <c r="O2614" s="1666"/>
    </row>
    <row r="2615" spans="11:15">
      <c r="K2615" s="1663">
        <v>44672</v>
      </c>
      <c r="L2615" s="1664"/>
      <c r="M2615" s="1665">
        <v>0</v>
      </c>
      <c r="N2615" s="1666">
        <v>1.7392551475671372</v>
      </c>
      <c r="O2615" s="1666"/>
    </row>
    <row r="2616" spans="11:15">
      <c r="K2616" s="1663">
        <v>44673</v>
      </c>
      <c r="L2616" s="1664" t="s">
        <v>2293</v>
      </c>
      <c r="M2616" s="1665">
        <v>4.3739E-2</v>
      </c>
      <c r="N2616" s="1666">
        <v>1.7400158803761316</v>
      </c>
      <c r="O2616" s="1666"/>
    </row>
    <row r="2617" spans="11:15">
      <c r="K2617" s="1663">
        <v>44674</v>
      </c>
      <c r="L2617" s="1664"/>
      <c r="M2617" s="1665">
        <v>0</v>
      </c>
      <c r="N2617" s="1666">
        <v>1.7400158803761316</v>
      </c>
      <c r="O2617" s="1666"/>
    </row>
    <row r="2618" spans="11:15">
      <c r="K2618" s="1663">
        <v>44675</v>
      </c>
      <c r="L2618" s="1664"/>
      <c r="M2618" s="1665">
        <v>0</v>
      </c>
      <c r="N2618" s="1666">
        <v>1.7400158803761316</v>
      </c>
      <c r="O2618" s="1666"/>
    </row>
    <row r="2619" spans="11:15">
      <c r="K2619" s="1663">
        <v>44676</v>
      </c>
      <c r="L2619" s="1664" t="s">
        <v>2293</v>
      </c>
      <c r="M2619" s="1665">
        <v>4.3739E-2</v>
      </c>
      <c r="N2619" s="1666">
        <v>1.7407769459220495</v>
      </c>
      <c r="O2619" s="1666"/>
    </row>
    <row r="2620" spans="11:15">
      <c r="K2620" s="1663">
        <v>44677</v>
      </c>
      <c r="L2620" s="1664" t="s">
        <v>2293</v>
      </c>
      <c r="M2620" s="1665">
        <v>4.3739E-2</v>
      </c>
      <c r="N2620" s="1666">
        <v>1.7415383443504264</v>
      </c>
      <c r="O2620" s="1666"/>
    </row>
    <row r="2621" spans="11:15">
      <c r="K2621" s="1663">
        <v>44678</v>
      </c>
      <c r="L2621" s="1664" t="s">
        <v>2293</v>
      </c>
      <c r="M2621" s="1665">
        <v>4.3739E-2</v>
      </c>
      <c r="N2621" s="1666">
        <v>1.7423000758068621</v>
      </c>
      <c r="O2621" s="1666"/>
    </row>
    <row r="2622" spans="11:15">
      <c r="K2622" s="1663">
        <v>44679</v>
      </c>
      <c r="L2622" s="1664" t="s">
        <v>2293</v>
      </c>
      <c r="M2622" s="1665">
        <v>4.3739E-2</v>
      </c>
      <c r="N2622" s="1666">
        <v>1.7430621404370195</v>
      </c>
      <c r="O2622" s="1666"/>
    </row>
    <row r="2623" spans="11:15">
      <c r="K2623" s="1663">
        <v>44680</v>
      </c>
      <c r="L2623" s="1664" t="s">
        <v>2293</v>
      </c>
      <c r="M2623" s="1665">
        <v>4.3739E-2</v>
      </c>
      <c r="N2623" s="1666">
        <v>1.7438245383866253</v>
      </c>
      <c r="O2623" s="1666"/>
    </row>
    <row r="2624" spans="11:15">
      <c r="K2624" s="1663">
        <v>44681</v>
      </c>
      <c r="L2624" s="1664"/>
      <c r="M2624" s="1665">
        <v>0</v>
      </c>
      <c r="N2624" s="1666">
        <v>1.7438245383866253</v>
      </c>
      <c r="O2624" s="1666"/>
    </row>
    <row r="2625" spans="11:15">
      <c r="K2625" s="1663">
        <v>44682</v>
      </c>
      <c r="L2625" s="1664"/>
      <c r="M2625" s="1665">
        <v>0</v>
      </c>
      <c r="N2625" s="1666">
        <v>1.7438245383866253</v>
      </c>
      <c r="O2625" s="1666"/>
    </row>
    <row r="2626" spans="11:15">
      <c r="K2626" s="1663">
        <v>44683</v>
      </c>
      <c r="L2626" s="1664" t="s">
        <v>2293</v>
      </c>
      <c r="M2626" s="1665">
        <v>4.3739E-2</v>
      </c>
      <c r="N2626" s="1666">
        <v>1.7445872698014704</v>
      </c>
      <c r="O2626" s="1666"/>
    </row>
    <row r="2627" spans="11:15">
      <c r="K2627" s="1663">
        <v>44684</v>
      </c>
      <c r="L2627" s="1664" t="s">
        <v>2293</v>
      </c>
      <c r="M2627" s="1665">
        <v>4.3739E-2</v>
      </c>
      <c r="N2627" s="1666">
        <v>1.7453503348274091</v>
      </c>
      <c r="O2627" s="1666"/>
    </row>
    <row r="2628" spans="11:15">
      <c r="K2628" s="1663">
        <v>44685</v>
      </c>
      <c r="L2628" s="1664" t="s">
        <v>2293</v>
      </c>
      <c r="M2628" s="1665">
        <v>4.3739E-2</v>
      </c>
      <c r="N2628" s="1666">
        <v>1.7461137336103594</v>
      </c>
      <c r="O2628" s="1666"/>
    </row>
    <row r="2629" spans="11:15">
      <c r="K2629" s="1663">
        <v>44686</v>
      </c>
      <c r="L2629" s="1664" t="s">
        <v>2293</v>
      </c>
      <c r="M2629" s="1665">
        <v>4.7279000000000002E-2</v>
      </c>
      <c r="N2629" s="1666">
        <v>1.7469392787224729</v>
      </c>
      <c r="O2629" s="1666"/>
    </row>
    <row r="2630" spans="11:15">
      <c r="K2630" s="1663">
        <v>44687</v>
      </c>
      <c r="L2630" s="1664" t="s">
        <v>2293</v>
      </c>
      <c r="M2630" s="1665">
        <v>4.7279000000000002E-2</v>
      </c>
      <c r="N2630" s="1666">
        <v>1.7477652141440598</v>
      </c>
      <c r="O2630" s="1666"/>
    </row>
    <row r="2631" spans="11:15">
      <c r="K2631" s="1663">
        <v>44688</v>
      </c>
      <c r="L2631" s="1664"/>
      <c r="M2631" s="1665">
        <v>0</v>
      </c>
      <c r="N2631" s="1666">
        <v>1.7477652141440598</v>
      </c>
      <c r="O2631" s="1666"/>
    </row>
    <row r="2632" spans="11:15">
      <c r="K2632" s="1663">
        <v>44689</v>
      </c>
      <c r="L2632" s="1664"/>
      <c r="M2632" s="1665">
        <v>0</v>
      </c>
      <c r="N2632" s="1666">
        <v>1.7477652141440598</v>
      </c>
      <c r="O2632" s="1666"/>
    </row>
    <row r="2633" spans="11:15">
      <c r="K2633" s="1663">
        <v>44690</v>
      </c>
      <c r="L2633" s="1664" t="s">
        <v>2293</v>
      </c>
      <c r="M2633" s="1665">
        <v>4.7279000000000002E-2</v>
      </c>
      <c r="N2633" s="1666">
        <v>1.7485915400596548</v>
      </c>
      <c r="O2633" s="1666"/>
    </row>
    <row r="2634" spans="11:15">
      <c r="K2634" s="1663">
        <v>44691</v>
      </c>
      <c r="L2634" s="1664" t="s">
        <v>2293</v>
      </c>
      <c r="M2634" s="1665">
        <v>4.7279000000000002E-2</v>
      </c>
      <c r="N2634" s="1666">
        <v>1.7494182566538794</v>
      </c>
      <c r="O2634" s="1666"/>
    </row>
    <row r="2635" spans="11:15">
      <c r="K2635" s="1663">
        <v>44692</v>
      </c>
      <c r="L2635" s="1664" t="s">
        <v>2293</v>
      </c>
      <c r="M2635" s="1665">
        <v>4.7279000000000002E-2</v>
      </c>
      <c r="N2635" s="1666">
        <v>1.7502453641114426</v>
      </c>
      <c r="O2635" s="1666"/>
    </row>
    <row r="2636" spans="11:15">
      <c r="K2636" s="1663">
        <v>44693</v>
      </c>
      <c r="L2636" s="1664" t="s">
        <v>2293</v>
      </c>
      <c r="M2636" s="1665">
        <v>4.7279000000000002E-2</v>
      </c>
      <c r="N2636" s="1666">
        <v>1.7510728626171406</v>
      </c>
      <c r="O2636" s="1666"/>
    </row>
    <row r="2637" spans="11:15">
      <c r="K2637" s="1663">
        <v>44694</v>
      </c>
      <c r="L2637" s="1664" t="s">
        <v>2293</v>
      </c>
      <c r="M2637" s="1665">
        <v>4.7279000000000002E-2</v>
      </c>
      <c r="N2637" s="1666">
        <v>1.7519007523558572</v>
      </c>
      <c r="O2637" s="1666"/>
    </row>
    <row r="2638" spans="11:15">
      <c r="K2638" s="1663">
        <v>44695</v>
      </c>
      <c r="L2638" s="1664"/>
      <c r="M2638" s="1665">
        <v>0</v>
      </c>
      <c r="N2638" s="1666">
        <v>1.7519007523558572</v>
      </c>
      <c r="O2638" s="1666"/>
    </row>
    <row r="2639" spans="11:15">
      <c r="K2639" s="1663">
        <v>44696</v>
      </c>
      <c r="L2639" s="1664"/>
      <c r="M2639" s="1665">
        <v>0</v>
      </c>
      <c r="N2639" s="1666">
        <v>1.7519007523558572</v>
      </c>
      <c r="O2639" s="1666"/>
    </row>
    <row r="2640" spans="11:15">
      <c r="K2640" s="1663">
        <v>44697</v>
      </c>
      <c r="L2640" s="1664" t="s">
        <v>2293</v>
      </c>
      <c r="M2640" s="1665">
        <v>4.7279000000000002E-2</v>
      </c>
      <c r="N2640" s="1666">
        <v>1.7527290335125634</v>
      </c>
      <c r="O2640" s="1666"/>
    </row>
    <row r="2641" spans="11:15">
      <c r="K2641" s="1663">
        <v>44698</v>
      </c>
      <c r="L2641" s="1664" t="s">
        <v>2293</v>
      </c>
      <c r="M2641" s="1665">
        <v>4.7279000000000002E-2</v>
      </c>
      <c r="N2641" s="1666">
        <v>1.7535577062723176</v>
      </c>
      <c r="O2641" s="1666"/>
    </row>
    <row r="2642" spans="11:15">
      <c r="K2642" s="1663">
        <v>44699</v>
      </c>
      <c r="L2642" s="1664" t="s">
        <v>2293</v>
      </c>
      <c r="M2642" s="1665">
        <v>4.7279000000000002E-2</v>
      </c>
      <c r="N2642" s="1666">
        <v>1.7543867708202658</v>
      </c>
      <c r="O2642" s="1666"/>
    </row>
    <row r="2643" spans="11:15">
      <c r="K2643" s="1663">
        <v>44700</v>
      </c>
      <c r="L2643" s="1664" t="s">
        <v>2293</v>
      </c>
      <c r="M2643" s="1665">
        <v>4.7279000000000002E-2</v>
      </c>
      <c r="N2643" s="1666">
        <v>1.7552162273416418</v>
      </c>
      <c r="O2643" s="1666"/>
    </row>
    <row r="2644" spans="11:15">
      <c r="K2644" s="1663">
        <v>44701</v>
      </c>
      <c r="L2644" s="1664" t="s">
        <v>2293</v>
      </c>
      <c r="M2644" s="1665">
        <v>4.7279000000000002E-2</v>
      </c>
      <c r="N2644" s="1666">
        <v>1.7560460760217664</v>
      </c>
      <c r="O2644" s="1666"/>
    </row>
    <row r="2645" spans="11:15">
      <c r="K2645" s="1663">
        <v>44702</v>
      </c>
      <c r="L2645" s="1664"/>
      <c r="M2645" s="1665">
        <v>0</v>
      </c>
      <c r="N2645" s="1666">
        <v>1.7560460760217664</v>
      </c>
      <c r="O2645" s="1666"/>
    </row>
    <row r="2646" spans="11:15">
      <c r="K2646" s="1663">
        <v>44703</v>
      </c>
      <c r="L2646" s="1664"/>
      <c r="M2646" s="1665">
        <v>0</v>
      </c>
      <c r="N2646" s="1666">
        <v>1.7560460760217664</v>
      </c>
      <c r="O2646" s="1666"/>
    </row>
    <row r="2647" spans="11:15">
      <c r="K2647" s="1663">
        <v>44704</v>
      </c>
      <c r="L2647" s="1664" t="s">
        <v>2293</v>
      </c>
      <c r="M2647" s="1665">
        <v>4.7279000000000002E-2</v>
      </c>
      <c r="N2647" s="1666">
        <v>1.7568763170460486</v>
      </c>
      <c r="O2647" s="1666"/>
    </row>
    <row r="2648" spans="11:15">
      <c r="K2648" s="1663">
        <v>44705</v>
      </c>
      <c r="L2648" s="1664" t="s">
        <v>2293</v>
      </c>
      <c r="M2648" s="1665">
        <v>4.7279000000000002E-2</v>
      </c>
      <c r="N2648" s="1666">
        <v>1.7577069505999847</v>
      </c>
      <c r="O2648" s="1666"/>
    </row>
    <row r="2649" spans="11:15">
      <c r="K2649" s="1663">
        <v>44706</v>
      </c>
      <c r="L2649" s="1664" t="s">
        <v>2293</v>
      </c>
      <c r="M2649" s="1665">
        <v>4.7279000000000002E-2</v>
      </c>
      <c r="N2649" s="1666">
        <v>1.7585379768691587</v>
      </c>
      <c r="O2649" s="1666"/>
    </row>
    <row r="2650" spans="11:15">
      <c r="K2650" s="1663">
        <v>44707</v>
      </c>
      <c r="L2650" s="1664" t="s">
        <v>2293</v>
      </c>
      <c r="M2650" s="1665">
        <v>4.7279000000000002E-2</v>
      </c>
      <c r="N2650" s="1666">
        <v>1.7593693960392425</v>
      </c>
      <c r="O2650" s="1666"/>
    </row>
    <row r="2651" spans="11:15">
      <c r="K2651" s="1663">
        <v>44708</v>
      </c>
      <c r="L2651" s="1664" t="s">
        <v>2293</v>
      </c>
      <c r="M2651" s="1665">
        <v>4.7279000000000002E-2</v>
      </c>
      <c r="N2651" s="1666">
        <v>1.7602012082959957</v>
      </c>
      <c r="O2651" s="1666"/>
    </row>
    <row r="2652" spans="11:15">
      <c r="K2652" s="1663">
        <v>44709</v>
      </c>
      <c r="L2652" s="1664"/>
      <c r="M2652" s="1665">
        <v>0</v>
      </c>
      <c r="N2652" s="1666">
        <v>1.7602012082959957</v>
      </c>
      <c r="O2652" s="1666"/>
    </row>
    <row r="2653" spans="11:15">
      <c r="K2653" s="1663">
        <v>44710</v>
      </c>
      <c r="L2653" s="1664"/>
      <c r="M2653" s="1665">
        <v>0</v>
      </c>
      <c r="N2653" s="1666">
        <v>1.7602012082959957</v>
      </c>
      <c r="O2653" s="1666"/>
    </row>
    <row r="2654" spans="11:15">
      <c r="K2654" s="1663">
        <v>44711</v>
      </c>
      <c r="L2654" s="1664" t="s">
        <v>2293</v>
      </c>
      <c r="M2654" s="1665">
        <v>4.7279000000000002E-2</v>
      </c>
      <c r="N2654" s="1666">
        <v>1.7610334138252657</v>
      </c>
      <c r="O2654" s="1666"/>
    </row>
    <row r="2655" spans="11:15">
      <c r="K2655" s="1663">
        <v>44712</v>
      </c>
      <c r="L2655" s="1664" t="s">
        <v>2293</v>
      </c>
      <c r="M2655" s="1665">
        <v>4.7279000000000002E-2</v>
      </c>
      <c r="N2655" s="1666">
        <v>1.7618660128129879</v>
      </c>
      <c r="O2655" s="1666"/>
    </row>
    <row r="2656" spans="11:15">
      <c r="K2656" s="1663">
        <v>44713</v>
      </c>
      <c r="L2656" s="1664" t="s">
        <v>2293</v>
      </c>
      <c r="M2656" s="1665">
        <v>4.7279000000000002E-2</v>
      </c>
      <c r="N2656" s="1666">
        <v>1.7626990054451857</v>
      </c>
      <c r="O2656" s="1666"/>
    </row>
    <row r="2657" spans="11:15">
      <c r="K2657" s="1663">
        <v>44714</v>
      </c>
      <c r="L2657" s="1664" t="s">
        <v>2293</v>
      </c>
      <c r="M2657" s="1665">
        <v>4.7279000000000002E-2</v>
      </c>
      <c r="N2657" s="1666">
        <v>1.76353239190797</v>
      </c>
      <c r="O2657" s="1666"/>
    </row>
    <row r="2658" spans="11:15">
      <c r="K2658" s="1663">
        <v>44715</v>
      </c>
      <c r="L2658" s="1664" t="s">
        <v>2293</v>
      </c>
      <c r="M2658" s="1665">
        <v>4.7279000000000002E-2</v>
      </c>
      <c r="N2658" s="1666">
        <v>1.7643661723875399</v>
      </c>
      <c r="O2658" s="1666"/>
    </row>
    <row r="2659" spans="11:15">
      <c r="K2659" s="1663">
        <v>44716</v>
      </c>
      <c r="L2659" s="1664"/>
      <c r="M2659" s="1665">
        <v>0</v>
      </c>
      <c r="N2659" s="1666">
        <v>1.7643661723875399</v>
      </c>
      <c r="O2659" s="1666"/>
    </row>
    <row r="2660" spans="11:15">
      <c r="K2660" s="1663">
        <v>44717</v>
      </c>
      <c r="L2660" s="1664"/>
      <c r="M2660" s="1665">
        <v>0</v>
      </c>
      <c r="N2660" s="1666">
        <v>1.7643661723875399</v>
      </c>
      <c r="O2660" s="1666"/>
    </row>
    <row r="2661" spans="11:15">
      <c r="K2661" s="1663">
        <v>44718</v>
      </c>
      <c r="L2661" s="1664" t="s">
        <v>2293</v>
      </c>
      <c r="M2661" s="1665">
        <v>4.7279000000000002E-2</v>
      </c>
      <c r="N2661" s="1666">
        <v>1.7652003470701829</v>
      </c>
      <c r="O2661" s="1666"/>
    </row>
    <row r="2662" spans="11:15">
      <c r="K2662" s="1663">
        <v>44719</v>
      </c>
      <c r="L2662" s="1664" t="s">
        <v>2293</v>
      </c>
      <c r="M2662" s="1665">
        <v>4.7279000000000002E-2</v>
      </c>
      <c r="N2662" s="1666">
        <v>1.7660349161422739</v>
      </c>
      <c r="O2662" s="1666"/>
    </row>
    <row r="2663" spans="11:15">
      <c r="K2663" s="1663">
        <v>44720</v>
      </c>
      <c r="L2663" s="1664" t="s">
        <v>2293</v>
      </c>
      <c r="M2663" s="1665">
        <v>4.7279000000000002E-2</v>
      </c>
      <c r="N2663" s="1666">
        <v>1.7668698797902767</v>
      </c>
      <c r="O2663" s="1666"/>
    </row>
    <row r="2664" spans="11:15">
      <c r="K2664" s="1663">
        <v>44721</v>
      </c>
      <c r="L2664" s="1664" t="s">
        <v>2293</v>
      </c>
      <c r="M2664" s="1665">
        <v>4.7279000000000002E-2</v>
      </c>
      <c r="N2664" s="1666">
        <v>1.7677052382007425</v>
      </c>
      <c r="O2664" s="1666"/>
    </row>
    <row r="2665" spans="11:15">
      <c r="K2665" s="1663">
        <v>44722</v>
      </c>
      <c r="L2665" s="1664" t="s">
        <v>2293</v>
      </c>
      <c r="M2665" s="1665">
        <v>4.7279000000000002E-2</v>
      </c>
      <c r="N2665" s="1666">
        <v>1.7685409915603112</v>
      </c>
      <c r="O2665" s="1666"/>
    </row>
    <row r="2666" spans="11:15">
      <c r="K2666" s="1663">
        <v>44723</v>
      </c>
      <c r="L2666" s="1664"/>
      <c r="M2666" s="1665">
        <v>0</v>
      </c>
      <c r="N2666" s="1666">
        <v>1.7685409915603112</v>
      </c>
      <c r="O2666" s="1666"/>
    </row>
    <row r="2667" spans="11:15">
      <c r="K2667" s="1663">
        <v>44724</v>
      </c>
      <c r="L2667" s="1664"/>
      <c r="M2667" s="1665">
        <v>0</v>
      </c>
      <c r="N2667" s="1666">
        <v>1.7685409915603112</v>
      </c>
      <c r="O2667" s="1666"/>
    </row>
    <row r="2668" spans="11:15">
      <c r="K2668" s="1663">
        <v>44725</v>
      </c>
      <c r="L2668" s="1664" t="s">
        <v>2293</v>
      </c>
      <c r="M2668" s="1665">
        <v>4.7279000000000002E-2</v>
      </c>
      <c r="N2668" s="1666">
        <v>1.7693771400557108</v>
      </c>
      <c r="O2668" s="1666"/>
    </row>
    <row r="2669" spans="11:15">
      <c r="K2669" s="1663">
        <v>44726</v>
      </c>
      <c r="L2669" s="1664" t="s">
        <v>2293</v>
      </c>
      <c r="M2669" s="1665">
        <v>4.7279000000000002E-2</v>
      </c>
      <c r="N2669" s="1666">
        <v>1.7702136838737574</v>
      </c>
      <c r="O2669" s="1666"/>
    </row>
    <row r="2670" spans="11:15">
      <c r="K2670" s="1663">
        <v>44727</v>
      </c>
      <c r="L2670" s="1664" t="s">
        <v>2293</v>
      </c>
      <c r="M2670" s="1665">
        <v>4.7279000000000002E-2</v>
      </c>
      <c r="N2670" s="1666">
        <v>1.7710506232013559</v>
      </c>
      <c r="O2670" s="1666"/>
    </row>
    <row r="2671" spans="11:15">
      <c r="K2671" s="1663">
        <v>44728</v>
      </c>
      <c r="L2671" s="1664"/>
      <c r="M2671" s="1665">
        <v>0</v>
      </c>
      <c r="N2671" s="1666">
        <v>1.7710506232013559</v>
      </c>
      <c r="O2671" s="1666"/>
    </row>
    <row r="2672" spans="11:15">
      <c r="K2672" s="1663">
        <v>44729</v>
      </c>
      <c r="L2672" s="1664" t="s">
        <v>2293</v>
      </c>
      <c r="M2672" s="1665">
        <v>4.9036999999999997E-2</v>
      </c>
      <c r="N2672" s="1666">
        <v>1.7719190932954552</v>
      </c>
      <c r="O2672" s="1666"/>
    </row>
    <row r="2673" spans="11:15">
      <c r="K2673" s="1663">
        <v>44730</v>
      </c>
      <c r="L2673" s="1664"/>
      <c r="M2673" s="1665">
        <v>0</v>
      </c>
      <c r="N2673" s="1666">
        <v>1.7719190932954552</v>
      </c>
      <c r="O2673" s="1666"/>
    </row>
    <row r="2674" spans="11:15">
      <c r="K2674" s="1663">
        <v>44731</v>
      </c>
      <c r="L2674" s="1664"/>
      <c r="M2674" s="1665">
        <v>0</v>
      </c>
      <c r="N2674" s="1666">
        <v>1.7719190932954552</v>
      </c>
      <c r="O2674" s="1666"/>
    </row>
    <row r="2675" spans="11:15">
      <c r="K2675" s="1663">
        <v>44732</v>
      </c>
      <c r="L2675" s="1664" t="s">
        <v>2293</v>
      </c>
      <c r="M2675" s="1665">
        <v>4.9036999999999997E-2</v>
      </c>
      <c r="N2675" s="1666">
        <v>1.7727879892612346</v>
      </c>
      <c r="O2675" s="1666"/>
    </row>
    <row r="2676" spans="11:15">
      <c r="K2676" s="1663">
        <v>44733</v>
      </c>
      <c r="L2676" s="1664" t="s">
        <v>2293</v>
      </c>
      <c r="M2676" s="1665">
        <v>4.9036999999999997E-2</v>
      </c>
      <c r="N2676" s="1666">
        <v>1.7736573113075287</v>
      </c>
      <c r="O2676" s="1666"/>
    </row>
    <row r="2677" spans="11:15">
      <c r="K2677" s="1663">
        <v>44734</v>
      </c>
      <c r="L2677" s="1664" t="s">
        <v>2293</v>
      </c>
      <c r="M2677" s="1665">
        <v>4.9036999999999997E-2</v>
      </c>
      <c r="N2677" s="1666">
        <v>1.7745270596432747</v>
      </c>
      <c r="O2677" s="1666"/>
    </row>
    <row r="2678" spans="11:15">
      <c r="K2678" s="1663">
        <v>44735</v>
      </c>
      <c r="L2678" s="1664" t="s">
        <v>2293</v>
      </c>
      <c r="M2678" s="1665">
        <v>4.9036999999999997E-2</v>
      </c>
      <c r="N2678" s="1666">
        <v>1.7753972344775122</v>
      </c>
      <c r="O2678" s="1666"/>
    </row>
    <row r="2679" spans="11:15">
      <c r="K2679" s="1663">
        <v>44736</v>
      </c>
      <c r="L2679" s="1664" t="s">
        <v>2293</v>
      </c>
      <c r="M2679" s="1665">
        <v>4.9036999999999997E-2</v>
      </c>
      <c r="N2679" s="1666">
        <v>1.7762678360193831</v>
      </c>
      <c r="O2679" s="1666"/>
    </row>
    <row r="2680" spans="11:15">
      <c r="K2680" s="1663">
        <v>44737</v>
      </c>
      <c r="L2680" s="1664"/>
      <c r="M2680" s="1665">
        <v>0</v>
      </c>
      <c r="N2680" s="1666">
        <v>1.7762678360193831</v>
      </c>
      <c r="O2680" s="1666"/>
    </row>
    <row r="2681" spans="11:15">
      <c r="K2681" s="1663">
        <v>44738</v>
      </c>
      <c r="L2681" s="1664"/>
      <c r="M2681" s="1665">
        <v>0</v>
      </c>
      <c r="N2681" s="1666">
        <v>1.7762678360193831</v>
      </c>
      <c r="O2681" s="1666"/>
    </row>
    <row r="2682" spans="11:15">
      <c r="K2682" s="1663">
        <v>44739</v>
      </c>
      <c r="L2682" s="1664" t="s">
        <v>2293</v>
      </c>
      <c r="M2682" s="1665">
        <v>4.9036999999999997E-2</v>
      </c>
      <c r="N2682" s="1666">
        <v>1.7771388644781321</v>
      </c>
      <c r="O2682" s="1666"/>
    </row>
    <row r="2683" spans="11:15">
      <c r="K2683" s="1663">
        <v>44740</v>
      </c>
      <c r="L2683" s="1664" t="s">
        <v>2293</v>
      </c>
      <c r="M2683" s="1665">
        <v>4.9036999999999997E-2</v>
      </c>
      <c r="N2683" s="1666">
        <v>1.7780103200631063</v>
      </c>
      <c r="O2683" s="1666"/>
    </row>
    <row r="2684" spans="11:15">
      <c r="K2684" s="1663">
        <v>44741</v>
      </c>
      <c r="L2684" s="1664" t="s">
        <v>2293</v>
      </c>
      <c r="M2684" s="1665">
        <v>4.9036999999999997E-2</v>
      </c>
      <c r="N2684" s="1666">
        <v>1.7788822029837559</v>
      </c>
      <c r="O2684" s="1666"/>
    </row>
    <row r="2685" spans="11:15">
      <c r="K2685" s="1663">
        <v>44742</v>
      </c>
      <c r="L2685" s="1664" t="s">
        <v>2293</v>
      </c>
      <c r="M2685" s="1665">
        <v>4.9036999999999997E-2</v>
      </c>
      <c r="N2685" s="1666">
        <v>1.7797545134496331</v>
      </c>
      <c r="O2685" s="1666"/>
    </row>
    <row r="2686" spans="11:15">
      <c r="K2686" s="1663">
        <v>44743</v>
      </c>
      <c r="L2686" s="1664" t="s">
        <v>2293</v>
      </c>
      <c r="M2686" s="1665">
        <v>4.9036999999999997E-2</v>
      </c>
      <c r="N2686" s="1666">
        <v>1.7806272516703936</v>
      </c>
      <c r="O2686" s="1666"/>
    </row>
    <row r="2687" spans="11:15">
      <c r="K2687" s="1663">
        <v>44744</v>
      </c>
      <c r="L2687" s="1664"/>
      <c r="M2687" s="1665">
        <v>0</v>
      </c>
      <c r="N2687" s="1666">
        <v>1.7806272516703936</v>
      </c>
      <c r="O2687" s="1666"/>
    </row>
    <row r="2688" spans="11:15">
      <c r="K2688" s="1663">
        <v>44745</v>
      </c>
      <c r="L2688" s="1664"/>
      <c r="M2688" s="1665">
        <v>0</v>
      </c>
      <c r="N2688" s="1666">
        <v>1.7806272516703936</v>
      </c>
      <c r="O2688" s="1666"/>
    </row>
    <row r="2689" spans="11:15">
      <c r="K2689" s="1663">
        <v>44746</v>
      </c>
      <c r="L2689" s="1664" t="s">
        <v>2293</v>
      </c>
      <c r="M2689" s="1665">
        <v>4.9036999999999997E-2</v>
      </c>
      <c r="N2689" s="1666">
        <v>1.7815004178557954</v>
      </c>
      <c r="O2689" s="1666"/>
    </row>
    <row r="2690" spans="11:15">
      <c r="K2690" s="1663">
        <v>44747</v>
      </c>
      <c r="L2690" s="1664" t="s">
        <v>2293</v>
      </c>
      <c r="M2690" s="1665">
        <v>4.9036999999999997E-2</v>
      </c>
      <c r="N2690" s="1666">
        <v>1.7823740122156995</v>
      </c>
      <c r="O2690" s="1666"/>
    </row>
    <row r="2691" spans="11:15">
      <c r="K2691" s="1663">
        <v>44748</v>
      </c>
      <c r="L2691" s="1664" t="s">
        <v>2293</v>
      </c>
      <c r="M2691" s="1665">
        <v>4.9036999999999997E-2</v>
      </c>
      <c r="N2691" s="1666">
        <v>1.7832480349600699</v>
      </c>
      <c r="O2691" s="1666"/>
    </row>
    <row r="2692" spans="11:15">
      <c r="K2692" s="1663">
        <v>44749</v>
      </c>
      <c r="L2692" s="1664" t="s">
        <v>2293</v>
      </c>
      <c r="M2692" s="1665">
        <v>4.9036999999999997E-2</v>
      </c>
      <c r="N2692" s="1666">
        <v>1.7841224862989733</v>
      </c>
      <c r="O2692" s="1666"/>
    </row>
    <row r="2693" spans="11:15">
      <c r="K2693" s="1663">
        <v>44750</v>
      </c>
      <c r="L2693" s="1664" t="s">
        <v>2293</v>
      </c>
      <c r="M2693" s="1665">
        <v>4.9036999999999997E-2</v>
      </c>
      <c r="N2693" s="1666">
        <v>1.7849973664425798</v>
      </c>
      <c r="O2693" s="1666"/>
    </row>
    <row r="2694" spans="11:15">
      <c r="K2694" s="1663">
        <v>44751</v>
      </c>
      <c r="L2694" s="1664"/>
      <c r="M2694" s="1665">
        <v>0</v>
      </c>
      <c r="N2694" s="1666">
        <v>1.7849973664425798</v>
      </c>
      <c r="O2694" s="1666"/>
    </row>
    <row r="2695" spans="11:15">
      <c r="K2695" s="1663">
        <v>44752</v>
      </c>
      <c r="L2695" s="1664"/>
      <c r="M2695" s="1665">
        <v>0</v>
      </c>
      <c r="N2695" s="1666">
        <v>1.7849973664425798</v>
      </c>
      <c r="O2695" s="1666"/>
    </row>
    <row r="2696" spans="11:15">
      <c r="K2696" s="1663">
        <v>44753</v>
      </c>
      <c r="L2696" s="1664" t="s">
        <v>2293</v>
      </c>
      <c r="M2696" s="1665">
        <v>4.9036999999999997E-2</v>
      </c>
      <c r="N2696" s="1666">
        <v>1.7858726756011623</v>
      </c>
      <c r="O2696" s="1666"/>
    </row>
    <row r="2697" spans="11:15">
      <c r="K2697" s="1663">
        <v>44754</v>
      </c>
      <c r="L2697" s="1664" t="s">
        <v>2293</v>
      </c>
      <c r="M2697" s="1665">
        <v>4.9036999999999997E-2</v>
      </c>
      <c r="N2697" s="1666">
        <v>1.7867484139850969</v>
      </c>
      <c r="O2697" s="1666"/>
    </row>
    <row r="2698" spans="11:15">
      <c r="K2698" s="1663">
        <v>44755</v>
      </c>
      <c r="L2698" s="1664" t="s">
        <v>2293</v>
      </c>
      <c r="M2698" s="1665">
        <v>4.9036999999999997E-2</v>
      </c>
      <c r="N2698" s="1666">
        <v>1.7876245818048628</v>
      </c>
      <c r="O2698" s="1666"/>
    </row>
    <row r="2699" spans="11:15">
      <c r="K2699" s="1663">
        <v>44756</v>
      </c>
      <c r="L2699" s="1664" t="s">
        <v>2293</v>
      </c>
      <c r="M2699" s="1665">
        <v>4.9036999999999997E-2</v>
      </c>
      <c r="N2699" s="1666">
        <v>1.7885011792710426</v>
      </c>
      <c r="O2699" s="1666"/>
    </row>
    <row r="2700" spans="11:15">
      <c r="K2700" s="1663">
        <v>44757</v>
      </c>
      <c r="L2700" s="1664" t="s">
        <v>2293</v>
      </c>
      <c r="M2700" s="1665">
        <v>4.9036999999999997E-2</v>
      </c>
      <c r="N2700" s="1666">
        <v>1.7893782065943218</v>
      </c>
      <c r="O2700" s="1666"/>
    </row>
    <row r="2701" spans="11:15">
      <c r="K2701" s="1663">
        <v>44758</v>
      </c>
      <c r="L2701" s="1664"/>
      <c r="M2701" s="1665">
        <v>0</v>
      </c>
      <c r="N2701" s="1666">
        <v>1.7893782065943218</v>
      </c>
      <c r="O2701" s="1666"/>
    </row>
    <row r="2702" spans="11:15">
      <c r="K2702" s="1663">
        <v>44759</v>
      </c>
      <c r="L2702" s="1664"/>
      <c r="M2702" s="1665">
        <v>0</v>
      </c>
      <c r="N2702" s="1666">
        <v>1.7893782065943218</v>
      </c>
      <c r="O2702" s="1666"/>
    </row>
    <row r="2703" spans="11:15">
      <c r="K2703" s="1663">
        <v>44760</v>
      </c>
      <c r="L2703" s="1664" t="s">
        <v>2293</v>
      </c>
      <c r="M2703" s="1665">
        <v>4.9036999999999997E-2</v>
      </c>
      <c r="N2703" s="1666">
        <v>1.7902556639854896</v>
      </c>
      <c r="O2703" s="1666"/>
    </row>
    <row r="2704" spans="11:15">
      <c r="K2704" s="1663">
        <v>44761</v>
      </c>
      <c r="L2704" s="1664" t="s">
        <v>2293</v>
      </c>
      <c r="M2704" s="1665">
        <v>4.9036999999999997E-2</v>
      </c>
      <c r="N2704" s="1666">
        <v>1.7911335516554383</v>
      </c>
      <c r="O2704" s="1666"/>
    </row>
    <row r="2705" spans="11:15">
      <c r="K2705" s="1663">
        <v>44762</v>
      </c>
      <c r="L2705" s="1664" t="s">
        <v>2293</v>
      </c>
      <c r="M2705" s="1665">
        <v>4.9036999999999997E-2</v>
      </c>
      <c r="N2705" s="1666">
        <v>1.7920118698151637</v>
      </c>
      <c r="O2705" s="1666"/>
    </row>
    <row r="2706" spans="11:15">
      <c r="K2706" s="1663">
        <v>44763</v>
      </c>
      <c r="L2706" s="1664" t="s">
        <v>2293</v>
      </c>
      <c r="M2706" s="1665">
        <v>4.9036999999999997E-2</v>
      </c>
      <c r="N2706" s="1666">
        <v>1.7928906186757652</v>
      </c>
      <c r="O2706" s="1666"/>
    </row>
    <row r="2707" spans="11:15">
      <c r="K2707" s="1663">
        <v>44764</v>
      </c>
      <c r="L2707" s="1664" t="s">
        <v>2293</v>
      </c>
      <c r="M2707" s="1665">
        <v>4.9036999999999997E-2</v>
      </c>
      <c r="N2707" s="1666">
        <v>1.7937697984484453</v>
      </c>
      <c r="O2707" s="1666"/>
    </row>
    <row r="2708" spans="11:15">
      <c r="K2708" s="1663">
        <v>44765</v>
      </c>
      <c r="L2708" s="1664"/>
      <c r="M2708" s="1665">
        <v>0</v>
      </c>
      <c r="N2708" s="1666">
        <v>1.7937697984484453</v>
      </c>
      <c r="O2708" s="1666"/>
    </row>
    <row r="2709" spans="11:15">
      <c r="K2709" s="1663">
        <v>44766</v>
      </c>
      <c r="L2709" s="1664"/>
      <c r="M2709" s="1665">
        <v>0</v>
      </c>
      <c r="N2709" s="1666">
        <v>1.7937697984484453</v>
      </c>
      <c r="O2709" s="1666"/>
    </row>
    <row r="2710" spans="11:15">
      <c r="K2710" s="1663">
        <v>44767</v>
      </c>
      <c r="L2710" s="1664" t="s">
        <v>2293</v>
      </c>
      <c r="M2710" s="1665">
        <v>4.9036999999999997E-2</v>
      </c>
      <c r="N2710" s="1666">
        <v>1.7946494093445107</v>
      </c>
      <c r="O2710" s="1666"/>
    </row>
    <row r="2711" spans="11:15">
      <c r="K2711" s="1663">
        <v>44768</v>
      </c>
      <c r="L2711" s="1664" t="s">
        <v>2293</v>
      </c>
      <c r="M2711" s="1665">
        <v>4.9036999999999997E-2</v>
      </c>
      <c r="N2711" s="1666">
        <v>1.795529451575371</v>
      </c>
      <c r="O2711" s="1666"/>
    </row>
    <row r="2712" spans="11:15">
      <c r="K2712" s="1663">
        <v>44769</v>
      </c>
      <c r="L2712" s="1664" t="s">
        <v>2293</v>
      </c>
      <c r="M2712" s="1665">
        <v>4.9036999999999997E-2</v>
      </c>
      <c r="N2712" s="1666">
        <v>1.7964099253525401</v>
      </c>
      <c r="O2712" s="1666"/>
    </row>
    <row r="2713" spans="11:15">
      <c r="K2713" s="1663">
        <v>44770</v>
      </c>
      <c r="L2713" s="1664" t="s">
        <v>2293</v>
      </c>
      <c r="M2713" s="1665">
        <v>4.9036999999999997E-2</v>
      </c>
      <c r="N2713" s="1666">
        <v>1.7972908308876354</v>
      </c>
      <c r="O2713" s="1666"/>
    </row>
    <row r="2714" spans="11:15">
      <c r="K2714" s="1663">
        <v>44771</v>
      </c>
      <c r="L2714" s="1664" t="s">
        <v>2293</v>
      </c>
      <c r="M2714" s="1665">
        <v>4.9036999999999997E-2</v>
      </c>
      <c r="N2714" s="1666">
        <v>1.7981721683923779</v>
      </c>
      <c r="O2714" s="1666"/>
    </row>
    <row r="2715" spans="11:15">
      <c r="K2715" s="1663">
        <v>44772</v>
      </c>
      <c r="L2715" s="1664"/>
      <c r="M2715" s="1665">
        <v>0</v>
      </c>
      <c r="N2715" s="1666">
        <v>1.7981721683923779</v>
      </c>
      <c r="O2715" s="1666"/>
    </row>
    <row r="2716" spans="11:15">
      <c r="K2716" s="1663">
        <v>44773</v>
      </c>
      <c r="L2716" s="1664"/>
      <c r="M2716" s="1665">
        <v>0</v>
      </c>
      <c r="N2716" s="1666">
        <v>1.7981721683923779</v>
      </c>
      <c r="O2716" s="1666"/>
    </row>
    <row r="2717" spans="11:15">
      <c r="K2717" s="1663">
        <v>44774</v>
      </c>
      <c r="L2717" s="1664" t="s">
        <v>2293</v>
      </c>
      <c r="M2717" s="1665">
        <v>4.9036999999999997E-2</v>
      </c>
      <c r="N2717" s="1666">
        <v>1.7990539380785926</v>
      </c>
      <c r="O2717" s="1666"/>
    </row>
    <row r="2718" spans="11:15">
      <c r="K2718" s="1663">
        <v>44775</v>
      </c>
      <c r="L2718" s="1664" t="s">
        <v>2293</v>
      </c>
      <c r="M2718" s="1665">
        <v>4.9036999999999997E-2</v>
      </c>
      <c r="N2718" s="1666">
        <v>1.7999361401582084</v>
      </c>
      <c r="O2718" s="1666"/>
    </row>
    <row r="2719" spans="11:15">
      <c r="K2719" s="1663">
        <v>44776</v>
      </c>
      <c r="L2719" s="1664" t="s">
        <v>2293</v>
      </c>
      <c r="M2719" s="1665">
        <v>4.9036999999999997E-2</v>
      </c>
      <c r="N2719" s="1666">
        <v>1.8008187748432578</v>
      </c>
      <c r="O2719" s="1666"/>
    </row>
    <row r="2720" spans="11:15">
      <c r="K2720" s="1663">
        <v>44777</v>
      </c>
      <c r="L2720" s="1664" t="s">
        <v>2293</v>
      </c>
      <c r="M2720" s="1665">
        <v>4.9036999999999997E-2</v>
      </c>
      <c r="N2720" s="1666">
        <v>1.8017018423458779</v>
      </c>
      <c r="O2720" s="1666"/>
    </row>
    <row r="2721" spans="11:15">
      <c r="K2721" s="1663">
        <v>44778</v>
      </c>
      <c r="L2721" s="1664" t="s">
        <v>2293</v>
      </c>
      <c r="M2721" s="1665">
        <v>4.9036999999999997E-2</v>
      </c>
      <c r="N2721" s="1666">
        <v>1.8025853428783092</v>
      </c>
      <c r="O2721" s="1666"/>
    </row>
    <row r="2722" spans="11:15">
      <c r="K2722" s="1663">
        <v>44779</v>
      </c>
      <c r="L2722" s="1664"/>
      <c r="M2722" s="1665">
        <v>0</v>
      </c>
      <c r="N2722" s="1666">
        <v>1.8025853428783092</v>
      </c>
      <c r="O2722" s="1666"/>
    </row>
    <row r="2723" spans="11:15">
      <c r="K2723" s="1663">
        <v>44780</v>
      </c>
      <c r="L2723" s="1664"/>
      <c r="M2723" s="1665">
        <v>0</v>
      </c>
      <c r="N2723" s="1666">
        <v>1.8025853428783092</v>
      </c>
      <c r="O2723" s="1666"/>
    </row>
    <row r="2724" spans="11:15">
      <c r="K2724" s="1663">
        <v>44781</v>
      </c>
      <c r="L2724" s="1664" t="s">
        <v>2293</v>
      </c>
      <c r="M2724" s="1665">
        <v>4.9036999999999997E-2</v>
      </c>
      <c r="N2724" s="1666">
        <v>1.8034692766528966</v>
      </c>
      <c r="O2724" s="1666"/>
    </row>
    <row r="2725" spans="11:15">
      <c r="K2725" s="1663">
        <v>44782</v>
      </c>
      <c r="L2725" s="1664" t="s">
        <v>2293</v>
      </c>
      <c r="M2725" s="1665">
        <v>4.9036999999999997E-2</v>
      </c>
      <c r="N2725" s="1666">
        <v>1.8043536438820891</v>
      </c>
      <c r="O2725" s="1666"/>
    </row>
    <row r="2726" spans="11:15">
      <c r="K2726" s="1663">
        <v>44783</v>
      </c>
      <c r="L2726" s="1664" t="s">
        <v>2293</v>
      </c>
      <c r="M2726" s="1665">
        <v>4.9036999999999997E-2</v>
      </c>
      <c r="N2726" s="1666">
        <v>1.8052384447784398</v>
      </c>
      <c r="O2726" s="1666"/>
    </row>
    <row r="2727" spans="11:15">
      <c r="K2727" s="1663">
        <v>44784</v>
      </c>
      <c r="L2727" s="1664" t="s">
        <v>2293</v>
      </c>
      <c r="M2727" s="1665">
        <v>4.9036999999999997E-2</v>
      </c>
      <c r="N2727" s="1666">
        <v>1.8061236795546058</v>
      </c>
      <c r="O2727" s="1666"/>
    </row>
    <row r="2728" spans="11:15">
      <c r="K2728" s="1663">
        <v>44785</v>
      </c>
      <c r="L2728" s="1664" t="s">
        <v>2293</v>
      </c>
      <c r="M2728" s="1665">
        <v>4.9036999999999997E-2</v>
      </c>
      <c r="N2728" s="1666">
        <v>1.8070093484233491</v>
      </c>
      <c r="O2728" s="1666"/>
    </row>
    <row r="2729" spans="11:15">
      <c r="K2729" s="1663">
        <v>44786</v>
      </c>
      <c r="L2729" s="1664"/>
      <c r="M2729" s="1665">
        <v>0</v>
      </c>
      <c r="N2729" s="1666">
        <v>1.8070093484233491</v>
      </c>
      <c r="O2729" s="1666"/>
    </row>
    <row r="2730" spans="11:15">
      <c r="K2730" s="1663">
        <v>44787</v>
      </c>
      <c r="L2730" s="1664"/>
      <c r="M2730" s="1665">
        <v>0</v>
      </c>
      <c r="N2730" s="1666">
        <v>1.8070093484233491</v>
      </c>
      <c r="O2730" s="1666"/>
    </row>
    <row r="2731" spans="11:15">
      <c r="K2731" s="1663">
        <v>44788</v>
      </c>
      <c r="L2731" s="1664" t="s">
        <v>2293</v>
      </c>
      <c r="M2731" s="1665">
        <v>4.9036999999999997E-2</v>
      </c>
      <c r="N2731" s="1666">
        <v>1.8078954515975356</v>
      </c>
      <c r="O2731" s="1666"/>
    </row>
    <row r="2732" spans="11:15">
      <c r="K2732" s="1663">
        <v>44789</v>
      </c>
      <c r="L2732" s="1664" t="s">
        <v>2293</v>
      </c>
      <c r="M2732" s="1665">
        <v>4.9036999999999997E-2</v>
      </c>
      <c r="N2732" s="1666">
        <v>1.8087819892901356</v>
      </c>
      <c r="O2732" s="1666"/>
    </row>
    <row r="2733" spans="11:15">
      <c r="K2733" s="1663">
        <v>44790</v>
      </c>
      <c r="L2733" s="1664" t="s">
        <v>2293</v>
      </c>
      <c r="M2733" s="1665">
        <v>4.9036999999999997E-2</v>
      </c>
      <c r="N2733" s="1666">
        <v>1.8096689617142239</v>
      </c>
      <c r="O2733" s="1666"/>
    </row>
    <row r="2734" spans="11:15">
      <c r="K2734" s="1663">
        <v>44791</v>
      </c>
      <c r="L2734" s="1664" t="s">
        <v>2293</v>
      </c>
      <c r="M2734" s="1665">
        <v>4.9036999999999997E-2</v>
      </c>
      <c r="N2734" s="1666">
        <v>1.8105563690829798</v>
      </c>
      <c r="O2734" s="1666"/>
    </row>
    <row r="2735" spans="11:15">
      <c r="K2735" s="1663">
        <v>44792</v>
      </c>
      <c r="L2735" s="1664" t="s">
        <v>2293</v>
      </c>
      <c r="M2735" s="1665">
        <v>4.9036999999999997E-2</v>
      </c>
      <c r="N2735" s="1666">
        <v>1.8114442116096872</v>
      </c>
      <c r="O2735" s="1666"/>
    </row>
    <row r="2736" spans="11:15">
      <c r="K2736" s="1663">
        <v>44793</v>
      </c>
      <c r="L2736" s="1664"/>
      <c r="M2736" s="1665">
        <v>0</v>
      </c>
      <c r="N2736" s="1666">
        <v>1.8114442116096872</v>
      </c>
      <c r="O2736" s="1666"/>
    </row>
    <row r="2737" spans="11:15">
      <c r="K2737" s="1663">
        <v>44794</v>
      </c>
      <c r="L2737" s="1664"/>
      <c r="M2737" s="1665">
        <v>0</v>
      </c>
      <c r="N2737" s="1666">
        <v>1.8114442116096872</v>
      </c>
      <c r="O2737" s="1666"/>
    </row>
    <row r="2738" spans="11:15">
      <c r="K2738" s="1663">
        <v>44795</v>
      </c>
      <c r="L2738" s="1664" t="s">
        <v>2293</v>
      </c>
      <c r="M2738" s="1665">
        <v>4.9036999999999997E-2</v>
      </c>
      <c r="N2738" s="1666">
        <v>1.8123324895077344</v>
      </c>
      <c r="O2738" s="1666"/>
    </row>
    <row r="2739" spans="11:15">
      <c r="K2739" s="1663">
        <v>44796</v>
      </c>
      <c r="L2739" s="1664" t="s">
        <v>2293</v>
      </c>
      <c r="M2739" s="1665">
        <v>4.9036999999999997E-2</v>
      </c>
      <c r="N2739" s="1666">
        <v>1.8132212029906145</v>
      </c>
      <c r="O2739" s="1666"/>
    </row>
    <row r="2740" spans="11:15">
      <c r="K2740" s="1663">
        <v>44797</v>
      </c>
      <c r="L2740" s="1664" t="s">
        <v>2293</v>
      </c>
      <c r="M2740" s="1665">
        <v>4.9036999999999997E-2</v>
      </c>
      <c r="N2740" s="1666">
        <v>1.8141103522719251</v>
      </c>
      <c r="O2740" s="1666"/>
    </row>
    <row r="2741" spans="11:15">
      <c r="K2741" s="1663">
        <v>44798</v>
      </c>
      <c r="L2741" s="1664" t="s">
        <v>2293</v>
      </c>
      <c r="M2741" s="1665">
        <v>4.9036999999999997E-2</v>
      </c>
      <c r="N2741" s="1666">
        <v>1.8149999375653687</v>
      </c>
      <c r="O2741" s="1666"/>
    </row>
    <row r="2742" spans="11:15">
      <c r="K2742" s="1663">
        <v>44799</v>
      </c>
      <c r="L2742" s="1664" t="s">
        <v>2293</v>
      </c>
      <c r="M2742" s="1665">
        <v>4.9036999999999997E-2</v>
      </c>
      <c r="N2742" s="1666">
        <v>1.8158899590847528</v>
      </c>
      <c r="O2742" s="1666"/>
    </row>
    <row r="2743" spans="11:15">
      <c r="K2743" s="1663">
        <v>44800</v>
      </c>
      <c r="L2743" s="1664"/>
      <c r="M2743" s="1665">
        <v>0</v>
      </c>
      <c r="N2743" s="1666">
        <v>1.8158899590847528</v>
      </c>
      <c r="O2743" s="1666"/>
    </row>
    <row r="2744" spans="11:15">
      <c r="K2744" s="1663">
        <v>44801</v>
      </c>
      <c r="L2744" s="1664"/>
      <c r="M2744" s="1665">
        <v>0</v>
      </c>
      <c r="N2744" s="1666">
        <v>1.8158899590847528</v>
      </c>
      <c r="O2744" s="1666"/>
    </row>
    <row r="2745" spans="11:15">
      <c r="K2745" s="1663">
        <v>44802</v>
      </c>
      <c r="L2745" s="1664" t="s">
        <v>2293</v>
      </c>
      <c r="M2745" s="1665">
        <v>4.9036999999999997E-2</v>
      </c>
      <c r="N2745" s="1666">
        <v>1.8167804170439894</v>
      </c>
      <c r="O2745" s="1666"/>
    </row>
    <row r="2746" spans="11:15">
      <c r="K2746" s="1663">
        <v>44803</v>
      </c>
      <c r="L2746" s="1664" t="s">
        <v>2293</v>
      </c>
      <c r="M2746" s="1665">
        <v>4.9036999999999997E-2</v>
      </c>
      <c r="N2746" s="1666">
        <v>1.8176713116570955</v>
      </c>
      <c r="O2746" s="1666"/>
    </row>
    <row r="2747" spans="11:15">
      <c r="K2747" s="1663">
        <v>44804</v>
      </c>
      <c r="L2747" s="1664" t="s">
        <v>2293</v>
      </c>
      <c r="M2747" s="1665">
        <v>4.9036999999999997E-2</v>
      </c>
      <c r="N2747" s="1666">
        <v>1.8185626431381929</v>
      </c>
      <c r="O2747" s="1666"/>
    </row>
    <row r="2748" spans="11:15">
      <c r="K2748" s="1663">
        <v>44805</v>
      </c>
      <c r="L2748" s="1664" t="s">
        <v>2293</v>
      </c>
      <c r="M2748" s="1665">
        <v>4.9036999999999997E-2</v>
      </c>
      <c r="N2748" s="1666">
        <v>1.8194544117015088</v>
      </c>
      <c r="O2748" s="1666"/>
    </row>
    <row r="2749" spans="11:15">
      <c r="K2749" s="1663">
        <v>44806</v>
      </c>
      <c r="L2749" s="1664" t="s">
        <v>2293</v>
      </c>
      <c r="M2749" s="1665">
        <v>4.9036999999999997E-2</v>
      </c>
      <c r="N2749" s="1666">
        <v>1.8203466175613749</v>
      </c>
      <c r="O2749" s="1666"/>
    </row>
    <row r="2750" spans="11:15">
      <c r="K2750" s="1663">
        <v>44807</v>
      </c>
      <c r="L2750" s="1664"/>
      <c r="M2750" s="1665">
        <v>0</v>
      </c>
      <c r="N2750" s="1666">
        <v>1.8203466175613749</v>
      </c>
      <c r="O2750" s="1666"/>
    </row>
    <row r="2751" spans="11:15">
      <c r="K2751" s="1663">
        <v>44808</v>
      </c>
      <c r="L2751" s="1664"/>
      <c r="M2751" s="1665">
        <v>0</v>
      </c>
      <c r="N2751" s="1666">
        <v>1.8203466175613749</v>
      </c>
      <c r="O2751" s="1666"/>
    </row>
    <row r="2752" spans="11:15">
      <c r="K2752" s="1663">
        <v>44809</v>
      </c>
      <c r="L2752" s="1664" t="s">
        <v>2293</v>
      </c>
      <c r="M2752" s="1665">
        <v>4.9036999999999997E-2</v>
      </c>
      <c r="N2752" s="1666">
        <v>1.8212392609322285</v>
      </c>
      <c r="O2752" s="1666"/>
    </row>
    <row r="2753" spans="11:15">
      <c r="K2753" s="1663">
        <v>44810</v>
      </c>
      <c r="L2753" s="1664" t="s">
        <v>2293</v>
      </c>
      <c r="M2753" s="1665">
        <v>4.9036999999999997E-2</v>
      </c>
      <c r="N2753" s="1666">
        <v>1.822132342028612</v>
      </c>
      <c r="O2753" s="1666"/>
    </row>
    <row r="2754" spans="11:15">
      <c r="K2754" s="1663">
        <v>44811</v>
      </c>
      <c r="L2754" s="1664"/>
      <c r="M2754" s="1665">
        <v>0</v>
      </c>
      <c r="N2754" s="1666">
        <v>1.822132342028612</v>
      </c>
      <c r="O2754" s="1666"/>
    </row>
    <row r="2755" spans="11:15">
      <c r="K2755" s="1663">
        <v>44812</v>
      </c>
      <c r="L2755" s="1664" t="s">
        <v>2293</v>
      </c>
      <c r="M2755" s="1665">
        <v>4.9036999999999997E-2</v>
      </c>
      <c r="N2755" s="1666">
        <v>1.8230258610651726</v>
      </c>
      <c r="O2755" s="1666"/>
    </row>
    <row r="2756" spans="11:15">
      <c r="K2756" s="1663">
        <v>44813</v>
      </c>
      <c r="L2756" s="1664" t="s">
        <v>2293</v>
      </c>
      <c r="M2756" s="1665">
        <v>4.9036999999999997E-2</v>
      </c>
      <c r="N2756" s="1666">
        <v>1.8239198182566634</v>
      </c>
      <c r="O2756" s="1666"/>
    </row>
    <row r="2757" spans="11:15">
      <c r="K2757" s="1663">
        <v>44814</v>
      </c>
      <c r="L2757" s="1664"/>
      <c r="M2757" s="1665">
        <v>0</v>
      </c>
      <c r="N2757" s="1666">
        <v>1.8239198182566634</v>
      </c>
      <c r="O2757" s="1666"/>
    </row>
    <row r="2758" spans="11:15">
      <c r="K2758" s="1663">
        <v>44815</v>
      </c>
      <c r="L2758" s="1664"/>
      <c r="M2758" s="1665">
        <v>0</v>
      </c>
      <c r="N2758" s="1666">
        <v>1.8239198182566634</v>
      </c>
      <c r="O2758" s="1666"/>
    </row>
    <row r="2759" spans="11:15">
      <c r="K2759" s="1663">
        <v>44816</v>
      </c>
      <c r="L2759" s="1664" t="s">
        <v>2293</v>
      </c>
      <c r="M2759" s="1665">
        <v>4.9036999999999997E-2</v>
      </c>
      <c r="N2759" s="1666">
        <v>1.824814213817942</v>
      </c>
      <c r="O2759" s="1666"/>
    </row>
    <row r="2760" spans="11:15">
      <c r="K2760" s="1663">
        <v>44817</v>
      </c>
      <c r="L2760" s="1664" t="s">
        <v>2293</v>
      </c>
      <c r="M2760" s="1665">
        <v>4.9036999999999997E-2</v>
      </c>
      <c r="N2760" s="1666">
        <v>1.8257090479639719</v>
      </c>
      <c r="O2760" s="1666"/>
    </row>
    <row r="2761" spans="11:15">
      <c r="K2761" s="1663">
        <v>44818</v>
      </c>
      <c r="L2761" s="1664" t="s">
        <v>2293</v>
      </c>
      <c r="M2761" s="1665">
        <v>4.9036999999999997E-2</v>
      </c>
      <c r="N2761" s="1666">
        <v>1.8266043209098222</v>
      </c>
      <c r="O2761" s="1666"/>
    </row>
    <row r="2762" spans="11:15">
      <c r="K2762" s="1663">
        <v>44819</v>
      </c>
      <c r="L2762" s="1664" t="s">
        <v>2293</v>
      </c>
      <c r="M2762" s="1665">
        <v>4.9036999999999997E-2</v>
      </c>
      <c r="N2762" s="1666">
        <v>1.8275000328706668</v>
      </c>
      <c r="O2762" s="1666"/>
    </row>
    <row r="2763" spans="11:15">
      <c r="K2763" s="1663">
        <v>44820</v>
      </c>
      <c r="L2763" s="1664" t="s">
        <v>2293</v>
      </c>
      <c r="M2763" s="1665">
        <v>4.9036999999999997E-2</v>
      </c>
      <c r="N2763" s="1666">
        <v>1.8283961840617857</v>
      </c>
      <c r="O2763" s="1666"/>
    </row>
    <row r="2764" spans="11:15">
      <c r="K2764" s="1663">
        <v>44821</v>
      </c>
      <c r="L2764" s="1664"/>
      <c r="M2764" s="1665">
        <v>0</v>
      </c>
      <c r="N2764" s="1666">
        <v>1.8283961840617857</v>
      </c>
      <c r="O2764" s="1666"/>
    </row>
    <row r="2765" spans="11:15">
      <c r="K2765" s="1663">
        <v>44822</v>
      </c>
      <c r="L2765" s="1664"/>
      <c r="M2765" s="1665">
        <v>0</v>
      </c>
      <c r="N2765" s="1666">
        <v>1.8283961840617857</v>
      </c>
      <c r="O2765" s="1666"/>
    </row>
    <row r="2766" spans="11:15">
      <c r="K2766" s="1663">
        <v>44823</v>
      </c>
      <c r="L2766" s="1664" t="s">
        <v>2293</v>
      </c>
      <c r="M2766" s="1665">
        <v>4.9036999999999997E-2</v>
      </c>
      <c r="N2766" s="1666">
        <v>1.8292927746985643</v>
      </c>
      <c r="O2766" s="1666"/>
    </row>
    <row r="2767" spans="11:15">
      <c r="K2767" s="1663">
        <v>44824</v>
      </c>
      <c r="L2767" s="1664" t="s">
        <v>2293</v>
      </c>
      <c r="M2767" s="1665">
        <v>4.9036999999999997E-2</v>
      </c>
      <c r="N2767" s="1666">
        <v>1.8301898049964933</v>
      </c>
      <c r="O2767" s="1666"/>
    </row>
    <row r="2768" spans="11:15">
      <c r="K2768" s="1663">
        <v>44825</v>
      </c>
      <c r="L2768" s="1664" t="s">
        <v>2293</v>
      </c>
      <c r="M2768" s="1665">
        <v>4.9036999999999997E-2</v>
      </c>
      <c r="N2768" s="1666">
        <v>1.8310872751711695</v>
      </c>
      <c r="O2768" s="1666"/>
    </row>
    <row r="2769" spans="11:15">
      <c r="K2769" s="1663">
        <v>44826</v>
      </c>
      <c r="L2769" s="1664" t="s">
        <v>2293</v>
      </c>
      <c r="M2769" s="1665">
        <v>4.9036999999999997E-2</v>
      </c>
      <c r="N2769" s="1666">
        <v>1.8319851854382954</v>
      </c>
      <c r="O2769" s="1666"/>
    </row>
    <row r="2770" spans="11:15">
      <c r="K2770" s="1663">
        <v>44827</v>
      </c>
      <c r="L2770" s="1664" t="s">
        <v>2293</v>
      </c>
      <c r="M2770" s="1665">
        <v>4.9036999999999997E-2</v>
      </c>
      <c r="N2770" s="1666">
        <v>1.8328835360136788</v>
      </c>
      <c r="O2770" s="1666"/>
    </row>
    <row r="2771" spans="11:15">
      <c r="K2771" s="1663">
        <v>44828</v>
      </c>
      <c r="L2771" s="1664"/>
      <c r="M2771" s="1665">
        <v>0</v>
      </c>
      <c r="N2771" s="1666">
        <v>1.8328835360136788</v>
      </c>
      <c r="O2771" s="1666"/>
    </row>
    <row r="2772" spans="11:15">
      <c r="K2772" s="1663">
        <v>44829</v>
      </c>
      <c r="L2772" s="1664"/>
      <c r="M2772" s="1665">
        <v>0</v>
      </c>
      <c r="N2772" s="1666">
        <v>1.8328835360136788</v>
      </c>
      <c r="O2772" s="1666"/>
    </row>
    <row r="2773" spans="11:15">
      <c r="K2773" s="1663">
        <v>44830</v>
      </c>
      <c r="L2773" s="1664" t="s">
        <v>2293</v>
      </c>
      <c r="M2773" s="1665">
        <v>4.9036999999999997E-2</v>
      </c>
      <c r="N2773" s="1666">
        <v>1.8337823271132341</v>
      </c>
      <c r="O2773" s="1666"/>
    </row>
    <row r="2774" spans="11:15">
      <c r="K2774" s="1663">
        <v>44831</v>
      </c>
      <c r="L2774" s="1664" t="s">
        <v>2293</v>
      </c>
      <c r="M2774" s="1665">
        <v>4.9036999999999997E-2</v>
      </c>
      <c r="N2774" s="1666">
        <v>1.8346815589529808</v>
      </c>
      <c r="O2774" s="1666"/>
    </row>
    <row r="2775" spans="11:15">
      <c r="K2775" s="1663">
        <v>44832</v>
      </c>
      <c r="L2775" s="1664" t="s">
        <v>2293</v>
      </c>
      <c r="M2775" s="1665">
        <v>4.9036999999999997E-2</v>
      </c>
      <c r="N2775" s="1666">
        <v>1.8355812317490448</v>
      </c>
      <c r="O2775" s="1666"/>
    </row>
    <row r="2776" spans="11:15">
      <c r="K2776" s="1663">
        <v>44833</v>
      </c>
      <c r="L2776" s="1664" t="s">
        <v>2293</v>
      </c>
      <c r="M2776" s="1665">
        <v>4.9036999999999997E-2</v>
      </c>
      <c r="N2776" s="1666">
        <v>1.8364813457176576</v>
      </c>
      <c r="O2776" s="1666"/>
    </row>
    <row r="2777" spans="11:15">
      <c r="K2777" s="1663">
        <v>44834</v>
      </c>
      <c r="L2777" s="1664" t="s">
        <v>2293</v>
      </c>
      <c r="M2777" s="1665">
        <v>4.9036999999999997E-2</v>
      </c>
      <c r="N2777" s="1666">
        <v>1.8373819010751573</v>
      </c>
      <c r="O2777" s="1666"/>
    </row>
    <row r="2778" spans="11:15">
      <c r="K2778" s="1663">
        <v>44835</v>
      </c>
      <c r="L2778" s="1664"/>
      <c r="M2778" s="1665">
        <v>0</v>
      </c>
      <c r="N2778" s="1666">
        <v>1.8373819010751573</v>
      </c>
      <c r="O2778" s="1666"/>
    </row>
    <row r="2779" spans="11:15">
      <c r="K2779" s="1663">
        <v>44836</v>
      </c>
      <c r="L2779" s="1664"/>
      <c r="M2779" s="1665">
        <v>0</v>
      </c>
      <c r="N2779" s="1666">
        <v>1.8373819010751573</v>
      </c>
      <c r="O2779" s="1666"/>
    </row>
    <row r="2780" spans="11:15">
      <c r="K2780" s="1663">
        <v>44837</v>
      </c>
      <c r="L2780" s="1664" t="s">
        <v>2293</v>
      </c>
      <c r="M2780" s="1665">
        <v>4.9036999999999997E-2</v>
      </c>
      <c r="N2780" s="1666">
        <v>1.8382828980379877</v>
      </c>
      <c r="O2780" s="1666"/>
    </row>
    <row r="2781" spans="11:15">
      <c r="K2781" s="1663">
        <v>44838</v>
      </c>
      <c r="L2781" s="1664" t="s">
        <v>2293</v>
      </c>
      <c r="M2781" s="1665">
        <v>4.9036999999999997E-2</v>
      </c>
      <c r="N2781" s="1666">
        <v>1.8391843368226988</v>
      </c>
      <c r="O2781" s="1666"/>
    </row>
    <row r="2782" spans="11:15">
      <c r="K2782" s="1663">
        <v>44839</v>
      </c>
      <c r="L2782" s="1664" t="s">
        <v>2293</v>
      </c>
      <c r="M2782" s="1665">
        <v>4.9036999999999997E-2</v>
      </c>
      <c r="N2782" s="1666">
        <v>1.8400862176459467</v>
      </c>
      <c r="O2782" s="1666"/>
    </row>
    <row r="2783" spans="11:15">
      <c r="K2783" s="1663">
        <v>44840</v>
      </c>
      <c r="L2783" s="1664" t="s">
        <v>2293</v>
      </c>
      <c r="M2783" s="1665">
        <v>4.9036999999999997E-2</v>
      </c>
      <c r="N2783" s="1666">
        <v>1.8409885407244939</v>
      </c>
      <c r="O2783" s="1666"/>
    </row>
    <row r="2784" spans="11:15">
      <c r="K2784" s="1663">
        <v>44841</v>
      </c>
      <c r="L2784" s="1664" t="s">
        <v>2293</v>
      </c>
      <c r="M2784" s="1665">
        <v>4.9036999999999997E-2</v>
      </c>
      <c r="N2784" s="1666">
        <v>1.8418913062752091</v>
      </c>
      <c r="O2784" s="1666"/>
    </row>
    <row r="2785" spans="11:15">
      <c r="K2785" s="1663">
        <v>44842</v>
      </c>
      <c r="L2785" s="1664"/>
      <c r="M2785" s="1665">
        <v>0</v>
      </c>
      <c r="N2785" s="1666">
        <v>1.8418913062752091</v>
      </c>
      <c r="O2785" s="1666"/>
    </row>
    <row r="2786" spans="11:15">
      <c r="K2786" s="1663">
        <v>44843</v>
      </c>
      <c r="L2786" s="1664"/>
      <c r="M2786" s="1665">
        <v>0</v>
      </c>
      <c r="N2786" s="1666">
        <v>1.8418913062752091</v>
      </c>
      <c r="O2786" s="1666"/>
    </row>
    <row r="2787" spans="11:15">
      <c r="K2787" s="1663">
        <v>44844</v>
      </c>
      <c r="L2787" s="1664" t="s">
        <v>2293</v>
      </c>
      <c r="M2787" s="1665">
        <v>4.9036999999999997E-2</v>
      </c>
      <c r="N2787" s="1666">
        <v>1.8427945145150675</v>
      </c>
      <c r="O2787" s="1666"/>
    </row>
    <row r="2788" spans="11:15">
      <c r="K2788" s="1663">
        <v>44845</v>
      </c>
      <c r="L2788" s="1664" t="s">
        <v>2293</v>
      </c>
      <c r="M2788" s="1665">
        <v>4.9036999999999997E-2</v>
      </c>
      <c r="N2788" s="1666">
        <v>1.8436981656611504</v>
      </c>
      <c r="O2788" s="1666"/>
    </row>
    <row r="2789" spans="11:15">
      <c r="K2789" s="1663">
        <v>44846</v>
      </c>
      <c r="L2789" s="1664"/>
      <c r="M2789" s="1665">
        <v>0</v>
      </c>
      <c r="N2789" s="1666">
        <v>1.8436981656611504</v>
      </c>
      <c r="O2789" s="1666"/>
    </row>
    <row r="2790" spans="11:15">
      <c r="K2790" s="1663">
        <v>44847</v>
      </c>
      <c r="L2790" s="1664" t="s">
        <v>2293</v>
      </c>
      <c r="M2790" s="1665">
        <v>4.9036999999999997E-2</v>
      </c>
      <c r="N2790" s="1666">
        <v>1.8446022599306457</v>
      </c>
      <c r="O2790" s="1666"/>
    </row>
    <row r="2791" spans="11:15">
      <c r="K2791" s="1663">
        <v>44848</v>
      </c>
      <c r="L2791" s="1664" t="s">
        <v>2293</v>
      </c>
      <c r="M2791" s="1665">
        <v>4.9036999999999997E-2</v>
      </c>
      <c r="N2791" s="1666">
        <v>1.8455067975408481</v>
      </c>
      <c r="O2791" s="1666"/>
    </row>
    <row r="2792" spans="11:15">
      <c r="K2792" s="1663">
        <v>44849</v>
      </c>
      <c r="L2792" s="1664"/>
      <c r="M2792" s="1665">
        <v>0</v>
      </c>
      <c r="N2792" s="1666">
        <v>1.8455067975408481</v>
      </c>
      <c r="O2792" s="1666"/>
    </row>
    <row r="2793" spans="11:15">
      <c r="K2793" s="1663">
        <v>44850</v>
      </c>
      <c r="L2793" s="1664"/>
      <c r="M2793" s="1665">
        <v>0</v>
      </c>
      <c r="N2793" s="1666">
        <v>1.8455067975408481</v>
      </c>
      <c r="O2793" s="1666"/>
    </row>
    <row r="2794" spans="11:15">
      <c r="K2794" s="1663">
        <v>44851</v>
      </c>
      <c r="L2794" s="1664" t="s">
        <v>2293</v>
      </c>
      <c r="M2794" s="1665">
        <v>4.9036999999999997E-2</v>
      </c>
      <c r="N2794" s="1666">
        <v>1.8464117787091583</v>
      </c>
      <c r="O2794" s="1666"/>
    </row>
    <row r="2795" spans="11:15">
      <c r="K2795" s="1663">
        <v>44852</v>
      </c>
      <c r="L2795" s="1664" t="s">
        <v>2293</v>
      </c>
      <c r="M2795" s="1665">
        <v>4.9036999999999997E-2</v>
      </c>
      <c r="N2795" s="1666">
        <v>1.8473172036530841</v>
      </c>
      <c r="O2795" s="1666"/>
    </row>
    <row r="2796" spans="11:15">
      <c r="K2796" s="1663">
        <v>44853</v>
      </c>
      <c r="L2796" s="1664" t="s">
        <v>2293</v>
      </c>
      <c r="M2796" s="1665">
        <v>4.9036999999999997E-2</v>
      </c>
      <c r="N2796" s="1666">
        <v>1.8482230725902395</v>
      </c>
      <c r="O2796" s="1666"/>
    </row>
    <row r="2797" spans="11:15">
      <c r="K2797" s="1663">
        <v>44854</v>
      </c>
      <c r="L2797" s="1664" t="s">
        <v>2293</v>
      </c>
      <c r="M2797" s="1665">
        <v>4.9036999999999997E-2</v>
      </c>
      <c r="N2797" s="1666">
        <v>1.8491293857383457</v>
      </c>
      <c r="O2797" s="1666"/>
    </row>
    <row r="2798" spans="11:15">
      <c r="K2798" s="1663">
        <v>44855</v>
      </c>
      <c r="L2798" s="1664" t="s">
        <v>2293</v>
      </c>
      <c r="M2798" s="1665">
        <v>4.9036999999999997E-2</v>
      </c>
      <c r="N2798" s="1666">
        <v>1.8500361433152304</v>
      </c>
      <c r="O2798" s="1666"/>
    </row>
    <row r="2799" spans="11:15">
      <c r="K2799" s="1663">
        <v>44856</v>
      </c>
      <c r="L2799" s="1664"/>
      <c r="M2799" s="1665">
        <v>0</v>
      </c>
      <c r="N2799" s="1666">
        <v>1.8500361433152304</v>
      </c>
      <c r="O2799" s="1666"/>
    </row>
    <row r="2800" spans="11:15">
      <c r="K2800" s="1663">
        <v>44857</v>
      </c>
      <c r="L2800" s="1664"/>
      <c r="M2800" s="1665">
        <v>0</v>
      </c>
      <c r="N2800" s="1666">
        <v>1.8500361433152304</v>
      </c>
      <c r="O2800" s="1666"/>
    </row>
    <row r="2801" spans="11:15">
      <c r="K2801" s="1663">
        <v>44858</v>
      </c>
      <c r="L2801" s="1664" t="s">
        <v>2293</v>
      </c>
      <c r="M2801" s="1665">
        <v>4.9036999999999997E-2</v>
      </c>
      <c r="N2801" s="1666">
        <v>1.850943345538828</v>
      </c>
      <c r="O2801" s="1666"/>
    </row>
    <row r="2802" spans="11:15">
      <c r="K2802" s="1663">
        <v>44859</v>
      </c>
      <c r="L2802" s="1664" t="s">
        <v>2293</v>
      </c>
      <c r="M2802" s="1665">
        <v>4.9036999999999997E-2</v>
      </c>
      <c r="N2802" s="1666">
        <v>1.85185099262718</v>
      </c>
      <c r="O2802" s="1666"/>
    </row>
    <row r="2803" spans="11:15">
      <c r="K2803" s="1663">
        <v>44860</v>
      </c>
      <c r="L2803" s="1664" t="s">
        <v>2293</v>
      </c>
      <c r="M2803" s="1665">
        <v>4.9036999999999997E-2</v>
      </c>
      <c r="N2803" s="1666">
        <v>1.8527590847984348</v>
      </c>
      <c r="O2803" s="1666"/>
    </row>
    <row r="2804" spans="11:15">
      <c r="K2804" s="1663">
        <v>44861</v>
      </c>
      <c r="L2804" s="1664" t="s">
        <v>2293</v>
      </c>
      <c r="M2804" s="1665">
        <v>4.9036999999999997E-2</v>
      </c>
      <c r="N2804" s="1666">
        <v>1.8536676222708475</v>
      </c>
      <c r="O2804" s="1666"/>
    </row>
    <row r="2805" spans="11:15">
      <c r="K2805" s="1663">
        <v>44862</v>
      </c>
      <c r="L2805" s="1664" t="s">
        <v>2293</v>
      </c>
      <c r="M2805" s="1665">
        <v>4.9036999999999997E-2</v>
      </c>
      <c r="N2805" s="1666">
        <v>1.8545766052627806</v>
      </c>
      <c r="O2805" s="1666"/>
    </row>
    <row r="2806" spans="11:15">
      <c r="K2806" s="1663">
        <v>44863</v>
      </c>
      <c r="L2806" s="1664"/>
      <c r="M2806" s="1665">
        <v>0</v>
      </c>
      <c r="N2806" s="1666">
        <v>1.8545766052627806</v>
      </c>
      <c r="O2806" s="1666"/>
    </row>
    <row r="2807" spans="11:15">
      <c r="K2807" s="1663">
        <v>44864</v>
      </c>
      <c r="L2807" s="1664"/>
      <c r="M2807" s="1665">
        <v>0</v>
      </c>
      <c r="N2807" s="1666">
        <v>1.8545766052627806</v>
      </c>
      <c r="O2807" s="1666"/>
    </row>
    <row r="2808" spans="11:15">
      <c r="K2808" s="1663">
        <v>44865</v>
      </c>
      <c r="L2808" s="1664" t="s">
        <v>2293</v>
      </c>
      <c r="M2808" s="1665">
        <v>4.9036999999999997E-2</v>
      </c>
      <c r="N2808" s="1666">
        <v>1.8554860339927035</v>
      </c>
      <c r="O2808" s="1666"/>
    </row>
    <row r="2809" spans="11:15">
      <c r="K2809" s="1663">
        <v>44866</v>
      </c>
      <c r="L2809" s="1664" t="s">
        <v>2293</v>
      </c>
      <c r="M2809" s="1665">
        <v>4.9036999999999997E-2</v>
      </c>
      <c r="N2809" s="1666">
        <v>1.8563959086791926</v>
      </c>
      <c r="O2809" s="1666"/>
    </row>
    <row r="2810" spans="11:15">
      <c r="K2810" s="1663">
        <v>44867</v>
      </c>
      <c r="L2810" s="1664"/>
      <c r="M2810" s="1665">
        <v>0</v>
      </c>
      <c r="N2810" s="1666">
        <v>1.8563959086791926</v>
      </c>
      <c r="O2810" s="1666"/>
    </row>
    <row r="2811" spans="11:15">
      <c r="K2811" s="1663">
        <v>44868</v>
      </c>
      <c r="L2811" s="1664" t="s">
        <v>2293</v>
      </c>
      <c r="M2811" s="1665">
        <v>4.9036999999999997E-2</v>
      </c>
      <c r="N2811" s="1666">
        <v>1.8573062295409317</v>
      </c>
      <c r="O2811" s="1666"/>
    </row>
    <row r="2812" spans="11:15">
      <c r="K2812" s="1663">
        <v>44869</v>
      </c>
      <c r="L2812" s="1664" t="s">
        <v>2293</v>
      </c>
      <c r="M2812" s="1665">
        <v>4.9036999999999997E-2</v>
      </c>
      <c r="N2812" s="1666">
        <v>1.8582169967967119</v>
      </c>
      <c r="O2812" s="1666"/>
    </row>
    <row r="2813" spans="11:15">
      <c r="K2813" s="1663">
        <v>44870</v>
      </c>
      <c r="L2813" s="1664"/>
      <c r="M2813" s="1665">
        <v>0</v>
      </c>
      <c r="N2813" s="1666">
        <v>1.8582169967967119</v>
      </c>
      <c r="O2813" s="1666"/>
    </row>
    <row r="2814" spans="11:15">
      <c r="K2814" s="1663">
        <v>44871</v>
      </c>
      <c r="L2814" s="1664"/>
      <c r="M2814" s="1665">
        <v>0</v>
      </c>
      <c r="N2814" s="1666">
        <v>1.8582169967967119</v>
      </c>
      <c r="O2814" s="1666"/>
    </row>
    <row r="2815" spans="11:15">
      <c r="K2815" s="1663">
        <v>44872</v>
      </c>
      <c r="L2815" s="1664" t="s">
        <v>2293</v>
      </c>
      <c r="M2815" s="1665">
        <v>4.9036999999999997E-2</v>
      </c>
      <c r="N2815" s="1666">
        <v>1.8591282106654312</v>
      </c>
      <c r="O2815" s="1666"/>
    </row>
    <row r="2816" spans="11:15">
      <c r="K2816" s="1663">
        <v>44873</v>
      </c>
      <c r="L2816" s="1664" t="s">
        <v>2293</v>
      </c>
      <c r="M2816" s="1665">
        <v>4.9036999999999997E-2</v>
      </c>
      <c r="N2816" s="1666">
        <v>1.8600398713660953</v>
      </c>
      <c r="O2816" s="1666"/>
    </row>
    <row r="2817" spans="11:15">
      <c r="K2817" s="1663">
        <v>44874</v>
      </c>
      <c r="L2817" s="1664" t="s">
        <v>2293</v>
      </c>
      <c r="M2817" s="1665">
        <v>4.9036999999999997E-2</v>
      </c>
      <c r="N2817" s="1666">
        <v>1.8609519791178173</v>
      </c>
      <c r="O2817" s="1666"/>
    </row>
    <row r="2818" spans="11:15">
      <c r="K2818" s="1663">
        <v>44875</v>
      </c>
      <c r="L2818" s="1664" t="s">
        <v>2293</v>
      </c>
      <c r="M2818" s="1665">
        <v>4.9036999999999997E-2</v>
      </c>
      <c r="N2818" s="1666">
        <v>1.8618645341398175</v>
      </c>
      <c r="O2818" s="1666"/>
    </row>
    <row r="2819" spans="11:15">
      <c r="K2819" s="1663">
        <v>44876</v>
      </c>
      <c r="L2819" s="1664" t="s">
        <v>2293</v>
      </c>
      <c r="M2819" s="1665">
        <v>4.9036999999999997E-2</v>
      </c>
      <c r="N2819" s="1666">
        <v>1.8627775366514236</v>
      </c>
      <c r="O2819" s="1666"/>
    </row>
    <row r="2820" spans="11:15">
      <c r="K2820" s="1663">
        <v>44877</v>
      </c>
      <c r="L2820" s="1664"/>
      <c r="M2820" s="1665">
        <v>0</v>
      </c>
      <c r="N2820" s="1666">
        <v>1.8627775366514236</v>
      </c>
      <c r="O2820" s="1666"/>
    </row>
    <row r="2821" spans="11:15">
      <c r="K2821" s="1663">
        <v>44878</v>
      </c>
      <c r="L2821" s="1664"/>
      <c r="M2821" s="1665">
        <v>0</v>
      </c>
      <c r="N2821" s="1666">
        <v>1.8627775366514236</v>
      </c>
      <c r="O2821" s="1666"/>
    </row>
    <row r="2822" spans="11:15">
      <c r="K2822" s="1663">
        <v>44879</v>
      </c>
      <c r="L2822" s="1664" t="s">
        <v>2293</v>
      </c>
      <c r="M2822" s="1665">
        <v>4.9036999999999997E-2</v>
      </c>
      <c r="N2822" s="1666">
        <v>1.8636909868720715</v>
      </c>
      <c r="O2822" s="1666"/>
    </row>
    <row r="2823" spans="11:15">
      <c r="K2823" s="1663">
        <v>44880</v>
      </c>
      <c r="L2823" s="1664"/>
      <c r="M2823" s="1665">
        <v>0</v>
      </c>
      <c r="N2823" s="1666">
        <v>1.8636909868720715</v>
      </c>
      <c r="O2823" s="1666"/>
    </row>
    <row r="2824" spans="11:15">
      <c r="K2824" s="1663">
        <v>44881</v>
      </c>
      <c r="L2824" s="1664" t="s">
        <v>2293</v>
      </c>
      <c r="M2824" s="1665">
        <v>4.9036999999999997E-2</v>
      </c>
      <c r="N2824" s="1666">
        <v>1.8646048850213039</v>
      </c>
      <c r="O2824" s="1666"/>
    </row>
    <row r="2825" spans="11:15">
      <c r="K2825" s="1663">
        <v>44882</v>
      </c>
      <c r="L2825" s="1664" t="s">
        <v>2293</v>
      </c>
      <c r="M2825" s="1665">
        <v>4.9036999999999997E-2</v>
      </c>
      <c r="N2825" s="1666">
        <v>1.8655192313187721</v>
      </c>
      <c r="O2825" s="1666"/>
    </row>
    <row r="2826" spans="11:15">
      <c r="K2826" s="1663">
        <v>44883</v>
      </c>
      <c r="L2826" s="1664" t="s">
        <v>2293</v>
      </c>
      <c r="M2826" s="1665">
        <v>4.9036999999999997E-2</v>
      </c>
      <c r="N2826" s="1666">
        <v>1.866434025984234</v>
      </c>
      <c r="O2826" s="1666"/>
    </row>
    <row r="2827" spans="11:15">
      <c r="K2827" s="1663">
        <v>44884</v>
      </c>
      <c r="L2827" s="1664"/>
      <c r="M2827" s="1665">
        <v>0</v>
      </c>
      <c r="N2827" s="1666">
        <v>1.866434025984234</v>
      </c>
      <c r="O2827" s="1666"/>
    </row>
    <row r="2828" spans="11:15">
      <c r="K2828" s="1663">
        <v>44885</v>
      </c>
      <c r="L2828" s="1664"/>
      <c r="M2828" s="1665">
        <v>0</v>
      </c>
      <c r="N2828" s="1666">
        <v>1.866434025984234</v>
      </c>
      <c r="O2828" s="1666"/>
    </row>
    <row r="2829" spans="11:15">
      <c r="K2829" s="1663">
        <v>44886</v>
      </c>
      <c r="L2829" s="1664" t="s">
        <v>2293</v>
      </c>
      <c r="M2829" s="1665">
        <v>4.9036999999999997E-2</v>
      </c>
      <c r="N2829" s="1666">
        <v>1.867349269237556</v>
      </c>
      <c r="O2829" s="1666"/>
    </row>
    <row r="2830" spans="11:15">
      <c r="K2830" s="1663">
        <v>44887</v>
      </c>
      <c r="L2830" s="1664" t="s">
        <v>2293</v>
      </c>
      <c r="M2830" s="1665">
        <v>4.9036999999999997E-2</v>
      </c>
      <c r="N2830" s="1666">
        <v>1.8682649612987121</v>
      </c>
      <c r="O2830" s="1666"/>
    </row>
    <row r="2831" spans="11:15">
      <c r="K2831" s="1663">
        <v>44888</v>
      </c>
      <c r="L2831" s="1664" t="s">
        <v>2293</v>
      </c>
      <c r="M2831" s="1665">
        <v>4.9036999999999997E-2</v>
      </c>
      <c r="N2831" s="1666">
        <v>1.8691811023877842</v>
      </c>
      <c r="O2831" s="1666"/>
    </row>
    <row r="2832" spans="11:15">
      <c r="K2832" s="1663">
        <v>44889</v>
      </c>
      <c r="L2832" s="1664" t="s">
        <v>2293</v>
      </c>
      <c r="M2832" s="1665">
        <v>4.9036999999999997E-2</v>
      </c>
      <c r="N2832" s="1666">
        <v>1.8700976927249622</v>
      </c>
      <c r="O2832" s="1666"/>
    </row>
    <row r="2833" spans="11:15">
      <c r="K2833" s="1663">
        <v>44890</v>
      </c>
      <c r="L2833" s="1664" t="s">
        <v>2293</v>
      </c>
      <c r="M2833" s="1665">
        <v>4.9036999999999997E-2</v>
      </c>
      <c r="N2833" s="1666">
        <v>1.871014732530544</v>
      </c>
      <c r="O2833" s="1666"/>
    </row>
    <row r="2834" spans="11:15">
      <c r="K2834" s="1663">
        <v>44891</v>
      </c>
      <c r="L2834" s="1664"/>
      <c r="M2834" s="1665">
        <v>0</v>
      </c>
      <c r="N2834" s="1666">
        <v>1.871014732530544</v>
      </c>
      <c r="O2834" s="1666"/>
    </row>
    <row r="2835" spans="11:15">
      <c r="K2835" s="1663">
        <v>44892</v>
      </c>
      <c r="L2835" s="1664"/>
      <c r="M2835" s="1665">
        <v>0</v>
      </c>
      <c r="N2835" s="1666">
        <v>1.871014732530544</v>
      </c>
      <c r="O2835" s="1666"/>
    </row>
    <row r="2836" spans="11:15">
      <c r="K2836" s="1663">
        <v>44893</v>
      </c>
      <c r="L2836" s="1664" t="s">
        <v>2293</v>
      </c>
      <c r="M2836" s="1665">
        <v>4.9036999999999997E-2</v>
      </c>
      <c r="N2836" s="1666">
        <v>1.871932222024935</v>
      </c>
      <c r="O2836" s="1666"/>
    </row>
    <row r="2837" spans="11:15">
      <c r="K2837" s="1663">
        <v>44894</v>
      </c>
      <c r="L2837" s="1664" t="s">
        <v>2293</v>
      </c>
      <c r="M2837" s="1665">
        <v>4.9036999999999997E-2</v>
      </c>
      <c r="N2837" s="1666">
        <v>1.8728501614286495</v>
      </c>
      <c r="O2837" s="1666"/>
    </row>
    <row r="2838" spans="11:15">
      <c r="K2838" s="1663">
        <v>44895</v>
      </c>
      <c r="L2838" s="1664" t="s">
        <v>2293</v>
      </c>
      <c r="M2838" s="1665">
        <v>4.9036999999999997E-2</v>
      </c>
      <c r="N2838" s="1666">
        <v>1.8737685509623094</v>
      </c>
      <c r="O2838" s="1666"/>
    </row>
    <row r="2839" spans="11:15">
      <c r="K2839" s="1663">
        <v>44896</v>
      </c>
      <c r="L2839" s="1664" t="s">
        <v>2293</v>
      </c>
      <c r="M2839" s="1665">
        <v>4.9036999999999997E-2</v>
      </c>
      <c r="N2839" s="1666">
        <v>1.874687390846645</v>
      </c>
      <c r="O2839" s="1666"/>
    </row>
    <row r="2840" spans="11:15">
      <c r="K2840" s="1663">
        <v>44897</v>
      </c>
      <c r="L2840" s="1664" t="s">
        <v>2293</v>
      </c>
      <c r="M2840" s="1665">
        <v>4.9036999999999997E-2</v>
      </c>
      <c r="N2840" s="1666">
        <v>1.8756066813024947</v>
      </c>
      <c r="O2840" s="1666"/>
    </row>
    <row r="2841" spans="11:15">
      <c r="K2841" s="1663">
        <v>44898</v>
      </c>
      <c r="L2841" s="1664"/>
      <c r="M2841" s="1665">
        <v>0</v>
      </c>
      <c r="N2841" s="1666">
        <v>1.8756066813024947</v>
      </c>
      <c r="O2841" s="1666"/>
    </row>
    <row r="2842" spans="11:15">
      <c r="K2842" s="1663">
        <v>44899</v>
      </c>
      <c r="L2842" s="1664"/>
      <c r="M2842" s="1665">
        <v>0</v>
      </c>
      <c r="N2842" s="1666">
        <v>1.8756066813024947</v>
      </c>
      <c r="O2842" s="1666"/>
    </row>
    <row r="2843" spans="11:15">
      <c r="K2843" s="1663">
        <v>44900</v>
      </c>
      <c r="L2843" s="1664" t="s">
        <v>2293</v>
      </c>
      <c r="M2843" s="1665">
        <v>4.9036999999999997E-2</v>
      </c>
      <c r="N2843" s="1666">
        <v>1.8765264225508052</v>
      </c>
      <c r="O2843" s="1666"/>
    </row>
    <row r="2844" spans="11:15">
      <c r="K2844" s="1663">
        <v>44901</v>
      </c>
      <c r="L2844" s="1664" t="s">
        <v>2293</v>
      </c>
      <c r="M2844" s="1665">
        <v>4.9036999999999997E-2</v>
      </c>
      <c r="N2844" s="1666">
        <v>1.8774466148126314</v>
      </c>
      <c r="O2844" s="1666"/>
    </row>
    <row r="2845" spans="11:15">
      <c r="K2845" s="1663">
        <v>44902</v>
      </c>
      <c r="L2845" s="1664" t="s">
        <v>2293</v>
      </c>
      <c r="M2845" s="1665">
        <v>4.9036999999999997E-2</v>
      </c>
      <c r="N2845" s="1666">
        <v>1.8783672583091373</v>
      </c>
      <c r="O2845" s="1666"/>
    </row>
    <row r="2846" spans="11:15">
      <c r="K2846" s="1663">
        <v>44903</v>
      </c>
      <c r="L2846" s="1664" t="s">
        <v>2293</v>
      </c>
      <c r="M2846" s="1665">
        <v>4.9036999999999997E-2</v>
      </c>
      <c r="N2846" s="1666">
        <v>1.8792883532615945</v>
      </c>
      <c r="O2846" s="1666"/>
    </row>
    <row r="2847" spans="11:15">
      <c r="K2847" s="1663">
        <v>44904</v>
      </c>
      <c r="L2847" s="1664" t="s">
        <v>2293</v>
      </c>
      <c r="M2847" s="1665">
        <v>4.9036999999999997E-2</v>
      </c>
      <c r="N2847" s="1666">
        <v>1.8802098998913834</v>
      </c>
      <c r="O2847" s="1666"/>
    </row>
    <row r="2848" spans="11:15">
      <c r="K2848" s="1663">
        <v>44905</v>
      </c>
      <c r="L2848" s="1664"/>
      <c r="M2848" s="1665">
        <v>0</v>
      </c>
      <c r="N2848" s="1666">
        <v>1.8802098998913834</v>
      </c>
      <c r="O2848" s="1666"/>
    </row>
    <row r="2849" spans="11:15">
      <c r="K2849" s="1663">
        <v>44906</v>
      </c>
      <c r="L2849" s="1664"/>
      <c r="M2849" s="1665">
        <v>0</v>
      </c>
      <c r="N2849" s="1666">
        <v>1.8802098998913834</v>
      </c>
      <c r="O2849" s="1666"/>
    </row>
    <row r="2850" spans="11:15">
      <c r="K2850" s="1663">
        <v>44907</v>
      </c>
      <c r="L2850" s="1664" t="s">
        <v>2293</v>
      </c>
      <c r="M2850" s="1665">
        <v>4.9036999999999997E-2</v>
      </c>
      <c r="N2850" s="1666">
        <v>1.8811318984199934</v>
      </c>
      <c r="O2850" s="1666"/>
    </row>
    <row r="2851" spans="11:15">
      <c r="K2851" s="1663">
        <v>44908</v>
      </c>
      <c r="L2851" s="1664" t="s">
        <v>2293</v>
      </c>
      <c r="M2851" s="1665">
        <v>4.9036999999999997E-2</v>
      </c>
      <c r="N2851" s="1666">
        <v>1.8820543490690218</v>
      </c>
      <c r="O2851" s="1666"/>
    </row>
    <row r="2852" spans="11:15">
      <c r="K2852" s="1663">
        <v>44909</v>
      </c>
      <c r="L2852" s="1664" t="s">
        <v>2293</v>
      </c>
      <c r="M2852" s="1665">
        <v>4.9036999999999997E-2</v>
      </c>
      <c r="N2852" s="1666">
        <v>1.8829772520601749</v>
      </c>
      <c r="O2852" s="1666"/>
    </row>
    <row r="2853" spans="11:15">
      <c r="K2853" s="1663">
        <v>44910</v>
      </c>
      <c r="L2853" s="1664" t="s">
        <v>2293</v>
      </c>
      <c r="M2853" s="1665">
        <v>4.9036999999999997E-2</v>
      </c>
      <c r="N2853" s="1666">
        <v>1.8839006076152678</v>
      </c>
      <c r="O2853" s="1666"/>
    </row>
    <row r="2854" spans="11:15">
      <c r="K2854" s="1663">
        <v>44911</v>
      </c>
      <c r="L2854" s="1664" t="s">
        <v>2293</v>
      </c>
      <c r="M2854" s="1665">
        <v>4.9036999999999997E-2</v>
      </c>
      <c r="N2854" s="1666">
        <v>1.8848244159562242</v>
      </c>
      <c r="O2854" s="1666"/>
    </row>
    <row r="2855" spans="11:15">
      <c r="K2855" s="1663">
        <v>44912</v>
      </c>
      <c r="L2855" s="1664"/>
      <c r="M2855" s="1665">
        <v>0</v>
      </c>
      <c r="N2855" s="1666">
        <v>1.8848244159562242</v>
      </c>
      <c r="O2855" s="1666"/>
    </row>
    <row r="2856" spans="11:15">
      <c r="K2856" s="1663">
        <v>44913</v>
      </c>
      <c r="L2856" s="1664"/>
      <c r="M2856" s="1665">
        <v>0</v>
      </c>
      <c r="N2856" s="1666">
        <v>1.8848244159562242</v>
      </c>
      <c r="O2856" s="1666"/>
    </row>
    <row r="2857" spans="11:15">
      <c r="K2857" s="1663">
        <v>44914</v>
      </c>
      <c r="L2857" s="1664" t="s">
        <v>2293</v>
      </c>
      <c r="M2857" s="1665">
        <v>4.9036999999999997E-2</v>
      </c>
      <c r="N2857" s="1666">
        <v>1.8857486773050767</v>
      </c>
      <c r="O2857" s="1666"/>
    </row>
    <row r="2858" spans="11:15">
      <c r="K2858" s="1663">
        <v>44915</v>
      </c>
      <c r="L2858" s="1664" t="s">
        <v>2293</v>
      </c>
      <c r="M2858" s="1665">
        <v>4.9036999999999997E-2</v>
      </c>
      <c r="N2858" s="1666">
        <v>1.8866733918839669</v>
      </c>
      <c r="O2858" s="1666"/>
    </row>
    <row r="2859" spans="11:15">
      <c r="K2859" s="1663">
        <v>44916</v>
      </c>
      <c r="L2859" s="1664" t="s">
        <v>2293</v>
      </c>
      <c r="M2859" s="1665">
        <v>4.9036999999999997E-2</v>
      </c>
      <c r="N2859" s="1666">
        <v>1.8875985599151452</v>
      </c>
      <c r="O2859" s="1666"/>
    </row>
    <row r="2860" spans="11:15">
      <c r="K2860" s="1663">
        <v>44917</v>
      </c>
      <c r="L2860" s="1664" t="s">
        <v>2293</v>
      </c>
      <c r="M2860" s="1665">
        <v>4.9036999999999997E-2</v>
      </c>
      <c r="N2860" s="1666">
        <v>1.888524181620971</v>
      </c>
      <c r="O2860" s="1666"/>
    </row>
    <row r="2861" spans="11:15">
      <c r="K2861" s="1663">
        <v>44918</v>
      </c>
      <c r="L2861" s="1664" t="s">
        <v>2293</v>
      </c>
      <c r="M2861" s="1665">
        <v>4.9036999999999997E-2</v>
      </c>
      <c r="N2861" s="1666">
        <v>1.8894502572239127</v>
      </c>
      <c r="O2861" s="1666"/>
    </row>
    <row r="2862" spans="11:15">
      <c r="K2862" s="1663">
        <v>44919</v>
      </c>
      <c r="L2862" s="1664"/>
      <c r="M2862" s="1665">
        <v>0</v>
      </c>
      <c r="N2862" s="1666">
        <v>1.8894502572239127</v>
      </c>
      <c r="O2862" s="1666"/>
    </row>
    <row r="2863" spans="11:15">
      <c r="K2863" s="1663">
        <v>44920</v>
      </c>
      <c r="L2863" s="1664"/>
      <c r="M2863" s="1665">
        <v>0</v>
      </c>
      <c r="N2863" s="1666">
        <v>1.8894502572239127</v>
      </c>
      <c r="O2863" s="1666"/>
    </row>
    <row r="2864" spans="11:15">
      <c r="K2864" s="1663">
        <v>44921</v>
      </c>
      <c r="L2864" s="1664" t="s">
        <v>2293</v>
      </c>
      <c r="M2864" s="1665">
        <v>4.9036999999999997E-2</v>
      </c>
      <c r="N2864" s="1666">
        <v>1.8903767869465478</v>
      </c>
      <c r="O2864" s="1666"/>
    </row>
    <row r="2865" spans="11:15">
      <c r="K2865" s="1663">
        <v>44922</v>
      </c>
      <c r="L2865" s="1664" t="s">
        <v>2293</v>
      </c>
      <c r="M2865" s="1665">
        <v>4.9036999999999997E-2</v>
      </c>
      <c r="N2865" s="1666">
        <v>1.8913037710115628</v>
      </c>
      <c r="O2865" s="1666"/>
    </row>
    <row r="2866" spans="11:15">
      <c r="K2866" s="1663">
        <v>44923</v>
      </c>
      <c r="L2866" s="1664" t="s">
        <v>2293</v>
      </c>
      <c r="M2866" s="1665">
        <v>4.9036999999999997E-2</v>
      </c>
      <c r="N2866" s="1666">
        <v>1.892231209641754</v>
      </c>
      <c r="O2866" s="1666"/>
    </row>
    <row r="2867" spans="11:15">
      <c r="K2867" s="1663">
        <v>44924</v>
      </c>
      <c r="L2867" s="1664" t="s">
        <v>2293</v>
      </c>
      <c r="M2867" s="1665">
        <v>4.9036999999999997E-2</v>
      </c>
      <c r="N2867" s="1666">
        <v>1.8931591030600261</v>
      </c>
      <c r="O2867" s="1666"/>
    </row>
    <row r="2868" spans="11:15">
      <c r="K2868" s="1663">
        <v>44925</v>
      </c>
      <c r="L2868" s="1664" t="s">
        <v>2293</v>
      </c>
      <c r="M2868" s="1665">
        <v>4.9036999999999997E-2</v>
      </c>
      <c r="N2868" s="1666">
        <v>1.8940874514893937</v>
      </c>
      <c r="O2868" s="1666"/>
    </row>
    <row r="2869" spans="11:15">
      <c r="K2869" s="1663">
        <v>44926</v>
      </c>
      <c r="L2869" s="1664"/>
      <c r="M2869" s="1665">
        <v>0</v>
      </c>
      <c r="N2869" s="1666">
        <v>1.8940874514893937</v>
      </c>
      <c r="O2869" s="1666"/>
    </row>
    <row r="2870" spans="11:15">
      <c r="K2870" s="1663">
        <v>44927</v>
      </c>
      <c r="L2870" s="1664"/>
      <c r="M2870" s="1665">
        <v>0</v>
      </c>
      <c r="N2870" s="1666">
        <v>1.8940874514893937</v>
      </c>
      <c r="O2870" s="1666"/>
    </row>
    <row r="2871" spans="11:15">
      <c r="K2871" s="1663">
        <v>44928</v>
      </c>
      <c r="L2871" s="1664" t="s">
        <v>2293</v>
      </c>
      <c r="M2871" s="1665">
        <v>4.9036999999999997E-2</v>
      </c>
      <c r="N2871" s="1666">
        <v>1.8950162551529808</v>
      </c>
      <c r="O2871" s="1666"/>
    </row>
    <row r="2872" spans="11:15">
      <c r="K2872" s="1663">
        <v>44929</v>
      </c>
      <c r="L2872" s="1664" t="s">
        <v>2293</v>
      </c>
      <c r="M2872" s="1665">
        <v>4.9036999999999997E-2</v>
      </c>
      <c r="N2872" s="1666">
        <v>1.8959455142740202</v>
      </c>
      <c r="O2872" s="1666"/>
    </row>
    <row r="2873" spans="11:15">
      <c r="K2873" s="1663">
        <v>44930</v>
      </c>
      <c r="L2873" s="1664" t="s">
        <v>2293</v>
      </c>
      <c r="M2873" s="1665">
        <v>4.9036999999999997E-2</v>
      </c>
      <c r="N2873" s="1666">
        <v>1.896875229075855</v>
      </c>
      <c r="O2873" s="1666"/>
    </row>
    <row r="2874" spans="11:15">
      <c r="K2874" s="1663">
        <v>44931</v>
      </c>
      <c r="L2874" s="1664" t="s">
        <v>2293</v>
      </c>
      <c r="M2874" s="1665">
        <v>4.9036999999999997E-2</v>
      </c>
      <c r="N2874" s="1666">
        <v>1.8978053997819371</v>
      </c>
      <c r="O2874" s="1666"/>
    </row>
    <row r="2875" spans="11:15">
      <c r="K2875" s="1663">
        <v>44932</v>
      </c>
      <c r="L2875" s="1664" t="s">
        <v>2293</v>
      </c>
      <c r="M2875" s="1665">
        <v>4.9036999999999997E-2</v>
      </c>
      <c r="N2875" s="1666">
        <v>1.8987360266158282</v>
      </c>
      <c r="O2875" s="1666"/>
    </row>
    <row r="2876" spans="11:15">
      <c r="K2876" s="1663">
        <v>44933</v>
      </c>
      <c r="L2876" s="1664"/>
      <c r="M2876" s="1665">
        <v>0</v>
      </c>
      <c r="N2876" s="1666">
        <v>1.8987360266158282</v>
      </c>
      <c r="O2876" s="1666"/>
    </row>
    <row r="2877" spans="11:15">
      <c r="K2877" s="1663">
        <v>44934</v>
      </c>
      <c r="L2877" s="1664"/>
      <c r="M2877" s="1665">
        <v>0</v>
      </c>
      <c r="N2877" s="1666">
        <v>1.8987360266158282</v>
      </c>
      <c r="O2877" s="1666"/>
    </row>
    <row r="2878" spans="11:15">
      <c r="K2878" s="1663">
        <v>44935</v>
      </c>
      <c r="L2878" s="1664" t="s">
        <v>2293</v>
      </c>
      <c r="M2878" s="1665">
        <v>4.9036999999999997E-2</v>
      </c>
      <c r="N2878" s="1666">
        <v>1.8996671098011999</v>
      </c>
      <c r="O2878" s="1666"/>
    </row>
    <row r="2879" spans="11:15">
      <c r="K2879" s="1663">
        <v>44936</v>
      </c>
      <c r="L2879" s="1664" t="s">
        <v>2293</v>
      </c>
      <c r="M2879" s="1665">
        <v>4.9036999999999997E-2</v>
      </c>
      <c r="N2879" s="1666">
        <v>1.9005986495618332</v>
      </c>
      <c r="O2879" s="1666"/>
    </row>
    <row r="2880" spans="11:15">
      <c r="K2880" s="1663">
        <v>44937</v>
      </c>
      <c r="L2880" s="1664" t="s">
        <v>2293</v>
      </c>
      <c r="M2880" s="1665">
        <v>4.9036999999999997E-2</v>
      </c>
      <c r="N2880" s="1666">
        <v>1.901530646121619</v>
      </c>
      <c r="O2880" s="1666"/>
    </row>
    <row r="2881" spans="11:15">
      <c r="K2881" s="1663">
        <v>44938</v>
      </c>
      <c r="L2881" s="1664" t="s">
        <v>2293</v>
      </c>
      <c r="M2881" s="1665">
        <v>4.9036999999999997E-2</v>
      </c>
      <c r="N2881" s="1666">
        <v>1.9024630997045577</v>
      </c>
      <c r="O2881" s="1666"/>
    </row>
    <row r="2882" spans="11:15">
      <c r="K2882" s="1663">
        <v>44939</v>
      </c>
      <c r="L2882" s="1664" t="s">
        <v>2293</v>
      </c>
      <c r="M2882" s="1665">
        <v>4.9036999999999997E-2</v>
      </c>
      <c r="N2882" s="1666">
        <v>1.90339601053476</v>
      </c>
      <c r="O2882" s="1666"/>
    </row>
    <row r="2883" spans="11:15">
      <c r="K2883" s="1663">
        <v>44940</v>
      </c>
      <c r="L2883" s="1664"/>
      <c r="M2883" s="1665">
        <v>0</v>
      </c>
      <c r="N2883" s="1666">
        <v>1.90339601053476</v>
      </c>
      <c r="O2883" s="1666"/>
    </row>
    <row r="2884" spans="11:15">
      <c r="K2884" s="1663">
        <v>44941</v>
      </c>
      <c r="L2884" s="1664"/>
      <c r="M2884" s="1665">
        <v>0</v>
      </c>
      <c r="N2884" s="1666">
        <v>1.90339601053476</v>
      </c>
      <c r="O2884" s="1666"/>
    </row>
    <row r="2885" spans="11:15">
      <c r="K2885" s="1663">
        <v>44942</v>
      </c>
      <c r="L2885" s="1664" t="s">
        <v>2293</v>
      </c>
      <c r="M2885" s="1665">
        <v>4.9036999999999997E-2</v>
      </c>
      <c r="N2885" s="1666">
        <v>1.9043293788364462</v>
      </c>
      <c r="O2885" s="1666"/>
    </row>
    <row r="2886" spans="11:15">
      <c r="K2886" s="1663">
        <v>44943</v>
      </c>
      <c r="L2886" s="1664" t="s">
        <v>2293</v>
      </c>
      <c r="M2886" s="1665">
        <v>4.9036999999999997E-2</v>
      </c>
      <c r="N2886" s="1666">
        <v>1.9052632048339464</v>
      </c>
      <c r="O2886" s="1666"/>
    </row>
    <row r="2887" spans="11:15">
      <c r="K2887" s="1663">
        <v>44944</v>
      </c>
      <c r="L2887" s="1664" t="s">
        <v>2293</v>
      </c>
      <c r="M2887" s="1665">
        <v>4.9036999999999997E-2</v>
      </c>
      <c r="N2887" s="1666">
        <v>1.906197488751701</v>
      </c>
      <c r="O2887" s="1666"/>
    </row>
    <row r="2888" spans="11:15">
      <c r="K2888" s="1663">
        <v>44945</v>
      </c>
      <c r="L2888" s="1664" t="s">
        <v>2293</v>
      </c>
      <c r="M2888" s="1665">
        <v>4.9036999999999997E-2</v>
      </c>
      <c r="N2888" s="1666">
        <v>1.9071322308142604</v>
      </c>
      <c r="O2888" s="1666"/>
    </row>
    <row r="2889" spans="11:15">
      <c r="K2889" s="1663">
        <v>44946</v>
      </c>
      <c r="L2889" s="1664" t="s">
        <v>2293</v>
      </c>
      <c r="M2889" s="1665">
        <v>4.9036999999999997E-2</v>
      </c>
      <c r="N2889" s="1666">
        <v>1.9080674312462849</v>
      </c>
      <c r="O2889" s="1666"/>
    </row>
    <row r="2890" spans="11:15">
      <c r="K2890" s="1663">
        <v>44947</v>
      </c>
      <c r="L2890" s="1664"/>
      <c r="M2890" s="1665">
        <v>0</v>
      </c>
      <c r="N2890" s="1666">
        <v>1.9080674312462849</v>
      </c>
      <c r="O2890" s="1666"/>
    </row>
    <row r="2891" spans="11:15">
      <c r="K2891" s="1663">
        <v>44948</v>
      </c>
      <c r="L2891" s="1664"/>
      <c r="M2891" s="1665">
        <v>0</v>
      </c>
      <c r="N2891" s="1666">
        <v>1.9080674312462849</v>
      </c>
      <c r="O2891" s="1666"/>
    </row>
    <row r="2892" spans="11:15">
      <c r="K2892" s="1663">
        <v>44949</v>
      </c>
      <c r="L2892" s="1664" t="s">
        <v>2293</v>
      </c>
      <c r="M2892" s="1665">
        <v>4.9036999999999997E-2</v>
      </c>
      <c r="N2892" s="1666">
        <v>1.9090030902725452</v>
      </c>
      <c r="O2892" s="1666"/>
    </row>
    <row r="2893" spans="11:15">
      <c r="K2893" s="1663">
        <v>44950</v>
      </c>
      <c r="L2893" s="1664" t="s">
        <v>2293</v>
      </c>
      <c r="M2893" s="1665">
        <v>4.9036999999999997E-2</v>
      </c>
      <c r="N2893" s="1666">
        <v>1.9099392081179223</v>
      </c>
      <c r="O2893" s="1666"/>
    </row>
    <row r="2894" spans="11:15">
      <c r="K2894" s="1663">
        <v>44951</v>
      </c>
      <c r="L2894" s="1664" t="s">
        <v>2293</v>
      </c>
      <c r="M2894" s="1665">
        <v>4.9036999999999997E-2</v>
      </c>
      <c r="N2894" s="1666">
        <v>1.9108757850074072</v>
      </c>
      <c r="O2894" s="1666"/>
    </row>
    <row r="2895" spans="11:15">
      <c r="K2895" s="1663">
        <v>44952</v>
      </c>
      <c r="L2895" s="1664" t="s">
        <v>2293</v>
      </c>
      <c r="M2895" s="1665">
        <v>4.9036999999999997E-2</v>
      </c>
      <c r="N2895" s="1666">
        <v>1.9118128211661014</v>
      </c>
      <c r="O2895" s="1666"/>
    </row>
    <row r="2896" spans="11:15">
      <c r="K2896" s="1663">
        <v>44953</v>
      </c>
      <c r="L2896" s="1664" t="s">
        <v>2293</v>
      </c>
      <c r="M2896" s="1665">
        <v>4.9036999999999997E-2</v>
      </c>
      <c r="N2896" s="1666">
        <v>1.9127503168192168</v>
      </c>
      <c r="O2896" s="1666"/>
    </row>
    <row r="2897" spans="11:15">
      <c r="K2897" s="1663">
        <v>44954</v>
      </c>
      <c r="L2897" s="1664"/>
      <c r="M2897" s="1665">
        <v>0</v>
      </c>
      <c r="N2897" s="1666">
        <v>1.9127503168192168</v>
      </c>
      <c r="O2897" s="1666"/>
    </row>
    <row r="2898" spans="11:15">
      <c r="K2898" s="1663">
        <v>44955</v>
      </c>
      <c r="L2898" s="1664"/>
      <c r="M2898" s="1665">
        <v>0</v>
      </c>
      <c r="N2898" s="1666">
        <v>1.9127503168192168</v>
      </c>
      <c r="O2898" s="1666"/>
    </row>
    <row r="2899" spans="11:15">
      <c r="K2899" s="1663">
        <v>44956</v>
      </c>
      <c r="L2899" s="1664" t="s">
        <v>2293</v>
      </c>
      <c r="M2899" s="1665">
        <v>4.9036999999999997E-2</v>
      </c>
      <c r="N2899" s="1666">
        <v>1.9136882721920756</v>
      </c>
      <c r="O2899" s="1666"/>
    </row>
    <row r="2900" spans="11:15">
      <c r="K2900" s="1663">
        <v>44957</v>
      </c>
      <c r="L2900" s="1664" t="s">
        <v>2293</v>
      </c>
      <c r="M2900" s="1665">
        <v>4.9036999999999997E-2</v>
      </c>
      <c r="N2900" s="1666">
        <v>1.9146266875101106</v>
      </c>
      <c r="O2900" s="1666"/>
    </row>
    <row r="2901" spans="11:15">
      <c r="K2901" s="1663">
        <v>44958</v>
      </c>
      <c r="L2901" s="1664" t="s">
        <v>2293</v>
      </c>
      <c r="M2901" s="1665">
        <v>4.9036999999999997E-2</v>
      </c>
      <c r="N2901" s="1666">
        <v>1.915565562998865</v>
      </c>
      <c r="O2901" s="1666"/>
    </row>
    <row r="2902" spans="11:15">
      <c r="K2902" s="1663">
        <v>44959</v>
      </c>
      <c r="L2902" s="1664" t="s">
        <v>2293</v>
      </c>
      <c r="M2902" s="1665">
        <v>4.9036999999999997E-2</v>
      </c>
      <c r="N2902" s="1666">
        <v>1.916504898883993</v>
      </c>
      <c r="O2902" s="1666"/>
    </row>
    <row r="2903" spans="11:15">
      <c r="K2903" s="1663">
        <v>44960</v>
      </c>
      <c r="L2903" s="1664" t="s">
        <v>2293</v>
      </c>
      <c r="M2903" s="1665">
        <v>4.9036999999999997E-2</v>
      </c>
      <c r="N2903" s="1666">
        <v>1.9174446953912589</v>
      </c>
      <c r="O2903" s="1666"/>
    </row>
    <row r="2904" spans="11:15">
      <c r="K2904" s="1663">
        <v>44961</v>
      </c>
      <c r="L2904" s="1664"/>
      <c r="M2904" s="1665">
        <v>0</v>
      </c>
      <c r="N2904" s="1666">
        <v>1.9174446953912589</v>
      </c>
      <c r="O2904" s="1666"/>
    </row>
    <row r="2905" spans="11:15">
      <c r="K2905" s="1663">
        <v>44962</v>
      </c>
      <c r="L2905" s="1664"/>
      <c r="M2905" s="1665">
        <v>0</v>
      </c>
      <c r="N2905" s="1666">
        <v>1.9174446953912589</v>
      </c>
      <c r="O2905" s="1666"/>
    </row>
    <row r="2906" spans="11:15">
      <c r="K2906" s="1663">
        <v>44963</v>
      </c>
      <c r="L2906" s="1664" t="s">
        <v>2293</v>
      </c>
      <c r="M2906" s="1665">
        <v>4.9036999999999997E-2</v>
      </c>
      <c r="N2906" s="1666">
        <v>1.9183849527465382</v>
      </c>
      <c r="O2906" s="1666"/>
    </row>
    <row r="2907" spans="11:15">
      <c r="K2907" s="1663">
        <v>44964</v>
      </c>
      <c r="L2907" s="1664" t="s">
        <v>2293</v>
      </c>
      <c r="M2907" s="1665">
        <v>4.9036999999999997E-2</v>
      </c>
      <c r="N2907" s="1666">
        <v>1.9193256711758166</v>
      </c>
      <c r="O2907" s="1666"/>
    </row>
    <row r="2908" spans="11:15">
      <c r="K2908" s="1663">
        <v>44965</v>
      </c>
      <c r="L2908" s="1664" t="s">
        <v>2293</v>
      </c>
      <c r="M2908" s="1665">
        <v>4.9036999999999997E-2</v>
      </c>
      <c r="N2908" s="1666">
        <v>1.9202668509051912</v>
      </c>
      <c r="O2908" s="1666"/>
    </row>
    <row r="2909" spans="11:15">
      <c r="K2909" s="1663">
        <v>44966</v>
      </c>
      <c r="L2909" s="1664" t="s">
        <v>2293</v>
      </c>
      <c r="M2909" s="1665">
        <v>4.9036999999999997E-2</v>
      </c>
      <c r="N2909" s="1666">
        <v>1.9212084921608696</v>
      </c>
      <c r="O2909" s="1666"/>
    </row>
    <row r="2910" spans="11:15">
      <c r="K2910" s="1663">
        <v>44967</v>
      </c>
      <c r="L2910" s="1664" t="s">
        <v>2293</v>
      </c>
      <c r="M2910" s="1665">
        <v>4.9036999999999997E-2</v>
      </c>
      <c r="N2910" s="1666">
        <v>1.9221505951691706</v>
      </c>
      <c r="O2910" s="1666"/>
    </row>
    <row r="2911" spans="11:15">
      <c r="K2911" s="1663">
        <v>44968</v>
      </c>
      <c r="L2911" s="1664"/>
      <c r="M2911" s="1665">
        <v>0</v>
      </c>
      <c r="N2911" s="1666">
        <v>1.9221505951691706</v>
      </c>
      <c r="O2911" s="1666"/>
    </row>
    <row r="2912" spans="11:15">
      <c r="K2912" s="1663">
        <v>44969</v>
      </c>
      <c r="L2912" s="1664"/>
      <c r="M2912" s="1665">
        <v>0</v>
      </c>
      <c r="N2912" s="1666">
        <v>1.9221505951691706</v>
      </c>
      <c r="O2912" s="1666"/>
    </row>
    <row r="2913" spans="11:15">
      <c r="K2913" s="1663">
        <v>44970</v>
      </c>
      <c r="L2913" s="1664" t="s">
        <v>2293</v>
      </c>
      <c r="M2913" s="1665">
        <v>4.9036999999999997E-2</v>
      </c>
      <c r="N2913" s="1666">
        <v>1.923093160156524</v>
      </c>
      <c r="O2913" s="1666"/>
    </row>
    <row r="2914" spans="11:15">
      <c r="K2914" s="1663">
        <v>44971</v>
      </c>
      <c r="L2914" s="1664" t="s">
        <v>2293</v>
      </c>
      <c r="M2914" s="1665">
        <v>4.9036999999999997E-2</v>
      </c>
      <c r="N2914" s="1666">
        <v>1.92403618734947</v>
      </c>
      <c r="O2914" s="1666"/>
    </row>
    <row r="2915" spans="11:15">
      <c r="K2915" s="1663">
        <v>44972</v>
      </c>
      <c r="L2915" s="1664" t="s">
        <v>2293</v>
      </c>
      <c r="M2915" s="1665">
        <v>4.9036999999999997E-2</v>
      </c>
      <c r="N2915" s="1666">
        <v>1.9249796769746608</v>
      </c>
      <c r="O2915" s="1666"/>
    </row>
    <row r="2916" spans="11:15">
      <c r="K2916" s="1663">
        <v>44973</v>
      </c>
      <c r="L2916" s="1664" t="s">
        <v>2293</v>
      </c>
      <c r="M2916" s="1665">
        <v>4.9036999999999997E-2</v>
      </c>
      <c r="N2916" s="1666">
        <v>1.9259236292588591</v>
      </c>
      <c r="O2916" s="1666"/>
    </row>
    <row r="2917" spans="11:15">
      <c r="K2917" s="1663">
        <v>44974</v>
      </c>
      <c r="L2917" s="1664" t="s">
        <v>2293</v>
      </c>
      <c r="M2917" s="1665">
        <v>4.9036999999999997E-2</v>
      </c>
      <c r="N2917" s="1666">
        <v>1.9268680444289388</v>
      </c>
      <c r="O2917" s="1666"/>
    </row>
    <row r="2918" spans="11:15">
      <c r="K2918" s="1663">
        <v>44975</v>
      </c>
      <c r="L2918" s="1664"/>
      <c r="M2918" s="1665">
        <v>0</v>
      </c>
      <c r="N2918" s="1666">
        <v>1.9268680444289388</v>
      </c>
      <c r="O2918" s="1666"/>
    </row>
    <row r="2919" spans="11:15">
      <c r="K2919" s="1663">
        <v>44976</v>
      </c>
      <c r="L2919" s="1664"/>
      <c r="M2919" s="1665">
        <v>0</v>
      </c>
      <c r="N2919" s="1666">
        <v>1.9268680444289388</v>
      </c>
      <c r="O2919" s="1666"/>
    </row>
    <row r="2920" spans="11:15">
      <c r="K2920" s="1663">
        <v>44977</v>
      </c>
      <c r="L2920" s="1664"/>
      <c r="M2920" s="1665">
        <v>0</v>
      </c>
      <c r="N2920" s="1666">
        <v>1.9268680444289388</v>
      </c>
      <c r="O2920" s="1666"/>
    </row>
    <row r="2921" spans="11:15">
      <c r="K2921" s="1663">
        <v>44978</v>
      </c>
      <c r="L2921" s="1664"/>
      <c r="M2921" s="1665">
        <v>0</v>
      </c>
      <c r="N2921" s="1666">
        <v>1.9268680444289388</v>
      </c>
      <c r="O2921" s="1666"/>
    </row>
    <row r="2922" spans="11:15">
      <c r="K2922" s="1663">
        <v>44979</v>
      </c>
      <c r="L2922" s="1664" t="s">
        <v>2293</v>
      </c>
      <c r="M2922" s="1665">
        <v>4.9036999999999997E-2</v>
      </c>
      <c r="N2922" s="1666">
        <v>1.9278129227118856</v>
      </c>
      <c r="O2922" s="1666"/>
    </row>
    <row r="2923" spans="11:15">
      <c r="K2923" s="1663">
        <v>44980</v>
      </c>
      <c r="L2923" s="1664" t="s">
        <v>2293</v>
      </c>
      <c r="M2923" s="1665">
        <v>4.9036999999999997E-2</v>
      </c>
      <c r="N2923" s="1666">
        <v>1.928758264334796</v>
      </c>
      <c r="O2923" s="1666"/>
    </row>
    <row r="2924" spans="11:15">
      <c r="K2924" s="1663">
        <v>44981</v>
      </c>
      <c r="L2924" s="1664" t="s">
        <v>2293</v>
      </c>
      <c r="M2924" s="1665">
        <v>4.9036999999999997E-2</v>
      </c>
      <c r="N2924" s="1666">
        <v>1.9297040695248779</v>
      </c>
      <c r="O2924" s="1666"/>
    </row>
    <row r="2925" spans="11:15">
      <c r="K2925" s="1663">
        <v>44982</v>
      </c>
      <c r="L2925" s="1664"/>
      <c r="M2925" s="1665">
        <v>0</v>
      </c>
      <c r="N2925" s="1666">
        <v>1.9297040695248779</v>
      </c>
      <c r="O2925" s="1666"/>
    </row>
    <row r="2926" spans="11:15">
      <c r="K2926" s="1663">
        <v>44983</v>
      </c>
      <c r="L2926" s="1664"/>
      <c r="M2926" s="1665">
        <v>0</v>
      </c>
      <c r="N2926" s="1666">
        <v>1.9297040695248779</v>
      </c>
      <c r="O2926" s="1666"/>
    </row>
    <row r="2927" spans="11:15">
      <c r="K2927" s="1663">
        <v>44984</v>
      </c>
      <c r="L2927" s="1664" t="s">
        <v>2293</v>
      </c>
      <c r="M2927" s="1665">
        <v>4.9036999999999997E-2</v>
      </c>
      <c r="N2927" s="1666">
        <v>1.9306503385094509</v>
      </c>
      <c r="O2927" s="1666"/>
    </row>
    <row r="2928" spans="11:15">
      <c r="K2928" s="1663">
        <v>44985</v>
      </c>
      <c r="L2928" s="1664" t="s">
        <v>2293</v>
      </c>
      <c r="M2928" s="1665">
        <v>4.9036999999999997E-2</v>
      </c>
      <c r="N2928" s="1666">
        <v>1.9315970715159458</v>
      </c>
      <c r="O2928" s="1666"/>
    </row>
    <row r="2929" spans="11:15">
      <c r="K2929" s="1663">
        <v>44986</v>
      </c>
      <c r="L2929" s="1664" t="s">
        <v>2293</v>
      </c>
      <c r="M2929" s="1665">
        <v>4.9036999999999997E-2</v>
      </c>
      <c r="N2929" s="1666">
        <v>1.9325442687719052</v>
      </c>
      <c r="O2929" s="1666"/>
    </row>
    <row r="2930" spans="11:15">
      <c r="K2930" s="1663">
        <v>44987</v>
      </c>
      <c r="L2930" s="1667" t="s">
        <v>2293</v>
      </c>
      <c r="M2930" s="910">
        <v>4.9036999999999997E-2</v>
      </c>
      <c r="N2930" s="1667">
        <v>1.9334919305049831</v>
      </c>
      <c r="O2930" s="1667"/>
    </row>
    <row r="2931" spans="11:15">
      <c r="K2931" s="1663">
        <v>44988</v>
      </c>
      <c r="L2931" s="1667" t="s">
        <v>2293</v>
      </c>
      <c r="M2931" s="910">
        <v>4.9036999999999997E-2</v>
      </c>
      <c r="N2931" s="1667">
        <v>1.934440056942945</v>
      </c>
      <c r="O2931" s="1667"/>
    </row>
    <row r="2932" spans="11:15">
      <c r="K2932" s="1663">
        <v>44989</v>
      </c>
      <c r="L2932" s="1667"/>
      <c r="M2932" s="910">
        <v>0</v>
      </c>
      <c r="N2932" s="1667">
        <v>1.934440056942945</v>
      </c>
      <c r="O2932" s="1667"/>
    </row>
    <row r="2933" spans="11:15">
      <c r="K2933" s="1663">
        <v>44990</v>
      </c>
      <c r="L2933" s="1667"/>
      <c r="M2933" s="910">
        <v>0</v>
      </c>
      <c r="N2933" s="1667">
        <v>1.934440056942945</v>
      </c>
      <c r="O2933" s="1667"/>
    </row>
    <row r="2934" spans="11:15">
      <c r="K2934" s="1663">
        <v>44991</v>
      </c>
      <c r="L2934" s="1667" t="s">
        <v>2293</v>
      </c>
      <c r="M2934" s="910">
        <v>4.9036999999999997E-2</v>
      </c>
      <c r="N2934" s="1667">
        <v>1.9353886483136682</v>
      </c>
      <c r="O2934" s="1667"/>
    </row>
    <row r="2935" spans="11:15">
      <c r="K2935" s="1663">
        <v>44992</v>
      </c>
      <c r="L2935" s="1667" t="s">
        <v>2293</v>
      </c>
      <c r="M2935" s="910">
        <v>4.9036999999999997E-2</v>
      </c>
      <c r="N2935" s="1667">
        <v>1.936337704845142</v>
      </c>
      <c r="O2935" s="1667"/>
    </row>
    <row r="2936" spans="11:15">
      <c r="K2936" s="1663">
        <v>44993</v>
      </c>
      <c r="L2936" s="1667" t="s">
        <v>2293</v>
      </c>
      <c r="M2936" s="910">
        <v>4.9036999999999997E-2</v>
      </c>
      <c r="N2936" s="1667">
        <v>1.9372872267654671</v>
      </c>
      <c r="O2936" s="1667"/>
    </row>
    <row r="2937" spans="11:15">
      <c r="K2937" s="1663">
        <v>44994</v>
      </c>
      <c r="L2937" s="1667" t="s">
        <v>2293</v>
      </c>
      <c r="M2937" s="910">
        <v>4.9036999999999997E-2</v>
      </c>
      <c r="N2937" s="1667">
        <v>1.9382372143028561</v>
      </c>
      <c r="O2937" s="1667"/>
    </row>
    <row r="2938" spans="11:15">
      <c r="K2938" s="1663">
        <v>44995</v>
      </c>
      <c r="L2938" s="1667" t="s">
        <v>2293</v>
      </c>
      <c r="M2938" s="910">
        <v>4.9036999999999997E-2</v>
      </c>
      <c r="N2938" s="1667">
        <v>1.9391876676856339</v>
      </c>
      <c r="O2938" s="1667"/>
    </row>
    <row r="2939" spans="11:15">
      <c r="K2939" s="1663">
        <v>44996</v>
      </c>
      <c r="L2939" s="1667"/>
      <c r="M2939" s="910">
        <v>0</v>
      </c>
      <c r="N2939" s="1667">
        <v>1.9391876676856339</v>
      </c>
      <c r="O2939" s="1667"/>
    </row>
    <row r="2940" spans="11:15">
      <c r="K2940" s="1663">
        <v>44997</v>
      </c>
      <c r="L2940" s="1667"/>
      <c r="M2940" s="910">
        <v>0</v>
      </c>
      <c r="N2940" s="1667">
        <v>1.9391876676856339</v>
      </c>
      <c r="O2940" s="1667"/>
    </row>
    <row r="2941" spans="11:15">
      <c r="K2941" s="1663">
        <v>44998</v>
      </c>
      <c r="L2941" s="1667" t="s">
        <v>2293</v>
      </c>
      <c r="M2941" s="910">
        <v>4.9036999999999997E-2</v>
      </c>
      <c r="N2941" s="1667">
        <v>1.940138587142237</v>
      </c>
      <c r="O2941" s="1667"/>
    </row>
    <row r="2942" spans="11:15">
      <c r="K2942" s="1663">
        <v>44999</v>
      </c>
      <c r="L2942" s="1667" t="s">
        <v>2293</v>
      </c>
      <c r="M2942" s="910">
        <v>4.9036999999999997E-2</v>
      </c>
      <c r="N2942" s="1667">
        <v>1.9410899729012141</v>
      </c>
      <c r="O2942" s="1667"/>
    </row>
    <row r="2943" spans="11:15">
      <c r="K2943" s="1663">
        <v>45000</v>
      </c>
      <c r="L2943" s="1667" t="s">
        <v>2293</v>
      </c>
      <c r="M2943" s="910">
        <v>4.9036999999999997E-2</v>
      </c>
      <c r="N2943" s="1667">
        <v>1.9420418251912257</v>
      </c>
      <c r="O2943" s="1667"/>
    </row>
    <row r="2944" spans="11:15">
      <c r="K2944" s="1663">
        <v>45001</v>
      </c>
      <c r="L2944" s="1667" t="s">
        <v>2293</v>
      </c>
      <c r="M2944" s="910">
        <v>4.9036999999999997E-2</v>
      </c>
      <c r="N2944" s="1667">
        <v>1.9429941442410448</v>
      </c>
      <c r="O2944" s="1667"/>
    </row>
    <row r="2945" spans="11:15">
      <c r="K2945" s="1663">
        <v>45002</v>
      </c>
      <c r="L2945" s="1667" t="s">
        <v>2293</v>
      </c>
      <c r="M2945" s="910">
        <v>4.9036999999999997E-2</v>
      </c>
      <c r="N2945" s="1667">
        <v>1.9439469302795565</v>
      </c>
      <c r="O2945" s="1667"/>
    </row>
    <row r="2946" spans="11:15">
      <c r="K2946" s="1663">
        <v>45003</v>
      </c>
      <c r="L2946" s="1667"/>
      <c r="M2946" s="910">
        <v>0</v>
      </c>
      <c r="N2946" s="1667">
        <v>1.9439469302795565</v>
      </c>
      <c r="O2946" s="1667"/>
    </row>
    <row r="2947" spans="11:15">
      <c r="K2947" s="1663">
        <v>45004</v>
      </c>
      <c r="L2947" s="1667"/>
      <c r="M2947" s="910">
        <v>0</v>
      </c>
      <c r="N2947" s="1667">
        <v>1.9439469302795565</v>
      </c>
      <c r="O2947" s="1667"/>
    </row>
    <row r="2948" spans="11:15">
      <c r="K2948" s="1663">
        <v>45005</v>
      </c>
      <c r="L2948" s="1667" t="s">
        <v>2293</v>
      </c>
      <c r="M2948" s="910">
        <v>4.9036999999999997E-2</v>
      </c>
      <c r="N2948" s="1667">
        <v>1.9449001835357578</v>
      </c>
      <c r="O2948" s="1667"/>
    </row>
    <row r="2949" spans="11:15">
      <c r="K2949" s="1663">
        <v>45006</v>
      </c>
      <c r="L2949" s="1667" t="s">
        <v>2293</v>
      </c>
      <c r="M2949" s="910">
        <v>4.9036999999999997E-2</v>
      </c>
      <c r="N2949" s="1667">
        <v>1.9458539042387584</v>
      </c>
      <c r="O2949" s="1667"/>
    </row>
    <row r="2950" spans="11:15">
      <c r="K2950" s="1663">
        <v>45007</v>
      </c>
      <c r="L2950" s="1667" t="s">
        <v>2293</v>
      </c>
      <c r="M2950" s="910">
        <v>4.9036999999999997E-2</v>
      </c>
      <c r="N2950" s="1667">
        <v>1.94680809261778</v>
      </c>
      <c r="O2950" s="1667"/>
    </row>
    <row r="2951" spans="11:15">
      <c r="K2951" s="1663">
        <v>45008</v>
      </c>
      <c r="L2951" s="1667" t="s">
        <v>2293</v>
      </c>
      <c r="M2951" s="910">
        <v>4.9036999999999997E-2</v>
      </c>
      <c r="N2951" s="1667">
        <v>1.9477627489021572</v>
      </c>
      <c r="O2951" s="1667"/>
    </row>
    <row r="2952" spans="11:15">
      <c r="K2952" s="1663">
        <v>45009</v>
      </c>
      <c r="L2952" s="1667" t="s">
        <v>2293</v>
      </c>
      <c r="M2952" s="910">
        <v>4.9036999999999997E-2</v>
      </c>
      <c r="N2952" s="1667">
        <v>1.9487178733213364</v>
      </c>
      <c r="O2952" s="1667"/>
    </row>
    <row r="2953" spans="11:15">
      <c r="K2953" s="1663">
        <v>45010</v>
      </c>
      <c r="L2953" s="1667"/>
      <c r="M2953" s="910">
        <v>0</v>
      </c>
      <c r="N2953" s="1667">
        <v>1.9487178733213364</v>
      </c>
      <c r="O2953" s="1667"/>
    </row>
    <row r="2954" spans="11:15">
      <c r="K2954" s="1663">
        <v>45011</v>
      </c>
      <c r="L2954" s="1667"/>
      <c r="M2954" s="910">
        <v>0</v>
      </c>
      <c r="N2954" s="1667">
        <v>1.9487178733213364</v>
      </c>
      <c r="O2954" s="1667"/>
    </row>
    <row r="2955" spans="11:15">
      <c r="K2955" s="1663">
        <v>45012</v>
      </c>
      <c r="L2955" s="1667" t="s">
        <v>2293</v>
      </c>
      <c r="M2955" s="910">
        <v>4.9036999999999997E-2</v>
      </c>
      <c r="N2955" s="1667">
        <v>1.9496734661048771</v>
      </c>
      <c r="O2955" s="1667"/>
    </row>
    <row r="2956" spans="11:15">
      <c r="K2956" s="1663">
        <v>45013</v>
      </c>
      <c r="L2956" s="1667" t="s">
        <v>2293</v>
      </c>
      <c r="M2956" s="910">
        <v>4.9036999999999997E-2</v>
      </c>
      <c r="N2956" s="1667">
        <v>1.9506295274824512</v>
      </c>
      <c r="O2956" s="1667"/>
    </row>
    <row r="2957" spans="11:15">
      <c r="K2957" s="1663">
        <v>45014</v>
      </c>
      <c r="L2957" s="1667" t="s">
        <v>2293</v>
      </c>
      <c r="M2957" s="910">
        <v>4.9036999999999997E-2</v>
      </c>
      <c r="N2957" s="1667">
        <v>1.9515860576838429</v>
      </c>
      <c r="O2957" s="1667"/>
    </row>
    <row r="2958" spans="11:15">
      <c r="K2958" s="1663">
        <v>45015</v>
      </c>
      <c r="L2958" s="1667" t="s">
        <v>2293</v>
      </c>
      <c r="M2958" s="910">
        <v>4.9036999999999997E-2</v>
      </c>
      <c r="N2958" s="1667">
        <v>1.9525430569389495</v>
      </c>
      <c r="O2958" s="1667"/>
    </row>
    <row r="2959" spans="11:15">
      <c r="K2959" s="1663">
        <v>45016</v>
      </c>
      <c r="L2959" s="1667" t="s">
        <v>2293</v>
      </c>
      <c r="M2959" s="910">
        <v>4.9036999999999997E-2</v>
      </c>
      <c r="N2959" s="1667">
        <v>1.9535005254777809</v>
      </c>
      <c r="O2959" s="1667"/>
    </row>
    <row r="2960" spans="11:15">
      <c r="K2960" s="1663">
        <v>45017</v>
      </c>
      <c r="L2960" s="1667"/>
      <c r="M2960" s="910">
        <v>0</v>
      </c>
      <c r="N2960" s="1667">
        <v>1.9535005254777809</v>
      </c>
      <c r="O2960" s="1667"/>
    </row>
    <row r="2961" spans="11:15">
      <c r="K2961" s="1663">
        <v>45018</v>
      </c>
      <c r="L2961" s="1667"/>
      <c r="M2961" s="910">
        <v>0</v>
      </c>
      <c r="N2961" s="1667">
        <v>1.9535005254777809</v>
      </c>
      <c r="O2961" s="1667"/>
    </row>
    <row r="2962" spans="11:15">
      <c r="K2962" s="1663">
        <v>45019</v>
      </c>
      <c r="L2962" s="1667" t="s">
        <v>2293</v>
      </c>
      <c r="M2962" s="910">
        <v>4.9036999999999997E-2</v>
      </c>
      <c r="N2962" s="1667">
        <v>1.9544584635304596</v>
      </c>
      <c r="O2962" s="1667"/>
    </row>
    <row r="2963" spans="11:15">
      <c r="K2963" s="1663">
        <v>45020</v>
      </c>
      <c r="L2963" s="1667" t="s">
        <v>2293</v>
      </c>
      <c r="M2963" s="910">
        <v>4.9036999999999997E-2</v>
      </c>
      <c r="N2963" s="1667">
        <v>1.9554168713272211</v>
      </c>
      <c r="O2963" s="1667"/>
    </row>
    <row r="2964" spans="11:15">
      <c r="K2964" s="1663">
        <v>45021</v>
      </c>
      <c r="L2964" s="1667" t="s">
        <v>2293</v>
      </c>
      <c r="M2964" s="910">
        <v>4.9036999999999997E-2</v>
      </c>
      <c r="N2964" s="1667">
        <v>1.9563757490984139</v>
      </c>
      <c r="O2964" s="1667"/>
    </row>
    <row r="2965" spans="11:15">
      <c r="K2965" s="1663">
        <v>45022</v>
      </c>
      <c r="L2965" s="1667" t="s">
        <v>2293</v>
      </c>
      <c r="M2965" s="910">
        <v>4.9036999999999997E-2</v>
      </c>
      <c r="N2965" s="1667">
        <v>1.9573350970744994</v>
      </c>
      <c r="O2965" s="1667"/>
    </row>
    <row r="2966" spans="11:15">
      <c r="K2966" s="1663">
        <v>45023</v>
      </c>
      <c r="L2966" s="1667"/>
      <c r="M2966" s="910">
        <v>0</v>
      </c>
      <c r="N2966" s="1667">
        <v>1.9573350970744994</v>
      </c>
      <c r="O2966" s="1667"/>
    </row>
    <row r="2967" spans="11:15">
      <c r="K2967" s="1663">
        <v>45024</v>
      </c>
      <c r="L2967" s="1667"/>
      <c r="M2967" s="910">
        <v>0</v>
      </c>
      <c r="N2967" s="1667">
        <v>1.9573350970744994</v>
      </c>
      <c r="O2967" s="1667"/>
    </row>
    <row r="2968" spans="11:15">
      <c r="K2968" s="1663">
        <v>45025</v>
      </c>
      <c r="L2968" s="1667"/>
      <c r="M2968" s="910">
        <v>0</v>
      </c>
      <c r="N2968" s="1667">
        <v>1.9573350970744994</v>
      </c>
      <c r="O2968" s="1667"/>
    </row>
    <row r="2969" spans="11:15">
      <c r="K2969" s="1663">
        <v>45026</v>
      </c>
      <c r="L2969" s="1667" t="s">
        <v>2293</v>
      </c>
      <c r="M2969" s="910">
        <v>4.9036999999999997E-2</v>
      </c>
      <c r="N2969" s="1667">
        <v>1.9582949154860518</v>
      </c>
      <c r="O2969" s="1667"/>
    </row>
    <row r="2970" spans="11:15">
      <c r="K2970" s="1663">
        <v>45027</v>
      </c>
      <c r="L2970" s="1667" t="s">
        <v>2293</v>
      </c>
      <c r="M2970" s="910">
        <v>4.9036999999999997E-2</v>
      </c>
      <c r="N2970" s="1667">
        <v>1.9592552045637588</v>
      </c>
      <c r="O2970" s="1667"/>
    </row>
    <row r="2971" spans="11:15">
      <c r="K2971" s="1663">
        <v>45028</v>
      </c>
      <c r="L2971" s="1667" t="s">
        <v>2293</v>
      </c>
      <c r="M2971" s="910">
        <v>4.9036999999999997E-2</v>
      </c>
      <c r="N2971" s="1667">
        <v>1.960215964538421</v>
      </c>
      <c r="O2971" s="1667"/>
    </row>
    <row r="2972" spans="11:15">
      <c r="K2972" s="1663">
        <v>45029</v>
      </c>
      <c r="L2972" s="1667" t="s">
        <v>2293</v>
      </c>
      <c r="M2972" s="910">
        <v>4.9036999999999997E-2</v>
      </c>
      <c r="N2972" s="1667">
        <v>1.9611771956409518</v>
      </c>
      <c r="O2972" s="1667"/>
    </row>
    <row r="2973" spans="11:15">
      <c r="K2973" s="1663">
        <v>45030</v>
      </c>
      <c r="L2973" s="1667" t="s">
        <v>2293</v>
      </c>
      <c r="M2973" s="910">
        <v>4.9036999999999997E-2</v>
      </c>
      <c r="N2973" s="1667">
        <v>1.9621388981023784</v>
      </c>
      <c r="O2973" s="1667"/>
    </row>
    <row r="2974" spans="11:15">
      <c r="K2974" s="1663">
        <v>45031</v>
      </c>
      <c r="L2974" s="1667"/>
      <c r="M2974" s="910">
        <v>0</v>
      </c>
      <c r="N2974" s="1667">
        <v>1.9621388981023784</v>
      </c>
      <c r="O2974" s="1667"/>
    </row>
    <row r="2975" spans="11:15">
      <c r="K2975" s="1663">
        <v>45032</v>
      </c>
      <c r="L2975" s="1667"/>
      <c r="M2975" s="910">
        <v>0</v>
      </c>
      <c r="N2975" s="1667">
        <v>1.9621388981023784</v>
      </c>
      <c r="O2975" s="1667"/>
    </row>
    <row r="2976" spans="11:15">
      <c r="K2976" s="1663">
        <v>45033</v>
      </c>
      <c r="L2976" s="1667" t="s">
        <v>2293</v>
      </c>
      <c r="M2976" s="910">
        <v>4.9036999999999997E-2</v>
      </c>
      <c r="N2976" s="1667">
        <v>1.9631010721538411</v>
      </c>
      <c r="O2976" s="1667"/>
    </row>
    <row r="2977" spans="11:15">
      <c r="K2977" s="1663">
        <v>45034</v>
      </c>
      <c r="L2977" s="1667" t="s">
        <v>2293</v>
      </c>
      <c r="M2977" s="910">
        <v>4.9036999999999997E-2</v>
      </c>
      <c r="N2977" s="1667">
        <v>1.9640637180265934</v>
      </c>
      <c r="O2977" s="1667"/>
    </row>
    <row r="2978" spans="11:15">
      <c r="K2978" s="1663">
        <v>45035</v>
      </c>
      <c r="L2978" s="1667" t="s">
        <v>2293</v>
      </c>
      <c r="M2978" s="910">
        <v>4.9036999999999997E-2</v>
      </c>
      <c r="N2978" s="1667">
        <v>1.9650268359520022</v>
      </c>
      <c r="O2978" s="1667"/>
    </row>
    <row r="2979" spans="11:15">
      <c r="K2979" s="1663">
        <v>45036</v>
      </c>
      <c r="L2979" s="1667" t="s">
        <v>2293</v>
      </c>
      <c r="M2979" s="910">
        <v>4.9036999999999997E-2</v>
      </c>
      <c r="N2979" s="1667">
        <v>1.9659904261615482</v>
      </c>
      <c r="O2979" s="1667"/>
    </row>
    <row r="2980" spans="11:15">
      <c r="K2980" s="1663">
        <v>45037</v>
      </c>
      <c r="L2980" s="1667"/>
      <c r="M2980" s="910">
        <v>0</v>
      </c>
      <c r="N2980" s="1667">
        <v>1.9659904261615482</v>
      </c>
      <c r="O2980" s="1667"/>
    </row>
    <row r="2981" spans="11:15">
      <c r="K2981" s="1663">
        <v>45038</v>
      </c>
      <c r="L2981" s="1667"/>
      <c r="M2981" s="910">
        <v>0</v>
      </c>
      <c r="N2981" s="1667">
        <v>1.9659904261615482</v>
      </c>
      <c r="O2981" s="1667"/>
    </row>
    <row r="2982" spans="11:15">
      <c r="K2982" s="1663">
        <v>45039</v>
      </c>
      <c r="L2982" s="1667"/>
      <c r="M2982" s="910">
        <v>0</v>
      </c>
      <c r="N2982" s="1667">
        <v>1.9659904261615482</v>
      </c>
      <c r="O2982" s="1667"/>
    </row>
    <row r="2983" spans="11:15">
      <c r="K2983" s="1663">
        <v>45040</v>
      </c>
      <c r="L2983" s="1667" t="s">
        <v>2293</v>
      </c>
      <c r="M2983" s="910">
        <v>4.9036999999999997E-2</v>
      </c>
      <c r="N2983" s="1667">
        <v>1.9669544888868251</v>
      </c>
      <c r="O2983" s="1667"/>
    </row>
    <row r="2984" spans="11:15">
      <c r="K2984" s="1663">
        <v>45041</v>
      </c>
      <c r="L2984" s="1667" t="s">
        <v>2293</v>
      </c>
      <c r="M2984" s="910">
        <v>4.9036999999999997E-2</v>
      </c>
      <c r="N2984" s="1667">
        <v>1.9679190243595406</v>
      </c>
      <c r="O2984" s="1667"/>
    </row>
    <row r="2985" spans="11:15">
      <c r="K2985" s="1663">
        <v>45042</v>
      </c>
      <c r="L2985" s="1667" t="s">
        <v>2293</v>
      </c>
      <c r="M2985" s="910">
        <v>4.9036999999999997E-2</v>
      </c>
      <c r="N2985" s="1667">
        <v>1.9688840328115158</v>
      </c>
      <c r="O2985" s="1667"/>
    </row>
    <row r="2986" spans="11:15">
      <c r="K2986" s="1663">
        <v>45043</v>
      </c>
      <c r="L2986" s="1667" t="s">
        <v>2293</v>
      </c>
      <c r="M2986" s="910">
        <v>4.9036999999999997E-2</v>
      </c>
      <c r="N2986" s="1667">
        <v>1.9698495144746857</v>
      </c>
      <c r="O2986" s="1667"/>
    </row>
    <row r="2987" spans="11:15">
      <c r="K2987" s="1663">
        <v>45044</v>
      </c>
      <c r="L2987" s="1667" t="s">
        <v>2293</v>
      </c>
      <c r="M2987" s="910">
        <v>4.9036999999999997E-2</v>
      </c>
      <c r="N2987" s="1667">
        <v>1.9708154695810989</v>
      </c>
      <c r="O2987" s="1667"/>
    </row>
    <row r="2988" spans="11:15">
      <c r="K2988" s="1663">
        <v>45045</v>
      </c>
      <c r="L2988" s="1667"/>
      <c r="M2988" s="910">
        <v>0</v>
      </c>
      <c r="N2988" s="1667">
        <v>1.9708154695810989</v>
      </c>
      <c r="O2988" s="1667"/>
    </row>
    <row r="2989" spans="11:15">
      <c r="K2989" s="1663">
        <v>45046</v>
      </c>
      <c r="L2989" s="1667"/>
      <c r="M2989" s="910">
        <v>0</v>
      </c>
      <c r="N2989" s="1667">
        <v>1.9708154695810989</v>
      </c>
      <c r="O2989" s="1667"/>
    </row>
    <row r="2990" spans="11:15">
      <c r="K2990" s="1663">
        <v>45047</v>
      </c>
      <c r="L2990" s="1667"/>
      <c r="M2990" s="910">
        <v>0</v>
      </c>
      <c r="N2990" s="1667">
        <v>1.9708154695810989</v>
      </c>
      <c r="O2990" s="1667"/>
    </row>
    <row r="2991" spans="11:15">
      <c r="K2991" s="1663">
        <v>45048</v>
      </c>
      <c r="L2991" s="1667" t="s">
        <v>2293</v>
      </c>
      <c r="M2991" s="910">
        <v>4.9036999999999997E-2</v>
      </c>
      <c r="N2991" s="1667">
        <v>1.9717818983629174</v>
      </c>
      <c r="O2991" s="1667"/>
    </row>
    <row r="2992" spans="11:15">
      <c r="K2992" s="1663">
        <v>45049</v>
      </c>
      <c r="L2992" s="1667" t="s">
        <v>2293</v>
      </c>
      <c r="M2992" s="910">
        <v>4.9036999999999997E-2</v>
      </c>
      <c r="N2992" s="1667">
        <v>1.9727488010524177</v>
      </c>
      <c r="O2992" s="1667"/>
    </row>
    <row r="2993" spans="11:15">
      <c r="K2993" s="1663">
        <v>45050</v>
      </c>
      <c r="L2993" s="1667" t="s">
        <v>2293</v>
      </c>
      <c r="M2993" s="910">
        <v>4.9036999999999997E-2</v>
      </c>
      <c r="N2993" s="1667">
        <v>1.9737161778819898</v>
      </c>
      <c r="O2993" s="1667"/>
    </row>
    <row r="2994" spans="11:15">
      <c r="K2994" s="1663">
        <v>45051</v>
      </c>
      <c r="L2994" s="1667" t="s">
        <v>2293</v>
      </c>
      <c r="M2994" s="910">
        <v>4.9036999999999997E-2</v>
      </c>
      <c r="N2994" s="1667">
        <v>1.9746840290841379</v>
      </c>
      <c r="O2994" s="1667"/>
    </row>
    <row r="2995" spans="11:15">
      <c r="K2995" s="1663">
        <v>45052</v>
      </c>
      <c r="L2995" s="1667"/>
      <c r="M2995" s="910">
        <v>0</v>
      </c>
      <c r="N2995" s="1667">
        <v>1.9746840290841379</v>
      </c>
      <c r="O2995" s="1667"/>
    </row>
    <row r="2996" spans="11:15">
      <c r="K2996" s="1663">
        <v>45053</v>
      </c>
      <c r="L2996" s="1667"/>
      <c r="M2996" s="910">
        <v>0</v>
      </c>
      <c r="N2996" s="1667">
        <v>1.9746840290841379</v>
      </c>
      <c r="O2996" s="1667"/>
    </row>
    <row r="2997" spans="11:15">
      <c r="K2997" s="1663">
        <v>45054</v>
      </c>
      <c r="L2997" s="1667" t="s">
        <v>2293</v>
      </c>
      <c r="M2997" s="910">
        <v>4.9036999999999997E-2</v>
      </c>
      <c r="N2997" s="1667">
        <v>1.9756523548914799</v>
      </c>
      <c r="O2997" s="1667"/>
    </row>
    <row r="2998" spans="11:15">
      <c r="K2998" s="1663">
        <v>45055</v>
      </c>
      <c r="L2998" s="1667" t="s">
        <v>2293</v>
      </c>
      <c r="M2998" s="910">
        <v>4.9036999999999997E-2</v>
      </c>
      <c r="N2998" s="1667">
        <v>1.9766211555367483</v>
      </c>
      <c r="O2998" s="1667"/>
    </row>
    <row r="2999" spans="11:15">
      <c r="K2999" s="1663">
        <v>45056</v>
      </c>
      <c r="L2999" s="1667" t="s">
        <v>2293</v>
      </c>
      <c r="M2999" s="910">
        <v>4.9036999999999997E-2</v>
      </c>
      <c r="N2999" s="1667">
        <v>1.977590431252789</v>
      </c>
      <c r="O2999" s="1667"/>
    </row>
    <row r="3000" spans="11:15">
      <c r="K3000" s="1663">
        <v>45057</v>
      </c>
      <c r="L3000" s="1667" t="s">
        <v>2293</v>
      </c>
      <c r="M3000" s="910">
        <v>4.9036999999999997E-2</v>
      </c>
      <c r="N3000" s="1667">
        <v>1.9785601822725625</v>
      </c>
      <c r="O3000" s="1667"/>
    </row>
    <row r="3001" spans="11:15">
      <c r="K3001" s="1663">
        <v>45058</v>
      </c>
      <c r="L3001" s="1667" t="s">
        <v>2293</v>
      </c>
      <c r="M3001" s="910">
        <v>4.9036999999999997E-2</v>
      </c>
      <c r="N3001" s="1667">
        <v>1.9795304088291437</v>
      </c>
      <c r="O3001" s="1667"/>
    </row>
    <row r="3002" spans="11:15">
      <c r="K3002" s="1663">
        <v>45059</v>
      </c>
      <c r="L3002" s="1667"/>
      <c r="M3002" s="910">
        <v>0</v>
      </c>
      <c r="N3002" s="1667">
        <v>1.9795304088291437</v>
      </c>
      <c r="O3002" s="1667"/>
    </row>
    <row r="3003" spans="11:15">
      <c r="K3003" s="1663">
        <v>45060</v>
      </c>
      <c r="L3003" s="1667"/>
      <c r="M3003" s="910">
        <v>0</v>
      </c>
      <c r="N3003" s="1667">
        <v>1.9795304088291437</v>
      </c>
      <c r="O3003" s="1667"/>
    </row>
    <row r="3004" spans="11:15">
      <c r="K3004" s="1663">
        <v>45061</v>
      </c>
      <c r="L3004" s="1667" t="s">
        <v>2293</v>
      </c>
      <c r="M3004" s="910">
        <v>4.9036999999999997E-2</v>
      </c>
      <c r="N3004" s="1667">
        <v>1.9805011111557214</v>
      </c>
      <c r="O3004" s="1667"/>
    </row>
    <row r="3005" spans="11:15">
      <c r="K3005" s="1663">
        <v>45062</v>
      </c>
      <c r="L3005" s="1667" t="s">
        <v>2293</v>
      </c>
      <c r="M3005" s="910">
        <v>4.9036999999999997E-2</v>
      </c>
      <c r="N3005" s="1667">
        <v>1.9814722894855989</v>
      </c>
      <c r="O3005" s="1667"/>
    </row>
    <row r="3006" spans="11:15">
      <c r="K3006" s="1663">
        <v>45063</v>
      </c>
      <c r="L3006" s="1667" t="s">
        <v>2293</v>
      </c>
      <c r="M3006" s="910">
        <v>4.9036999999999997E-2</v>
      </c>
      <c r="N3006" s="1667">
        <v>1.9824439440521942</v>
      </c>
      <c r="O3006" s="1667"/>
    </row>
    <row r="3007" spans="11:15">
      <c r="K3007" s="1663">
        <v>45064</v>
      </c>
      <c r="L3007" s="1667" t="s">
        <v>2293</v>
      </c>
      <c r="M3007" s="910">
        <v>4.9036999999999997E-2</v>
      </c>
      <c r="N3007" s="1667">
        <v>1.9834160750890393</v>
      </c>
      <c r="O3007" s="1667"/>
    </row>
    <row r="3008" spans="11:15">
      <c r="K3008" s="1663">
        <v>45065</v>
      </c>
      <c r="L3008" s="1667" t="s">
        <v>2293</v>
      </c>
      <c r="M3008" s="910">
        <v>4.9036999999999997E-2</v>
      </c>
      <c r="N3008" s="1667">
        <v>1.9843886828297808</v>
      </c>
      <c r="O3008" s="1667"/>
    </row>
    <row r="3009" spans="11:15">
      <c r="K3009" s="1663">
        <v>45066</v>
      </c>
      <c r="L3009" s="1667"/>
      <c r="M3009" s="910">
        <v>0</v>
      </c>
      <c r="N3009" s="1667">
        <v>1.9843886828297808</v>
      </c>
      <c r="O3009" s="1667"/>
    </row>
    <row r="3010" spans="11:15">
      <c r="K3010" s="1663">
        <v>45067</v>
      </c>
      <c r="L3010" s="1667"/>
      <c r="M3010" s="910">
        <v>0</v>
      </c>
      <c r="N3010" s="1667">
        <v>1.9843886828297808</v>
      </c>
      <c r="O3010" s="1667"/>
    </row>
    <row r="3011" spans="11:15">
      <c r="K3011" s="1663">
        <v>45068</v>
      </c>
      <c r="L3011" s="1667" t="s">
        <v>2293</v>
      </c>
      <c r="M3011" s="910">
        <v>4.9036999999999997E-2</v>
      </c>
      <c r="N3011" s="1667">
        <v>1.9853617675081801</v>
      </c>
      <c r="O3011" s="1667"/>
    </row>
    <row r="3012" spans="11:15">
      <c r="K3012" s="1663">
        <v>45069</v>
      </c>
      <c r="L3012" s="1667" t="s">
        <v>2293</v>
      </c>
      <c r="M3012" s="910">
        <v>4.9036999999999997E-2</v>
      </c>
      <c r="N3012" s="1667">
        <v>1.9863353293581132</v>
      </c>
      <c r="O3012" s="1667"/>
    </row>
    <row r="3013" spans="11:15">
      <c r="K3013" s="1663">
        <v>45070</v>
      </c>
      <c r="L3013" s="1667" t="s">
        <v>2293</v>
      </c>
      <c r="M3013" s="910">
        <v>4.9036999999999997E-2</v>
      </c>
      <c r="N3013" s="1667">
        <v>1.9873093686135708</v>
      </c>
      <c r="O3013" s="1667"/>
    </row>
    <row r="3014" spans="11:15">
      <c r="K3014" s="1663">
        <v>45071</v>
      </c>
      <c r="L3014" s="1667" t="s">
        <v>2293</v>
      </c>
      <c r="M3014" s="910">
        <v>4.9036999999999997E-2</v>
      </c>
      <c r="N3014" s="1667">
        <v>1.988283885508658</v>
      </c>
      <c r="O3014" s="1667"/>
    </row>
    <row r="3015" spans="11:15">
      <c r="K3015" s="1663">
        <v>45072</v>
      </c>
      <c r="L3015" s="1667" t="s">
        <v>2293</v>
      </c>
      <c r="M3015" s="910">
        <v>4.9036999999999997E-2</v>
      </c>
      <c r="N3015" s="1667">
        <v>1.989258880277595</v>
      </c>
      <c r="O3015" s="1667"/>
    </row>
    <row r="3016" spans="11:15">
      <c r="K3016" s="1663">
        <v>45073</v>
      </c>
      <c r="L3016" s="1667"/>
      <c r="M3016" s="910">
        <v>0</v>
      </c>
      <c r="N3016" s="1667">
        <v>1.989258880277595</v>
      </c>
      <c r="O3016" s="1667"/>
    </row>
    <row r="3017" spans="11:15">
      <c r="K3017" s="1663">
        <v>45074</v>
      </c>
      <c r="L3017" s="1667"/>
      <c r="M3017" s="910">
        <v>0</v>
      </c>
      <c r="N3017" s="1667">
        <v>1.989258880277595</v>
      </c>
      <c r="O3017" s="1667"/>
    </row>
    <row r="3018" spans="11:15">
      <c r="K3018" s="1663">
        <v>45075</v>
      </c>
      <c r="L3018" s="1667" t="s">
        <v>2293</v>
      </c>
      <c r="M3018" s="910">
        <v>4.9036999999999997E-2</v>
      </c>
      <c r="N3018" s="1667">
        <v>1.9902343531547169</v>
      </c>
      <c r="O3018" s="1667"/>
    </row>
    <row r="3019" spans="11:15">
      <c r="K3019" s="1663">
        <v>45076</v>
      </c>
      <c r="L3019" s="1667" t="s">
        <v>2293</v>
      </c>
      <c r="M3019" s="910">
        <v>4.9036999999999997E-2</v>
      </c>
      <c r="N3019" s="1667">
        <v>1.9912103043744735</v>
      </c>
      <c r="O3019" s="1667"/>
    </row>
    <row r="3020" spans="11:15">
      <c r="K3020" s="1663">
        <v>45077</v>
      </c>
      <c r="L3020" s="1667" t="s">
        <v>2293</v>
      </c>
      <c r="M3020" s="910">
        <v>4.9036999999999997E-2</v>
      </c>
      <c r="N3020" s="1667">
        <v>1.9921867341714299</v>
      </c>
      <c r="O3020" s="1667"/>
    </row>
    <row r="3021" spans="11:15">
      <c r="K3021" s="1663">
        <v>45078</v>
      </c>
      <c r="L3021" s="1667" t="s">
        <v>2293</v>
      </c>
      <c r="M3021" s="910">
        <v>4.9036999999999997E-2</v>
      </c>
      <c r="N3021" s="1667">
        <v>1.9931636427802657</v>
      </c>
      <c r="O3021" s="1667"/>
    </row>
    <row r="3022" spans="11:15">
      <c r="K3022" s="1663">
        <v>45079</v>
      </c>
      <c r="L3022" s="1667" t="s">
        <v>2293</v>
      </c>
      <c r="M3022" s="910">
        <v>4.9036999999999997E-2</v>
      </c>
      <c r="N3022" s="1667">
        <v>1.9941410304357761</v>
      </c>
      <c r="O3022" s="1667"/>
    </row>
    <row r="3023" spans="11:15">
      <c r="K3023" s="1663">
        <v>45080</v>
      </c>
      <c r="L3023" s="1667"/>
      <c r="M3023" s="910">
        <v>0</v>
      </c>
      <c r="N3023" s="1667">
        <v>1.9941410304357761</v>
      </c>
      <c r="O3023" s="1667"/>
    </row>
    <row r="3024" spans="11:15">
      <c r="K3024" s="1663">
        <v>45081</v>
      </c>
      <c r="L3024" s="1667"/>
      <c r="M3024" s="910">
        <v>0</v>
      </c>
      <c r="N3024" s="1667">
        <v>1.9941410304357761</v>
      </c>
      <c r="O3024" s="1667"/>
    </row>
    <row r="3025" spans="11:15">
      <c r="K3025" s="1663">
        <v>45082</v>
      </c>
      <c r="L3025" s="1667" t="s">
        <v>2293</v>
      </c>
      <c r="M3025" s="910">
        <v>4.9036999999999997E-2</v>
      </c>
      <c r="N3025" s="1667">
        <v>1.9951188973728711</v>
      </c>
      <c r="O3025" s="1667"/>
    </row>
    <row r="3026" spans="11:15">
      <c r="K3026" s="1663">
        <v>45083</v>
      </c>
      <c r="L3026" s="1667" t="s">
        <v>2293</v>
      </c>
      <c r="M3026" s="910">
        <v>4.9036999999999997E-2</v>
      </c>
      <c r="N3026" s="1667">
        <v>1.9960972438265761</v>
      </c>
      <c r="O3026" s="1667"/>
    </row>
    <row r="3027" spans="11:15">
      <c r="K3027" s="1663">
        <v>45084</v>
      </c>
      <c r="L3027" s="1667" t="s">
        <v>2293</v>
      </c>
      <c r="M3027" s="910">
        <v>4.9036999999999997E-2</v>
      </c>
      <c r="N3027" s="1667">
        <v>1.9970760700320314</v>
      </c>
      <c r="O3027" s="1667"/>
    </row>
    <row r="3028" spans="11:15">
      <c r="K3028" s="1663">
        <v>45085</v>
      </c>
      <c r="L3028" s="1667"/>
      <c r="M3028" s="910">
        <v>0</v>
      </c>
      <c r="N3028" s="1667">
        <v>1.9970760700320314</v>
      </c>
      <c r="O3028" s="1667"/>
    </row>
    <row r="3029" spans="11:15">
      <c r="K3029" s="1663">
        <v>45086</v>
      </c>
      <c r="L3029" s="1667" t="s">
        <v>2293</v>
      </c>
      <c r="M3029" s="910">
        <v>4.9036999999999997E-2</v>
      </c>
      <c r="N3029" s="1667">
        <v>1.998055376224493</v>
      </c>
      <c r="O3029" s="1667"/>
    </row>
    <row r="3030" spans="11:15">
      <c r="K3030" s="1663">
        <v>45087</v>
      </c>
      <c r="L3030" s="1667"/>
      <c r="M3030" s="910">
        <v>0</v>
      </c>
      <c r="N3030" s="1667">
        <v>1.998055376224493</v>
      </c>
      <c r="O3030" s="1667"/>
    </row>
    <row r="3031" spans="11:15">
      <c r="K3031" s="1663">
        <v>45088</v>
      </c>
      <c r="L3031" s="1667"/>
      <c r="M3031" s="910">
        <v>0</v>
      </c>
      <c r="N3031" s="1667">
        <v>1.998055376224493</v>
      </c>
      <c r="O3031" s="1667"/>
    </row>
    <row r="3032" spans="11:15">
      <c r="K3032" s="1663">
        <v>45089</v>
      </c>
      <c r="L3032" s="1667" t="s">
        <v>2293</v>
      </c>
      <c r="M3032" s="910">
        <v>4.9036999999999997E-2</v>
      </c>
      <c r="N3032" s="1667">
        <v>1.9990351626393323</v>
      </c>
      <c r="O3032" s="1667"/>
    </row>
    <row r="3033" spans="11:15">
      <c r="K3033" s="1663">
        <v>45090</v>
      </c>
      <c r="L3033" s="1667" t="s">
        <v>2293</v>
      </c>
      <c r="M3033" s="910">
        <v>4.9036999999999997E-2</v>
      </c>
      <c r="N3033" s="1667">
        <v>2.000015429512036</v>
      </c>
      <c r="O3033" s="1667"/>
    </row>
    <row r="3034" spans="11:15">
      <c r="K3034" s="1663">
        <v>45091</v>
      </c>
      <c r="L3034" s="1667" t="s">
        <v>2293</v>
      </c>
      <c r="M3034" s="910">
        <v>4.9036999999999997E-2</v>
      </c>
      <c r="N3034" s="1667">
        <v>2.0009961770782061</v>
      </c>
      <c r="O3034" s="1667"/>
    </row>
    <row r="3035" spans="11:15">
      <c r="K3035" s="1663">
        <v>45092</v>
      </c>
      <c r="L3035" s="1667" t="s">
        <v>2293</v>
      </c>
      <c r="M3035" s="910">
        <v>4.9036999999999997E-2</v>
      </c>
      <c r="N3035" s="1667">
        <v>2.0019774055735602</v>
      </c>
      <c r="O3035" s="1667"/>
    </row>
    <row r="3036" spans="11:15">
      <c r="K3036" s="1663">
        <v>45093</v>
      </c>
      <c r="L3036" s="1667" t="s">
        <v>2293</v>
      </c>
      <c r="M3036" s="910">
        <v>4.9036999999999997E-2</v>
      </c>
      <c r="N3036" s="1667">
        <v>2.0029591152339314</v>
      </c>
      <c r="O3036" s="1667"/>
    </row>
    <row r="3037" spans="11:15">
      <c r="K3037" s="1663">
        <v>45094</v>
      </c>
      <c r="L3037" s="1667"/>
      <c r="M3037" s="910">
        <v>0</v>
      </c>
      <c r="N3037" s="1667">
        <v>2.0029591152339314</v>
      </c>
      <c r="O3037" s="1667"/>
    </row>
    <row r="3038" spans="11:15">
      <c r="K3038" s="1663">
        <v>45095</v>
      </c>
      <c r="L3038" s="1667"/>
      <c r="M3038" s="910">
        <v>0</v>
      </c>
      <c r="N3038" s="1667">
        <v>2.0029591152339314</v>
      </c>
      <c r="O3038" s="1667"/>
    </row>
    <row r="3039" spans="11:15">
      <c r="K3039" s="1663">
        <v>45096</v>
      </c>
      <c r="L3039" s="1667" t="s">
        <v>2293</v>
      </c>
      <c r="M3039" s="910">
        <v>4.9036999999999997E-2</v>
      </c>
      <c r="N3039" s="1667">
        <v>2.0039413062952689</v>
      </c>
      <c r="O3039" s="1667"/>
    </row>
    <row r="3040" spans="11:15">
      <c r="K3040" s="1663">
        <v>45097</v>
      </c>
      <c r="L3040" s="1667" t="s">
        <v>2293</v>
      </c>
      <c r="M3040" s="910">
        <v>4.9036999999999997E-2</v>
      </c>
      <c r="N3040" s="1667">
        <v>2.0049239789936371</v>
      </c>
      <c r="O3040" s="1667"/>
    </row>
    <row r="3041" spans="11:15">
      <c r="K3041" s="1663">
        <v>45098</v>
      </c>
      <c r="L3041" s="1667" t="s">
        <v>2293</v>
      </c>
      <c r="M3041" s="910">
        <v>4.9036999999999997E-2</v>
      </c>
      <c r="N3041" s="1667">
        <v>2.0059071335652163</v>
      </c>
      <c r="O3041" s="1667"/>
    </row>
    <row r="3042" spans="11:15">
      <c r="K3042" s="1663">
        <v>45099</v>
      </c>
      <c r="L3042" s="1667" t="s">
        <v>2293</v>
      </c>
      <c r="M3042" s="910">
        <v>4.9036999999999997E-2</v>
      </c>
      <c r="N3042" s="1667">
        <v>2.006890770246303</v>
      </c>
      <c r="O3042" s="1667"/>
    </row>
    <row r="3043" spans="11:15">
      <c r="K3043" s="1663">
        <v>45100</v>
      </c>
      <c r="L3043" s="1667" t="s">
        <v>2293</v>
      </c>
      <c r="M3043" s="910">
        <v>4.9036999999999997E-2</v>
      </c>
      <c r="N3043" s="1667">
        <v>2.0078748892733089</v>
      </c>
      <c r="O3043" s="1667"/>
    </row>
    <row r="3044" spans="11:15">
      <c r="K3044" s="1663">
        <v>45101</v>
      </c>
      <c r="L3044" s="1667"/>
      <c r="M3044" s="910">
        <v>0</v>
      </c>
      <c r="N3044" s="1667">
        <v>2.0078748892733089</v>
      </c>
      <c r="O3044" s="1667"/>
    </row>
    <row r="3045" spans="11:15">
      <c r="K3045" s="1663">
        <v>45102</v>
      </c>
      <c r="L3045" s="1667"/>
      <c r="M3045" s="910">
        <v>0</v>
      </c>
      <c r="N3045" s="1667">
        <v>2.0078748892733089</v>
      </c>
      <c r="O3045" s="1667"/>
    </row>
    <row r="3046" spans="11:15">
      <c r="K3046" s="1663">
        <v>45103</v>
      </c>
      <c r="L3046" s="1667" t="s">
        <v>2293</v>
      </c>
      <c r="M3046" s="910">
        <v>4.9036999999999997E-2</v>
      </c>
      <c r="N3046" s="1667">
        <v>2.0088594908827622</v>
      </c>
      <c r="O3046" s="1667"/>
    </row>
    <row r="3047" spans="11:15">
      <c r="K3047" s="1663">
        <v>45104</v>
      </c>
      <c r="L3047" s="1667" t="s">
        <v>2293</v>
      </c>
      <c r="M3047" s="910">
        <v>4.9036999999999997E-2</v>
      </c>
      <c r="N3047" s="1667">
        <v>2.0098445753113063</v>
      </c>
      <c r="O3047" s="1667"/>
    </row>
    <row r="3048" spans="11:15">
      <c r="K3048" s="1663">
        <v>45105</v>
      </c>
      <c r="L3048" s="1667" t="s">
        <v>2293</v>
      </c>
      <c r="M3048" s="910">
        <v>4.9036999999999997E-2</v>
      </c>
      <c r="N3048" s="1667">
        <v>2.0108301427957018</v>
      </c>
      <c r="O3048" s="1667"/>
    </row>
    <row r="3049" spans="11:15">
      <c r="K3049" s="1663">
        <v>45106</v>
      </c>
      <c r="L3049" s="1667" t="s">
        <v>2293</v>
      </c>
      <c r="M3049" s="910">
        <v>4.9036999999999997E-2</v>
      </c>
      <c r="N3049" s="1667">
        <v>2.0118161935728245</v>
      </c>
      <c r="O3049" s="1667"/>
    </row>
    <row r="3050" spans="11:15">
      <c r="K3050" s="1663">
        <v>45107</v>
      </c>
      <c r="L3050" s="1667" t="s">
        <v>2293</v>
      </c>
      <c r="M3050" s="910">
        <v>4.9036999999999997E-2</v>
      </c>
      <c r="N3050" s="1667">
        <v>2.012802727879667</v>
      </c>
      <c r="O3050" s="1667"/>
    </row>
    <row r="3051" spans="11:15">
      <c r="K3051" s="1663">
        <v>45108</v>
      </c>
      <c r="L3051" s="1667"/>
      <c r="M3051" s="910">
        <v>0</v>
      </c>
      <c r="N3051" s="1667">
        <v>2.012802727879667</v>
      </c>
      <c r="O3051" s="1667"/>
    </row>
    <row r="3052" spans="11:15">
      <c r="K3052" s="1663">
        <v>45109</v>
      </c>
      <c r="L3052" s="1667"/>
      <c r="M3052" s="910">
        <v>0</v>
      </c>
      <c r="N3052" s="1667">
        <v>2.012802727879667</v>
      </c>
      <c r="O3052" s="1667"/>
    </row>
    <row r="3053" spans="11:15">
      <c r="K3053" s="1663">
        <v>45110</v>
      </c>
      <c r="L3053" s="1667" t="s">
        <v>2293</v>
      </c>
      <c r="M3053" s="910">
        <v>4.9036999999999997E-2</v>
      </c>
      <c r="N3053" s="1667">
        <v>2.0137897459533374</v>
      </c>
      <c r="O3053" s="1667"/>
    </row>
    <row r="3054" spans="11:15">
      <c r="K3054" s="1663">
        <v>45111</v>
      </c>
      <c r="L3054" s="1667" t="s">
        <v>2293</v>
      </c>
      <c r="M3054" s="910">
        <v>4.9036999999999997E-2</v>
      </c>
      <c r="N3054" s="1667">
        <v>2.0147772480310606</v>
      </c>
      <c r="O3054" s="1667"/>
    </row>
    <row r="3055" spans="11:15">
      <c r="K3055" s="1663">
        <v>45112</v>
      </c>
      <c r="L3055" s="1667" t="s">
        <v>2293</v>
      </c>
      <c r="M3055" s="910">
        <v>4.9036999999999997E-2</v>
      </c>
      <c r="N3055" s="1667">
        <v>2.015765234350178</v>
      </c>
      <c r="O3055" s="1667"/>
    </row>
    <row r="3056" spans="11:15">
      <c r="K3056" s="1663">
        <v>45113</v>
      </c>
      <c r="L3056" s="1667" t="s">
        <v>2293</v>
      </c>
      <c r="M3056" s="910">
        <v>4.9036999999999997E-2</v>
      </c>
      <c r="N3056" s="1667">
        <v>2.0167537051481466</v>
      </c>
      <c r="O3056" s="1667"/>
    </row>
    <row r="3057" spans="11:15">
      <c r="K3057" s="1663">
        <v>45114</v>
      </c>
      <c r="L3057" s="1667" t="s">
        <v>2293</v>
      </c>
      <c r="M3057" s="910">
        <v>4.9036999999999997E-2</v>
      </c>
      <c r="N3057" s="1667">
        <v>2.0177426606625404</v>
      </c>
      <c r="O3057" s="1667"/>
    </row>
    <row r="3058" spans="11:15">
      <c r="K3058" s="1663">
        <v>45115</v>
      </c>
      <c r="L3058" s="1667"/>
      <c r="M3058" s="910">
        <v>0</v>
      </c>
      <c r="N3058" s="1667">
        <v>2.0177426606625404</v>
      </c>
      <c r="O3058" s="1667"/>
    </row>
    <row r="3059" spans="11:15">
      <c r="K3059" s="1663">
        <v>45116</v>
      </c>
      <c r="L3059" s="1667"/>
      <c r="M3059" s="910">
        <v>0</v>
      </c>
      <c r="N3059" s="1667">
        <v>2.0177426606625404</v>
      </c>
      <c r="O3059" s="1667"/>
    </row>
    <row r="3060" spans="11:15">
      <c r="K3060" s="1663">
        <v>45117</v>
      </c>
      <c r="L3060" s="1667" t="s">
        <v>2293</v>
      </c>
      <c r="M3060" s="910">
        <v>4.9036999999999997E-2</v>
      </c>
      <c r="N3060" s="1667">
        <v>2.0187321011310497</v>
      </c>
      <c r="O3060" s="1667"/>
    </row>
    <row r="3061" spans="11:15">
      <c r="K3061" s="1663">
        <v>45118</v>
      </c>
      <c r="L3061" s="1667" t="s">
        <v>2293</v>
      </c>
      <c r="M3061" s="910">
        <v>4.9036999999999997E-2</v>
      </c>
      <c r="N3061" s="1667">
        <v>2.0197220267914817</v>
      </c>
      <c r="O3061" s="1667"/>
    </row>
    <row r="3062" spans="11:15">
      <c r="K3062" s="1663">
        <v>45119</v>
      </c>
      <c r="L3062" s="1667" t="s">
        <v>2293</v>
      </c>
      <c r="M3062" s="910">
        <v>4.9036999999999997E-2</v>
      </c>
      <c r="N3062" s="1667">
        <v>2.0207124378817598</v>
      </c>
      <c r="O3062" s="1667"/>
    </row>
    <row r="3063" spans="11:15">
      <c r="K3063" s="1663">
        <v>45120</v>
      </c>
      <c r="L3063" s="1667" t="s">
        <v>2293</v>
      </c>
      <c r="M3063" s="910">
        <v>4.9036999999999997E-2</v>
      </c>
      <c r="N3063" s="1667">
        <v>2.0217033346399242</v>
      </c>
      <c r="O3063" s="1667"/>
    </row>
    <row r="3064" spans="11:15">
      <c r="K3064" s="1663">
        <v>45121</v>
      </c>
      <c r="L3064" s="1667" t="s">
        <v>2293</v>
      </c>
      <c r="M3064" s="910">
        <v>4.9036999999999997E-2</v>
      </c>
      <c r="N3064" s="1667">
        <v>2.0226947173041316</v>
      </c>
      <c r="O3064" s="1667"/>
    </row>
    <row r="3065" spans="11:15">
      <c r="K3065" s="1663">
        <v>45122</v>
      </c>
      <c r="L3065" s="1667"/>
      <c r="M3065" s="910">
        <v>0</v>
      </c>
      <c r="N3065" s="1667">
        <v>2.0226947173041316</v>
      </c>
      <c r="O3065" s="1667"/>
    </row>
    <row r="3066" spans="11:15">
      <c r="K3066" s="1663">
        <v>45123</v>
      </c>
      <c r="L3066" s="1667"/>
      <c r="M3066" s="910">
        <v>0</v>
      </c>
      <c r="N3066" s="1667">
        <v>2.0226947173041316</v>
      </c>
      <c r="O3066" s="1667"/>
    </row>
    <row r="3067" spans="11:15">
      <c r="K3067" s="1663">
        <v>45124</v>
      </c>
      <c r="L3067" s="1667" t="s">
        <v>2293</v>
      </c>
      <c r="M3067" s="910">
        <v>4.9036999999999997E-2</v>
      </c>
      <c r="N3067" s="1667">
        <v>2.0236865861126563</v>
      </c>
      <c r="O3067" s="1667"/>
    </row>
    <row r="3068" spans="11:15">
      <c r="K3068" s="1663">
        <v>45125</v>
      </c>
      <c r="L3068" s="1667" t="s">
        <v>2293</v>
      </c>
      <c r="M3068" s="910">
        <v>4.9036999999999997E-2</v>
      </c>
      <c r="N3068" s="1667">
        <v>2.0246789413038884</v>
      </c>
      <c r="O3068" s="1667"/>
    </row>
    <row r="3069" spans="11:15">
      <c r="K3069" s="1663">
        <v>45126</v>
      </c>
      <c r="L3069" s="1667" t="s">
        <v>2293</v>
      </c>
      <c r="M3069" s="910">
        <v>4.9036999999999997E-2</v>
      </c>
      <c r="N3069" s="1667">
        <v>2.0256717831163358</v>
      </c>
      <c r="O3069" s="1667"/>
    </row>
    <row r="3070" spans="11:15">
      <c r="K3070" s="1663">
        <v>45127</v>
      </c>
      <c r="L3070" s="1667" t="s">
        <v>2293</v>
      </c>
      <c r="M3070" s="910">
        <v>4.9036999999999997E-2</v>
      </c>
      <c r="N3070" s="1667">
        <v>2.0266651117886227</v>
      </c>
      <c r="O3070" s="1667"/>
    </row>
    <row r="3071" spans="11:15">
      <c r="K3071" s="1663">
        <v>45128</v>
      </c>
      <c r="L3071" s="1667" t="s">
        <v>2293</v>
      </c>
      <c r="M3071" s="910">
        <v>4.9036999999999997E-2</v>
      </c>
      <c r="N3071" s="1667">
        <v>2.0276589275594907</v>
      </c>
      <c r="O3071" s="1667"/>
    </row>
    <row r="3072" spans="11:15">
      <c r="K3072" s="1663">
        <v>45129</v>
      </c>
      <c r="L3072" s="1667"/>
      <c r="M3072" s="910">
        <v>0</v>
      </c>
      <c r="N3072" s="1667">
        <v>2.0276589275594907</v>
      </c>
      <c r="O3072" s="1667"/>
    </row>
    <row r="3073" spans="11:15">
      <c r="K3073" s="1663">
        <v>45130</v>
      </c>
      <c r="L3073" s="1667"/>
      <c r="M3073" s="910">
        <v>0</v>
      </c>
      <c r="N3073" s="1667">
        <v>2.0276589275594907</v>
      </c>
      <c r="O3073" s="1667"/>
    </row>
    <row r="3074" spans="11:15">
      <c r="K3074" s="1663">
        <v>45131</v>
      </c>
      <c r="L3074" s="1667" t="s">
        <v>2293</v>
      </c>
      <c r="M3074" s="910">
        <v>4.9036999999999997E-2</v>
      </c>
      <c r="N3074" s="1667">
        <v>2.028653230667798</v>
      </c>
      <c r="O3074" s="1667"/>
    </row>
    <row r="3075" spans="11:15">
      <c r="K3075" s="1663">
        <v>45132</v>
      </c>
      <c r="L3075" s="1667" t="s">
        <v>2293</v>
      </c>
      <c r="M3075" s="910">
        <v>4.9036999999999997E-2</v>
      </c>
      <c r="N3075" s="1667">
        <v>2.0296480213525205</v>
      </c>
      <c r="O3075" s="1667"/>
    </row>
    <row r="3076" spans="11:15">
      <c r="K3076" s="1663">
        <v>45133</v>
      </c>
      <c r="L3076" s="1667" t="s">
        <v>2293</v>
      </c>
      <c r="M3076" s="910">
        <v>4.9036999999999997E-2</v>
      </c>
      <c r="N3076" s="1667">
        <v>2.0306432998527515</v>
      </c>
      <c r="O3076" s="1667"/>
    </row>
    <row r="3077" spans="11:15">
      <c r="K3077" s="1663">
        <v>45134</v>
      </c>
      <c r="L3077" s="1667" t="s">
        <v>2293</v>
      </c>
      <c r="M3077" s="910">
        <v>4.9036999999999997E-2</v>
      </c>
      <c r="N3077" s="1667">
        <v>2.0316390664077004</v>
      </c>
      <c r="O3077" s="1667"/>
    </row>
    <row r="3078" spans="11:15">
      <c r="K3078" s="1663">
        <v>45135</v>
      </c>
      <c r="L3078" s="1667" t="s">
        <v>2293</v>
      </c>
      <c r="M3078" s="910">
        <v>4.9036999999999997E-2</v>
      </c>
      <c r="N3078" s="1667">
        <v>2.032635321256695</v>
      </c>
      <c r="O3078" s="1667"/>
    </row>
    <row r="3079" spans="11:15">
      <c r="K3079" s="1663">
        <v>45136</v>
      </c>
      <c r="L3079" s="1667"/>
      <c r="M3079" s="910">
        <v>0</v>
      </c>
      <c r="N3079" s="1667">
        <v>2.032635321256695</v>
      </c>
      <c r="O3079" s="1667"/>
    </row>
    <row r="3080" spans="11:15">
      <c r="K3080" s="1663">
        <v>45137</v>
      </c>
      <c r="L3080" s="1667"/>
      <c r="M3080" s="910">
        <v>0</v>
      </c>
      <c r="N3080" s="1667">
        <v>2.032635321256695</v>
      </c>
      <c r="O3080" s="1667"/>
    </row>
    <row r="3081" spans="11:15">
      <c r="K3081" s="1663">
        <v>45138</v>
      </c>
      <c r="L3081" s="1667" t="s">
        <v>2293</v>
      </c>
      <c r="M3081" s="910">
        <v>4.9036999999999997E-2</v>
      </c>
      <c r="N3081" s="1667">
        <v>2.0336320646391797</v>
      </c>
      <c r="O3081" s="1667"/>
    </row>
    <row r="3082" spans="11:15">
      <c r="K3082" s="1663">
        <v>45139</v>
      </c>
      <c r="L3082" s="1667" t="s">
        <v>2293</v>
      </c>
      <c r="M3082" s="910">
        <v>4.9036999999999997E-2</v>
      </c>
      <c r="N3082" s="1667">
        <v>2.034629296794717</v>
      </c>
      <c r="O3082" s="1667"/>
    </row>
    <row r="3083" spans="11:15">
      <c r="K3083" s="1663">
        <v>45140</v>
      </c>
      <c r="L3083" s="1667" t="s">
        <v>2293</v>
      </c>
      <c r="M3083" s="910">
        <v>4.9036999999999997E-2</v>
      </c>
      <c r="N3083" s="1667">
        <v>2.0356270179629865</v>
      </c>
      <c r="O3083" s="1667"/>
    </row>
    <row r="3084" spans="11:15">
      <c r="K3084" s="1663">
        <v>45141</v>
      </c>
      <c r="L3084" s="1667" t="s">
        <v>2293</v>
      </c>
      <c r="M3084" s="910">
        <v>4.9036999999999997E-2</v>
      </c>
      <c r="N3084" s="1667">
        <v>2.0366252283837851</v>
      </c>
      <c r="O3084" s="1667"/>
    </row>
    <row r="3085" spans="11:15">
      <c r="K3085" s="1663">
        <v>45142</v>
      </c>
      <c r="L3085" s="1667" t="s">
        <v>2293</v>
      </c>
      <c r="M3085" s="910">
        <v>4.9036999999999997E-2</v>
      </c>
      <c r="N3085" s="1667">
        <v>2.0376239282970277</v>
      </c>
      <c r="O3085" s="1667"/>
    </row>
    <row r="3086" spans="11:15">
      <c r="K3086" s="1663">
        <v>45143</v>
      </c>
      <c r="L3086" s="1667"/>
      <c r="M3086" s="910">
        <v>0</v>
      </c>
      <c r="N3086" s="1667">
        <v>2.0376239282970277</v>
      </c>
      <c r="O3086" s="1667"/>
    </row>
    <row r="3087" spans="11:15">
      <c r="K3087" s="1663">
        <v>45144</v>
      </c>
      <c r="L3087" s="1667"/>
      <c r="M3087" s="910">
        <v>0</v>
      </c>
      <c r="N3087" s="1667">
        <v>2.0376239282970277</v>
      </c>
      <c r="O3087" s="1667"/>
    </row>
    <row r="3088" spans="11:15">
      <c r="K3088" s="1663">
        <v>45145</v>
      </c>
      <c r="L3088" s="1667" t="s">
        <v>2293</v>
      </c>
      <c r="M3088" s="910">
        <v>4.9036999999999997E-2</v>
      </c>
      <c r="N3088" s="1667">
        <v>2.038623117942747</v>
      </c>
      <c r="O3088" s="1667"/>
    </row>
    <row r="3089" spans="11:15">
      <c r="K3089" s="1663">
        <v>45146</v>
      </c>
      <c r="L3089" s="1667" t="s">
        <v>2293</v>
      </c>
      <c r="M3089" s="910">
        <v>4.9036999999999997E-2</v>
      </c>
      <c r="N3089" s="1667">
        <v>2.0396227975610928</v>
      </c>
      <c r="O3089" s="1667"/>
    </row>
    <row r="3090" spans="11:15">
      <c r="K3090" s="1663">
        <v>45147</v>
      </c>
      <c r="L3090" s="1667" t="s">
        <v>2293</v>
      </c>
      <c r="M3090" s="910">
        <v>4.9036999999999997E-2</v>
      </c>
      <c r="N3090" s="1667">
        <v>2.0406229673923328</v>
      </c>
      <c r="O3090" s="1667"/>
    </row>
    <row r="3091" spans="11:15">
      <c r="K3091" s="1663">
        <v>45148</v>
      </c>
      <c r="L3091" s="1667" t="s">
        <v>2293</v>
      </c>
      <c r="M3091" s="910">
        <v>4.9036999999999997E-2</v>
      </c>
      <c r="N3091" s="1667">
        <v>2.0416236276768531</v>
      </c>
      <c r="O3091" s="1667"/>
    </row>
    <row r="3092" spans="11:15">
      <c r="K3092" s="1663">
        <v>45149</v>
      </c>
      <c r="L3092" s="1667" t="s">
        <v>2293</v>
      </c>
      <c r="M3092" s="910">
        <v>4.9036999999999997E-2</v>
      </c>
      <c r="N3092" s="1667">
        <v>2.0426247786551572</v>
      </c>
      <c r="O3092" s="1667"/>
    </row>
    <row r="3093" spans="11:15">
      <c r="K3093" s="1663">
        <v>45150</v>
      </c>
      <c r="L3093" s="1667"/>
      <c r="M3093" s="910">
        <v>0</v>
      </c>
      <c r="N3093" s="1667">
        <v>2.0426247786551572</v>
      </c>
      <c r="O3093" s="1667"/>
    </row>
    <row r="3094" spans="11:15">
      <c r="K3094" s="1663">
        <v>45151</v>
      </c>
      <c r="L3094" s="1667"/>
      <c r="M3094" s="910">
        <v>0</v>
      </c>
      <c r="N3094" s="1667">
        <v>2.0426247786551572</v>
      </c>
      <c r="O3094" s="1667"/>
    </row>
    <row r="3095" spans="11:15">
      <c r="K3095" s="1663">
        <v>45152</v>
      </c>
      <c r="L3095" s="1667" t="s">
        <v>2293</v>
      </c>
      <c r="M3095" s="910">
        <v>4.9036999999999997E-2</v>
      </c>
      <c r="N3095" s="1667">
        <v>2.0436264205678665</v>
      </c>
      <c r="O3095" s="1667"/>
    </row>
    <row r="3096" spans="11:15">
      <c r="K3096" s="1663">
        <v>45153</v>
      </c>
      <c r="L3096" s="1667" t="s">
        <v>2293</v>
      </c>
      <c r="M3096" s="910">
        <v>4.9036999999999997E-2</v>
      </c>
      <c r="N3096" s="1667">
        <v>2.0446285536557203</v>
      </c>
      <c r="O3096" s="1667"/>
    </row>
    <row r="3097" spans="11:15">
      <c r="K3097" s="1663">
        <v>45154</v>
      </c>
      <c r="L3097" s="1667" t="s">
        <v>2293</v>
      </c>
      <c r="M3097" s="910">
        <v>4.9036999999999997E-2</v>
      </c>
      <c r="N3097" s="1667">
        <v>2.0456311781595766</v>
      </c>
      <c r="O3097" s="1667"/>
    </row>
    <row r="3098" spans="11:15">
      <c r="K3098" s="1663">
        <v>45155</v>
      </c>
      <c r="L3098" s="1667" t="s">
        <v>2293</v>
      </c>
      <c r="M3098" s="910">
        <v>4.9036999999999997E-2</v>
      </c>
      <c r="N3098" s="1667">
        <v>2.0466342943204108</v>
      </c>
      <c r="O3098" s="1667"/>
    </row>
    <row r="3099" spans="11:15">
      <c r="K3099" s="1663">
        <v>45156</v>
      </c>
      <c r="L3099" s="1667" t="s">
        <v>2293</v>
      </c>
      <c r="M3099" s="910">
        <v>4.9036999999999997E-2</v>
      </c>
      <c r="N3099" s="1667">
        <v>2.047637902379317</v>
      </c>
      <c r="O3099" s="1667"/>
    </row>
    <row r="3100" spans="11:15">
      <c r="K3100" s="1663">
        <v>45157</v>
      </c>
      <c r="L3100" s="1667"/>
      <c r="M3100" s="910">
        <v>0</v>
      </c>
      <c r="N3100" s="1667">
        <v>2.047637902379317</v>
      </c>
      <c r="O3100" s="1667"/>
    </row>
    <row r="3101" spans="11:15">
      <c r="K3101" s="1663">
        <v>45158</v>
      </c>
      <c r="L3101" s="1667"/>
      <c r="M3101" s="910">
        <v>0</v>
      </c>
      <c r="N3101" s="1667">
        <v>2.047637902379317</v>
      </c>
      <c r="O3101" s="1667"/>
    </row>
    <row r="3102" spans="11:15">
      <c r="K3102" s="1663">
        <v>45159</v>
      </c>
      <c r="L3102" s="1667" t="s">
        <v>2293</v>
      </c>
      <c r="M3102" s="910">
        <v>4.9036999999999997E-2</v>
      </c>
      <c r="N3102" s="1667">
        <v>2.0486420025775067</v>
      </c>
      <c r="O3102" s="1667"/>
    </row>
    <row r="3103" spans="11:15">
      <c r="K3103" s="1663">
        <v>45160</v>
      </c>
      <c r="L3103" s="1667" t="s">
        <v>2293</v>
      </c>
      <c r="M3103" s="910">
        <v>4.9036999999999997E-2</v>
      </c>
      <c r="N3103" s="1667">
        <v>2.049646595156311</v>
      </c>
      <c r="O3103" s="1667"/>
    </row>
    <row r="3104" spans="11:15">
      <c r="K3104" s="1663">
        <v>45161</v>
      </c>
      <c r="L3104" s="1667" t="s">
        <v>2293</v>
      </c>
      <c r="M3104" s="910">
        <v>4.9036999999999997E-2</v>
      </c>
      <c r="N3104" s="1667">
        <v>2.0506516803571779</v>
      </c>
      <c r="O3104" s="1667"/>
    </row>
    <row r="3105" spans="11:15">
      <c r="K3105" s="1663">
        <v>45162</v>
      </c>
      <c r="L3105" s="1667" t="s">
        <v>2293</v>
      </c>
      <c r="M3105" s="910">
        <v>4.9036999999999997E-2</v>
      </c>
      <c r="N3105" s="1667">
        <v>2.0516572584216748</v>
      </c>
      <c r="O3105" s="1667"/>
    </row>
    <row r="3106" spans="11:15">
      <c r="K3106" s="1663">
        <v>45163</v>
      </c>
      <c r="L3106" s="1667" t="s">
        <v>2293</v>
      </c>
      <c r="M3106" s="910">
        <v>4.9036999999999997E-2</v>
      </c>
      <c r="N3106" s="1667">
        <v>2.0526633295914873</v>
      </c>
      <c r="O3106" s="1667"/>
    </row>
    <row r="3107" spans="11:15">
      <c r="K3107" s="1663">
        <v>45164</v>
      </c>
      <c r="L3107" s="1667"/>
      <c r="M3107" s="910">
        <v>0</v>
      </c>
      <c r="N3107" s="1667">
        <v>2.0526633295914873</v>
      </c>
      <c r="O3107" s="1667"/>
    </row>
    <row r="3108" spans="11:15">
      <c r="K3108" s="1663">
        <v>45165</v>
      </c>
      <c r="L3108" s="1667"/>
      <c r="M3108" s="910">
        <v>0</v>
      </c>
      <c r="N3108" s="1667">
        <v>2.0526633295914873</v>
      </c>
      <c r="O3108" s="1667"/>
    </row>
    <row r="3109" spans="11:15">
      <c r="K3109" s="1663">
        <v>45166</v>
      </c>
      <c r="L3109" s="1667" t="s">
        <v>2293</v>
      </c>
      <c r="M3109" s="910">
        <v>4.9036999999999997E-2</v>
      </c>
      <c r="N3109" s="1667">
        <v>2.053669894108419</v>
      </c>
      <c r="O3109" s="1667"/>
    </row>
    <row r="3110" spans="11:15">
      <c r="K3110" s="1663">
        <v>45167</v>
      </c>
      <c r="L3110" s="1667" t="s">
        <v>2293</v>
      </c>
      <c r="M3110" s="910">
        <v>4.9036999999999997E-2</v>
      </c>
      <c r="N3110" s="1667">
        <v>2.0546769522143933</v>
      </c>
      <c r="O3110" s="1667"/>
    </row>
    <row r="3111" spans="11:15">
      <c r="K3111" s="1663">
        <v>45168</v>
      </c>
      <c r="L3111" s="1667" t="s">
        <v>2293</v>
      </c>
      <c r="M3111" s="910">
        <v>4.9036999999999997E-2</v>
      </c>
      <c r="N3111" s="1667">
        <v>2.0556845041514507</v>
      </c>
      <c r="O3111" s="1667"/>
    </row>
    <row r="3112" spans="11:15">
      <c r="K3112" s="1663">
        <v>45169</v>
      </c>
      <c r="L3112" s="1667" t="s">
        <v>2293</v>
      </c>
      <c r="M3112" s="910">
        <v>4.9036999999999997E-2</v>
      </c>
      <c r="N3112" s="1667">
        <v>2.0566925501617517</v>
      </c>
      <c r="O3112" s="1667"/>
    </row>
    <row r="3113" spans="11:15">
      <c r="K3113" s="1663">
        <v>45170</v>
      </c>
      <c r="L3113" s="1667" t="s">
        <v>2293</v>
      </c>
      <c r="M3113" s="910">
        <v>4.9036999999999997E-2</v>
      </c>
      <c r="N3113" s="1667">
        <v>2.0577010904875745</v>
      </c>
      <c r="O3113" s="1667"/>
    </row>
    <row r="3114" spans="11:15">
      <c r="K3114" s="1663">
        <v>45171</v>
      </c>
      <c r="L3114" s="1667"/>
      <c r="M3114" s="910">
        <v>0</v>
      </c>
      <c r="N3114" s="1667">
        <v>2.0577010904875745</v>
      </c>
      <c r="O3114" s="1667"/>
    </row>
    <row r="3115" spans="11:15">
      <c r="K3115" s="1663">
        <v>45172</v>
      </c>
      <c r="L3115" s="1667"/>
      <c r="M3115" s="910">
        <v>0</v>
      </c>
      <c r="N3115" s="1667">
        <v>2.0577010904875745</v>
      </c>
      <c r="O3115" s="1667"/>
    </row>
    <row r="3116" spans="11:15">
      <c r="K3116" s="1663">
        <v>45173</v>
      </c>
      <c r="L3116" s="1667" t="s">
        <v>2293</v>
      </c>
      <c r="M3116" s="910">
        <v>4.9036999999999997E-2</v>
      </c>
      <c r="N3116" s="1667">
        <v>2.0587101253713169</v>
      </c>
      <c r="O3116" s="1667"/>
    </row>
    <row r="3117" spans="11:15">
      <c r="K3117" s="1663">
        <v>45174</v>
      </c>
      <c r="L3117" s="1667" t="s">
        <v>2293</v>
      </c>
      <c r="M3117" s="910">
        <v>4.9036999999999997E-2</v>
      </c>
      <c r="N3117" s="1667">
        <v>2.0597196550554955</v>
      </c>
      <c r="O3117" s="1667"/>
    </row>
    <row r="3118" spans="11:15">
      <c r="K3118" s="1663">
        <v>45175</v>
      </c>
      <c r="L3118" s="1667" t="s">
        <v>2293</v>
      </c>
      <c r="M3118" s="910">
        <v>4.9036999999999997E-2</v>
      </c>
      <c r="N3118" s="1667">
        <v>2.060729679782745</v>
      </c>
      <c r="O3118" s="1667"/>
    </row>
    <row r="3119" spans="11:15">
      <c r="K3119" s="1663">
        <v>45176</v>
      </c>
      <c r="L3119" s="1667"/>
      <c r="M3119" s="910">
        <v>0</v>
      </c>
      <c r="N3119" s="1667">
        <v>2.060729679782745</v>
      </c>
      <c r="O3119" s="1667"/>
    </row>
    <row r="3120" spans="11:15">
      <c r="K3120" s="1663">
        <v>45177</v>
      </c>
      <c r="L3120" s="1667" t="s">
        <v>2293</v>
      </c>
      <c r="M3120" s="910">
        <v>4.9036999999999997E-2</v>
      </c>
      <c r="N3120" s="1667">
        <v>2.0617401997958202</v>
      </c>
      <c r="O3120" s="1667"/>
    </row>
    <row r="3121" spans="11:15">
      <c r="K3121" s="1663">
        <v>45178</v>
      </c>
      <c r="L3121" s="1667"/>
      <c r="M3121" s="910">
        <v>0</v>
      </c>
      <c r="N3121" s="1667">
        <v>2.0617401997958202</v>
      </c>
      <c r="O3121" s="1667"/>
    </row>
    <row r="3122" spans="11:15">
      <c r="K3122" s="1663">
        <v>45179</v>
      </c>
      <c r="L3122" s="1667"/>
      <c r="M3122" s="910">
        <v>0</v>
      </c>
      <c r="N3122" s="1667">
        <v>2.0617401997958202</v>
      </c>
      <c r="O3122" s="1667"/>
    </row>
    <row r="3123" spans="11:15">
      <c r="K3123" s="1663">
        <v>45180</v>
      </c>
      <c r="L3123" s="1667" t="s">
        <v>2293</v>
      </c>
      <c r="M3123" s="910">
        <v>4.9036999999999997E-2</v>
      </c>
      <c r="N3123" s="1667">
        <v>2.0627512153375944</v>
      </c>
      <c r="O3123" s="1667"/>
    </row>
    <row r="3124" spans="11:15">
      <c r="K3124" s="1663">
        <v>45181</v>
      </c>
      <c r="L3124" s="1667" t="s">
        <v>2293</v>
      </c>
      <c r="M3124" s="910">
        <v>4.9036999999999997E-2</v>
      </c>
      <c r="N3124" s="1667">
        <v>2.0637627266510599</v>
      </c>
      <c r="O3124" s="1667"/>
    </row>
    <row r="3125" spans="11:15">
      <c r="K3125" s="1663">
        <v>45182</v>
      </c>
      <c r="L3125" s="1667" t="s">
        <v>2293</v>
      </c>
      <c r="M3125" s="910">
        <v>4.9036999999999997E-2</v>
      </c>
      <c r="N3125" s="1667">
        <v>2.0647747339793279</v>
      </c>
      <c r="O3125" s="1667"/>
    </row>
    <row r="3126" spans="11:15">
      <c r="K3126" s="1663">
        <v>45183</v>
      </c>
      <c r="L3126" s="1667" t="s">
        <v>2293</v>
      </c>
      <c r="M3126" s="910">
        <v>4.9036999999999997E-2</v>
      </c>
      <c r="N3126" s="1667">
        <v>2.0657872375656297</v>
      </c>
      <c r="O3126" s="1667"/>
    </row>
    <row r="3127" spans="11:15">
      <c r="K3127" s="1663">
        <v>45184</v>
      </c>
      <c r="L3127" s="1667" t="s">
        <v>2293</v>
      </c>
      <c r="M3127" s="910">
        <v>4.9036999999999997E-2</v>
      </c>
      <c r="N3127" s="1667">
        <v>2.066800237653315</v>
      </c>
      <c r="O3127" s="1667"/>
    </row>
    <row r="3128" spans="11:15">
      <c r="K3128" s="1663">
        <v>45185</v>
      </c>
      <c r="L3128" s="1667"/>
      <c r="M3128" s="910">
        <v>0</v>
      </c>
      <c r="N3128" s="1667">
        <v>2.066800237653315</v>
      </c>
      <c r="O3128" s="1667"/>
    </row>
    <row r="3129" spans="11:15">
      <c r="K3129" s="1663">
        <v>45186</v>
      </c>
      <c r="L3129" s="1667"/>
      <c r="M3129" s="910">
        <v>0</v>
      </c>
      <c r="N3129" s="1667">
        <v>2.066800237653315</v>
      </c>
      <c r="O3129" s="1667"/>
    </row>
    <row r="3130" spans="11:15">
      <c r="K3130" s="1663">
        <v>45187</v>
      </c>
      <c r="L3130" s="1667" t="s">
        <v>2293</v>
      </c>
      <c r="M3130" s="910">
        <v>4.9036999999999997E-2</v>
      </c>
      <c r="N3130" s="1667">
        <v>2.0678137344858531</v>
      </c>
      <c r="O3130" s="1667"/>
    </row>
    <row r="3131" spans="11:15">
      <c r="K3131" s="1663">
        <v>45188</v>
      </c>
      <c r="L3131" s="1667" t="s">
        <v>2293</v>
      </c>
      <c r="M3131" s="910">
        <v>4.9036999999999997E-2</v>
      </c>
      <c r="N3131" s="1667">
        <v>2.0688277283068333</v>
      </c>
      <c r="O3131" s="1667"/>
    </row>
    <row r="3132" spans="11:15">
      <c r="K3132" s="1663">
        <v>45189</v>
      </c>
      <c r="L3132" s="1667" t="s">
        <v>2293</v>
      </c>
      <c r="M3132" s="910">
        <v>4.9036999999999997E-2</v>
      </c>
      <c r="N3132" s="1667">
        <v>2.069842219359963</v>
      </c>
      <c r="O3132" s="1667"/>
    </row>
    <row r="3133" spans="11:15">
      <c r="K3133" s="1663">
        <v>45190</v>
      </c>
      <c r="L3133" s="1667" t="s">
        <v>2293</v>
      </c>
      <c r="M3133" s="910">
        <v>4.9036999999999997E-2</v>
      </c>
      <c r="N3133" s="1667">
        <v>2.0708572078890706</v>
      </c>
      <c r="O3133" s="1667"/>
    </row>
    <row r="3134" spans="11:15">
      <c r="K3134" s="1663">
        <v>45191</v>
      </c>
      <c r="L3134" s="1667" t="s">
        <v>2293</v>
      </c>
      <c r="M3134" s="910">
        <v>4.9036999999999997E-2</v>
      </c>
      <c r="N3134" s="1667">
        <v>2.0718726941381034</v>
      </c>
      <c r="O3134" s="1667"/>
    </row>
    <row r="3135" spans="11:15">
      <c r="K3135" s="1663">
        <v>45192</v>
      </c>
      <c r="L3135" s="1667"/>
      <c r="M3135" s="910">
        <v>0</v>
      </c>
      <c r="N3135" s="1667">
        <v>2.0718726941381034</v>
      </c>
      <c r="O3135" s="1667"/>
    </row>
    <row r="3136" spans="11:15">
      <c r="K3136" s="1663">
        <v>45193</v>
      </c>
      <c r="L3136" s="1667"/>
      <c r="M3136" s="910">
        <v>0</v>
      </c>
      <c r="N3136" s="1667">
        <v>2.0718726941381034</v>
      </c>
      <c r="O3136" s="1667"/>
    </row>
    <row r="3137" spans="11:15">
      <c r="K3137" s="1663">
        <v>45194</v>
      </c>
      <c r="L3137" s="1667" t="s">
        <v>2293</v>
      </c>
      <c r="M3137" s="910">
        <v>4.9036999999999997E-2</v>
      </c>
      <c r="N3137" s="1667">
        <v>2.072888678351128</v>
      </c>
      <c r="O3137" s="1667"/>
    </row>
    <row r="3138" spans="11:15">
      <c r="K3138" s="1663">
        <v>45195</v>
      </c>
      <c r="L3138" s="1667" t="s">
        <v>2293</v>
      </c>
      <c r="M3138" s="910">
        <v>4.9036999999999997E-2</v>
      </c>
      <c r="N3138" s="1667">
        <v>2.0739051607723313</v>
      </c>
      <c r="O3138" s="1667"/>
    </row>
    <row r="3139" spans="11:15">
      <c r="K3139" s="1663">
        <v>45196</v>
      </c>
      <c r="L3139" s="1667" t="s">
        <v>2293</v>
      </c>
      <c r="M3139" s="910">
        <v>4.9036999999999997E-2</v>
      </c>
      <c r="N3139" s="1667">
        <v>2.0749221416460193</v>
      </c>
      <c r="O3139" s="1667"/>
    </row>
    <row r="3140" spans="11:15">
      <c r="K3140" s="1663">
        <v>45197</v>
      </c>
      <c r="L3140" s="1667" t="s">
        <v>2293</v>
      </c>
      <c r="M3140" s="910">
        <v>4.9036999999999997E-2</v>
      </c>
      <c r="N3140" s="1667">
        <v>2.0759396212166186</v>
      </c>
      <c r="O3140" s="1667"/>
    </row>
    <row r="3141" spans="11:15">
      <c r="K3141" s="1663">
        <v>45198</v>
      </c>
      <c r="L3141" s="1667" t="s">
        <v>2293</v>
      </c>
      <c r="M3141" s="910">
        <v>4.9036999999999997E-2</v>
      </c>
      <c r="N3141" s="1667">
        <v>2.0769575997286749</v>
      </c>
      <c r="O3141" s="1667"/>
    </row>
    <row r="3142" spans="11:15">
      <c r="K3142" s="1663">
        <v>45199</v>
      </c>
      <c r="L3142" s="1667"/>
      <c r="M3142" s="910">
        <v>0</v>
      </c>
      <c r="N3142" s="1667">
        <v>2.0769575997286749</v>
      </c>
      <c r="O3142" s="1667"/>
    </row>
    <row r="3143" spans="11:15">
      <c r="K3143" s="1663">
        <v>45200</v>
      </c>
      <c r="L3143" s="1667"/>
      <c r="M3143" s="910">
        <v>0</v>
      </c>
      <c r="N3143" s="1667">
        <v>2.0769575997286749</v>
      </c>
      <c r="O3143" s="1667"/>
    </row>
    <row r="3144" spans="11:15">
      <c r="K3144" s="1663">
        <v>45201</v>
      </c>
      <c r="L3144" s="1667" t="s">
        <v>2293</v>
      </c>
      <c r="M3144" s="910">
        <v>4.9036999999999997E-2</v>
      </c>
      <c r="N3144" s="1667">
        <v>2.0779760774268539</v>
      </c>
      <c r="O3144" s="1667"/>
    </row>
    <row r="3145" spans="11:15">
      <c r="K3145" s="1663">
        <v>45202</v>
      </c>
      <c r="L3145" s="1667" t="s">
        <v>2293</v>
      </c>
      <c r="M3145" s="910">
        <v>4.9036999999999997E-2</v>
      </c>
      <c r="N3145" s="1667">
        <v>2.0789950545559419</v>
      </c>
      <c r="O3145" s="1667"/>
    </row>
    <row r="3146" spans="11:15">
      <c r="K3146" s="1663">
        <v>45203</v>
      </c>
      <c r="L3146" s="1667" t="s">
        <v>2293</v>
      </c>
      <c r="M3146" s="910">
        <v>4.9036999999999997E-2</v>
      </c>
      <c r="N3146" s="1667">
        <v>2.0800145313608445</v>
      </c>
      <c r="O3146" s="1667"/>
    </row>
    <row r="3147" spans="11:15">
      <c r="K3147" s="1663">
        <v>45204</v>
      </c>
      <c r="L3147" s="1667" t="s">
        <v>2293</v>
      </c>
      <c r="M3147" s="910">
        <v>4.9036999999999997E-2</v>
      </c>
      <c r="N3147" s="1667">
        <v>2.0810345080865882</v>
      </c>
      <c r="O3147" s="1667"/>
    </row>
    <row r="3148" spans="11:15">
      <c r="K3148" s="1663">
        <v>45205</v>
      </c>
      <c r="L3148" s="1667" t="s">
        <v>2293</v>
      </c>
      <c r="M3148" s="910">
        <v>4.9036999999999997E-2</v>
      </c>
      <c r="N3148" s="1667">
        <v>2.0820549849783188</v>
      </c>
      <c r="O3148" s="1667"/>
    </row>
    <row r="3149" spans="11:15">
      <c r="K3149" s="1663">
        <v>45206</v>
      </c>
      <c r="L3149" s="1667"/>
      <c r="M3149" s="910">
        <v>0</v>
      </c>
      <c r="N3149" s="1667">
        <v>2.0820549849783188</v>
      </c>
      <c r="O3149" s="1667"/>
    </row>
    <row r="3150" spans="11:15">
      <c r="K3150" s="1663">
        <v>45207</v>
      </c>
      <c r="L3150" s="1667"/>
      <c r="M3150" s="910">
        <v>0</v>
      </c>
      <c r="N3150" s="1667">
        <v>2.0820549849783188</v>
      </c>
      <c r="O3150" s="1667"/>
    </row>
    <row r="3151" spans="11:15">
      <c r="K3151" s="1663">
        <v>45208</v>
      </c>
      <c r="L3151" s="1667" t="s">
        <v>2293</v>
      </c>
      <c r="M3151" s="910">
        <v>4.9036999999999997E-2</v>
      </c>
      <c r="N3151" s="1667">
        <v>2.0830759622813027</v>
      </c>
      <c r="O3151" s="1667"/>
    </row>
    <row r="3152" spans="11:15">
      <c r="K3152" s="1663">
        <v>45209</v>
      </c>
      <c r="L3152" s="1667" t="s">
        <v>2293</v>
      </c>
      <c r="M3152" s="910">
        <v>4.9036999999999997E-2</v>
      </c>
      <c r="N3152" s="1667">
        <v>2.0840974402409267</v>
      </c>
      <c r="O3152" s="1667"/>
    </row>
    <row r="3153" spans="11:15">
      <c r="K3153" s="1663">
        <v>45210</v>
      </c>
      <c r="L3153" s="1667" t="s">
        <v>2293</v>
      </c>
      <c r="M3153" s="910">
        <v>4.9036999999999997E-2</v>
      </c>
      <c r="N3153" s="1667">
        <v>2.0851194191026976</v>
      </c>
      <c r="O3153" s="1667"/>
    </row>
    <row r="3154" spans="11:15">
      <c r="K3154" s="1663">
        <v>45211</v>
      </c>
      <c r="L3154" s="1667"/>
      <c r="M3154" s="910">
        <v>0</v>
      </c>
      <c r="N3154" s="1667">
        <v>2.0851194191026976</v>
      </c>
      <c r="O3154" s="1667"/>
    </row>
    <row r="3155" spans="11:15">
      <c r="K3155" s="1663">
        <v>45212</v>
      </c>
      <c r="L3155" s="1667" t="s">
        <v>2293</v>
      </c>
      <c r="M3155" s="910">
        <v>4.9036999999999997E-2</v>
      </c>
      <c r="N3155" s="1667">
        <v>2.0861418991122433</v>
      </c>
      <c r="O3155" s="1667"/>
    </row>
    <row r="3156" spans="11:15">
      <c r="K3156" s="1663">
        <v>45213</v>
      </c>
      <c r="L3156" s="1667"/>
      <c r="M3156" s="910">
        <v>0</v>
      </c>
      <c r="N3156" s="1667">
        <v>2.0861418991122433</v>
      </c>
      <c r="O3156" s="1667"/>
    </row>
    <row r="3157" spans="11:15">
      <c r="K3157" s="1663">
        <v>45214</v>
      </c>
      <c r="L3157" s="1667"/>
      <c r="M3157" s="910">
        <v>0</v>
      </c>
      <c r="N3157" s="1667">
        <v>2.0861418991122433</v>
      </c>
      <c r="O3157" s="1667"/>
    </row>
    <row r="3158" spans="11:15">
      <c r="K3158" s="1663">
        <v>45215</v>
      </c>
      <c r="L3158" s="1667" t="s">
        <v>2293</v>
      </c>
      <c r="M3158" s="910">
        <v>4.9036999999999997E-2</v>
      </c>
      <c r="N3158" s="1667">
        <v>2.0871648805153113</v>
      </c>
      <c r="O3158" s="1667"/>
    </row>
    <row r="3159" spans="11:15">
      <c r="K3159" s="1663">
        <v>45216</v>
      </c>
      <c r="L3159" s="1667" t="s">
        <v>2293</v>
      </c>
      <c r="M3159" s="910">
        <v>4.9036999999999997E-2</v>
      </c>
      <c r="N3159" s="1667">
        <v>2.0881883635577698</v>
      </c>
      <c r="O3159" s="1667"/>
    </row>
    <row r="3160" spans="11:15">
      <c r="K3160" s="1663">
        <v>45217</v>
      </c>
      <c r="L3160" s="1667" t="s">
        <v>2293</v>
      </c>
      <c r="M3160" s="910">
        <v>4.9036999999999997E-2</v>
      </c>
      <c r="N3160" s="1667">
        <v>2.0892123484856078</v>
      </c>
      <c r="O3160" s="1667"/>
    </row>
    <row r="3161" spans="11:15">
      <c r="K3161" s="1663">
        <v>45218</v>
      </c>
      <c r="L3161" s="1667" t="s">
        <v>2293</v>
      </c>
      <c r="M3161" s="910">
        <v>4.9036999999999997E-2</v>
      </c>
      <c r="N3161" s="1667">
        <v>2.090236835544935</v>
      </c>
      <c r="O3161" s="1667"/>
    </row>
    <row r="3162" spans="11:15">
      <c r="K3162" s="1663">
        <v>45219</v>
      </c>
      <c r="L3162" s="1667" t="s">
        <v>2293</v>
      </c>
      <c r="M3162" s="910">
        <v>4.9036999999999997E-2</v>
      </c>
      <c r="N3162" s="1667">
        <v>2.0912618249819812</v>
      </c>
      <c r="O3162" s="1667"/>
    </row>
    <row r="3163" spans="11:15">
      <c r="K3163" s="1663">
        <v>45220</v>
      </c>
      <c r="L3163" s="1667"/>
      <c r="M3163" s="910">
        <v>0</v>
      </c>
      <c r="N3163" s="1667">
        <v>2.0912618249819812</v>
      </c>
      <c r="O3163" s="1667"/>
    </row>
    <row r="3164" spans="11:15">
      <c r="K3164" s="1663">
        <v>45221</v>
      </c>
      <c r="L3164" s="1667"/>
      <c r="M3164" s="910">
        <v>0</v>
      </c>
      <c r="N3164" s="1667">
        <v>2.0912618249819812</v>
      </c>
      <c r="O3164" s="1667"/>
    </row>
    <row r="3165" spans="11:15">
      <c r="K3165" s="1663">
        <v>45222</v>
      </c>
      <c r="L3165" s="1667" t="s">
        <v>2293</v>
      </c>
      <c r="M3165" s="910">
        <v>4.9036999999999997E-2</v>
      </c>
      <c r="N3165" s="1667">
        <v>2.0922873170430978</v>
      </c>
      <c r="O3165" s="1667"/>
    </row>
    <row r="3166" spans="11:15">
      <c r="K3166" s="1663">
        <v>45223</v>
      </c>
      <c r="L3166" s="1667" t="s">
        <v>2293</v>
      </c>
      <c r="M3166" s="910">
        <v>4.9036999999999997E-2</v>
      </c>
      <c r="N3166" s="1667">
        <v>2.0933133119747565</v>
      </c>
      <c r="O3166" s="1667"/>
    </row>
    <row r="3167" spans="11:15">
      <c r="K3167" s="1663">
        <v>45224</v>
      </c>
      <c r="L3167" s="1667" t="s">
        <v>2293</v>
      </c>
      <c r="M3167" s="910">
        <v>4.9036999999999997E-2</v>
      </c>
      <c r="N3167" s="1667">
        <v>2.0943398100235497</v>
      </c>
      <c r="O3167" s="1667"/>
    </row>
    <row r="3168" spans="11:15">
      <c r="K3168" s="1663">
        <v>45225</v>
      </c>
      <c r="L3168" s="1667" t="s">
        <v>2293</v>
      </c>
      <c r="M3168" s="910">
        <v>4.9036999999999997E-2</v>
      </c>
      <c r="N3168" s="1667">
        <v>2.095366811436191</v>
      </c>
      <c r="O3168" s="1667"/>
    </row>
    <row r="3169" spans="11:15">
      <c r="K3169" s="1663">
        <v>45226</v>
      </c>
      <c r="L3169" s="1667" t="s">
        <v>2293</v>
      </c>
      <c r="M3169" s="910">
        <v>4.9036999999999997E-2</v>
      </c>
      <c r="N3169" s="1667">
        <v>2.0963943164595151</v>
      </c>
      <c r="O3169" s="1667"/>
    </row>
    <row r="3170" spans="11:15">
      <c r="K3170" s="1663">
        <v>45227</v>
      </c>
      <c r="L3170" s="1667"/>
      <c r="M3170" s="910">
        <v>0</v>
      </c>
      <c r="N3170" s="1667">
        <v>2.0963943164595151</v>
      </c>
      <c r="O3170" s="1667"/>
    </row>
    <row r="3171" spans="11:15">
      <c r="K3171" s="1663">
        <v>45228</v>
      </c>
      <c r="L3171" s="1667"/>
      <c r="M3171" s="910">
        <v>0</v>
      </c>
      <c r="N3171" s="1667">
        <v>2.0963943164595151</v>
      </c>
      <c r="O3171" s="1667"/>
    </row>
    <row r="3172" spans="11:15">
      <c r="K3172" s="1663">
        <v>45229</v>
      </c>
      <c r="L3172" s="1667" t="s">
        <v>2293</v>
      </c>
      <c r="M3172" s="910">
        <v>4.9036999999999997E-2</v>
      </c>
      <c r="N3172" s="1667">
        <v>2.0974223253404776</v>
      </c>
      <c r="O3172" s="1667"/>
    </row>
    <row r="3173" spans="11:15">
      <c r="K3173" s="1663">
        <v>45230</v>
      </c>
      <c r="L3173" s="1667" t="s">
        <v>2293</v>
      </c>
      <c r="M3173" s="910">
        <v>4.9036999999999997E-2</v>
      </c>
      <c r="N3173" s="1667">
        <v>2.0984508383261549</v>
      </c>
      <c r="O3173" s="1667"/>
    </row>
    <row r="3174" spans="11:15">
      <c r="K3174" s="1663">
        <v>45231</v>
      </c>
      <c r="L3174" s="1667" t="s">
        <v>2293</v>
      </c>
      <c r="M3174" s="910">
        <v>4.9036999999999997E-2</v>
      </c>
      <c r="N3174" s="1667">
        <v>2.0994798556637448</v>
      </c>
      <c r="O3174" s="1667"/>
    </row>
    <row r="3175" spans="11:15">
      <c r="K3175" s="1663">
        <v>45232</v>
      </c>
      <c r="L3175" s="1667"/>
      <c r="M3175" s="910">
        <v>0</v>
      </c>
      <c r="N3175" s="1667">
        <v>2.0994798556637448</v>
      </c>
      <c r="O3175" s="1667"/>
    </row>
    <row r="3176" spans="11:15">
      <c r="K3176" s="1663">
        <v>45233</v>
      </c>
      <c r="L3176" s="1667" t="s">
        <v>2293</v>
      </c>
      <c r="M3176" s="910">
        <v>4.9036999999999997E-2</v>
      </c>
      <c r="N3176" s="1667">
        <v>2.100509377600567</v>
      </c>
      <c r="O3176" s="1667"/>
    </row>
    <row r="3177" spans="11:15">
      <c r="K3177" s="1663">
        <v>45234</v>
      </c>
      <c r="L3177" s="1667"/>
      <c r="M3177" s="910">
        <v>0</v>
      </c>
      <c r="N3177" s="1667">
        <v>2.100509377600567</v>
      </c>
      <c r="O3177" s="1667"/>
    </row>
    <row r="3178" spans="11:15">
      <c r="K3178" s="1663">
        <v>45235</v>
      </c>
      <c r="L3178" s="1667"/>
      <c r="M3178" s="910">
        <v>0</v>
      </c>
      <c r="N3178" s="1667">
        <v>2.100509377600567</v>
      </c>
      <c r="O3178" s="1667"/>
    </row>
    <row r="3179" spans="11:15">
      <c r="K3179" s="1663">
        <v>45236</v>
      </c>
      <c r="L3179" s="1667" t="s">
        <v>2293</v>
      </c>
      <c r="M3179" s="910">
        <v>4.9036999999999997E-2</v>
      </c>
      <c r="N3179" s="1667">
        <v>2.1015394043840612</v>
      </c>
      <c r="O3179" s="1667"/>
    </row>
    <row r="3180" spans="11:15">
      <c r="K3180" s="1663">
        <v>45237</v>
      </c>
      <c r="L3180" s="1667" t="s">
        <v>2293</v>
      </c>
      <c r="M3180" s="910">
        <v>4.9036999999999997E-2</v>
      </c>
      <c r="N3180" s="1667">
        <v>2.1025699362617893</v>
      </c>
      <c r="O3180" s="1667"/>
    </row>
    <row r="3181" spans="11:15">
      <c r="K3181" s="1663">
        <v>45238</v>
      </c>
      <c r="L3181" s="1667" t="s">
        <v>2293</v>
      </c>
      <c r="M3181" s="910">
        <v>4.9036999999999997E-2</v>
      </c>
      <c r="N3181" s="1667">
        <v>2.1036009734814343</v>
      </c>
      <c r="O3181" s="1667"/>
    </row>
    <row r="3182" spans="11:15">
      <c r="K3182" s="1663">
        <v>45239</v>
      </c>
      <c r="L3182" s="1667" t="s">
        <v>2293</v>
      </c>
      <c r="M3182" s="910">
        <v>4.9036999999999997E-2</v>
      </c>
      <c r="N3182" s="1667">
        <v>2.1046325162908004</v>
      </c>
      <c r="O3182" s="1667"/>
    </row>
    <row r="3183" spans="11:15">
      <c r="K3183" s="1663">
        <v>45240</v>
      </c>
      <c r="L3183" s="1667" t="s">
        <v>2293</v>
      </c>
      <c r="M3183" s="910">
        <v>4.9036999999999997E-2</v>
      </c>
      <c r="N3183" s="1667">
        <v>2.1056645649378143</v>
      </c>
      <c r="O3183" s="1667"/>
    </row>
    <row r="3184" spans="11:15">
      <c r="K3184" s="1663">
        <v>45241</v>
      </c>
      <c r="L3184" s="1667"/>
      <c r="M3184" s="910">
        <v>0</v>
      </c>
      <c r="N3184" s="1667">
        <v>2.1056645649378143</v>
      </c>
      <c r="O3184" s="1667"/>
    </row>
    <row r="3185" spans="11:15">
      <c r="K3185" s="1663">
        <v>45242</v>
      </c>
      <c r="L3185" s="1667"/>
      <c r="M3185" s="910">
        <v>0</v>
      </c>
      <c r="N3185" s="1667">
        <v>2.1056645649378143</v>
      </c>
      <c r="O3185" s="1667"/>
    </row>
    <row r="3186" spans="11:15">
      <c r="K3186" s="1663">
        <v>45243</v>
      </c>
      <c r="L3186" s="1667" t="s">
        <v>2293</v>
      </c>
      <c r="M3186" s="910">
        <v>4.9036999999999997E-2</v>
      </c>
      <c r="N3186" s="1667">
        <v>2.1066971196705229</v>
      </c>
      <c r="O3186" s="1667"/>
    </row>
    <row r="3187" spans="11:15">
      <c r="K3187" s="1663">
        <v>45244</v>
      </c>
      <c r="L3187" s="1667" t="s">
        <v>2293</v>
      </c>
      <c r="M3187" s="910">
        <v>4.9036999999999997E-2</v>
      </c>
      <c r="N3187" s="1667">
        <v>2.1077301807370961</v>
      </c>
      <c r="O3187" s="1667"/>
    </row>
    <row r="3188" spans="11:15">
      <c r="K3188" s="1663">
        <v>45245</v>
      </c>
      <c r="L3188" s="1667"/>
      <c r="M3188" s="910">
        <v>0</v>
      </c>
      <c r="N3188" s="1667">
        <v>2.1077301807370961</v>
      </c>
      <c r="O3188" s="1667"/>
    </row>
    <row r="3189" spans="11:15">
      <c r="K3189" s="1663">
        <v>45246</v>
      </c>
      <c r="L3189" s="1667" t="s">
        <v>2293</v>
      </c>
      <c r="M3189" s="910">
        <v>4.9036999999999997E-2</v>
      </c>
      <c r="N3189" s="1667">
        <v>2.1087637483858241</v>
      </c>
      <c r="O3189" s="1667"/>
    </row>
    <row r="3190" spans="11:15">
      <c r="K3190" s="1663">
        <v>45247</v>
      </c>
      <c r="L3190" s="1667" t="s">
        <v>2293</v>
      </c>
      <c r="M3190" s="910">
        <v>4.9036999999999997E-2</v>
      </c>
      <c r="N3190" s="1667">
        <v>2.1097978228651204</v>
      </c>
      <c r="O3190" s="1667"/>
    </row>
    <row r="3191" spans="11:15">
      <c r="K3191" s="1663">
        <v>45248</v>
      </c>
      <c r="L3191" s="1667"/>
      <c r="M3191" s="910">
        <v>0</v>
      </c>
      <c r="N3191" s="1667">
        <v>2.1097978228651204</v>
      </c>
      <c r="O3191" s="1667"/>
    </row>
    <row r="3192" spans="11:15">
      <c r="K3192" s="1663">
        <v>45249</v>
      </c>
      <c r="L3192" s="1667"/>
      <c r="M3192" s="910">
        <v>0</v>
      </c>
      <c r="N3192" s="1667">
        <v>2.1097978228651204</v>
      </c>
      <c r="O3192" s="1667"/>
    </row>
    <row r="3193" spans="11:15">
      <c r="K3193" s="1663">
        <v>45250</v>
      </c>
      <c r="L3193" s="1667" t="s">
        <v>2293</v>
      </c>
      <c r="M3193" s="910">
        <v>4.9036999999999997E-2</v>
      </c>
      <c r="N3193" s="1667">
        <v>2.1108324044235189</v>
      </c>
      <c r="O3193" s="1667"/>
    </row>
    <row r="3194" spans="11:15">
      <c r="K3194" s="1663">
        <v>45251</v>
      </c>
      <c r="L3194" s="1667" t="s">
        <v>2293</v>
      </c>
      <c r="M3194" s="910">
        <v>4.9036999999999997E-2</v>
      </c>
      <c r="N3194" s="1667">
        <v>2.1118674933096764</v>
      </c>
      <c r="O3194" s="1667"/>
    </row>
    <row r="3195" spans="11:15">
      <c r="K3195" s="1663">
        <v>45252</v>
      </c>
      <c r="L3195" s="1667" t="s">
        <v>2293</v>
      </c>
      <c r="M3195" s="910">
        <v>4.9036999999999997E-2</v>
      </c>
      <c r="N3195" s="1667">
        <v>2.1129030897723706</v>
      </c>
      <c r="O3195" s="1667"/>
    </row>
    <row r="3196" spans="11:15">
      <c r="K3196" s="1663">
        <v>45253</v>
      </c>
      <c r="L3196" s="1667" t="s">
        <v>2293</v>
      </c>
      <c r="M3196" s="910">
        <v>4.9036999999999997E-2</v>
      </c>
      <c r="N3196" s="1667">
        <v>2.1139391940605026</v>
      </c>
      <c r="O3196" s="1667"/>
    </row>
    <row r="3197" spans="11:15">
      <c r="K3197" s="1663">
        <v>45254</v>
      </c>
      <c r="L3197" s="1667" t="s">
        <v>2293</v>
      </c>
      <c r="M3197" s="910">
        <v>4.9036999999999997E-2</v>
      </c>
      <c r="N3197" s="1667">
        <v>2.1149758064230944</v>
      </c>
      <c r="O3197" s="1667"/>
    </row>
    <row r="3198" spans="11:15">
      <c r="K3198" s="1663">
        <v>45255</v>
      </c>
      <c r="L3198" s="1667"/>
      <c r="M3198" s="910">
        <v>0</v>
      </c>
      <c r="N3198" s="1667">
        <v>2.1149758064230944</v>
      </c>
      <c r="O3198" s="1667"/>
    </row>
    <row r="3199" spans="11:15">
      <c r="K3199" s="1663">
        <v>45256</v>
      </c>
      <c r="L3199" s="1667"/>
      <c r="M3199" s="910">
        <v>0</v>
      </c>
      <c r="N3199" s="1667">
        <v>2.1149758064230944</v>
      </c>
      <c r="O3199" s="1667"/>
    </row>
    <row r="3200" spans="11:15">
      <c r="K3200" s="1663">
        <v>45257</v>
      </c>
      <c r="L3200" s="1667" t="s">
        <v>2293</v>
      </c>
      <c r="M3200" s="910">
        <v>4.9036999999999997E-2</v>
      </c>
      <c r="N3200" s="1667">
        <v>2.1160129271092902</v>
      </c>
      <c r="O3200" s="1667"/>
    </row>
    <row r="3201" spans="11:15">
      <c r="K3201" s="1663">
        <v>45258</v>
      </c>
      <c r="L3201" s="1667" t="s">
        <v>2293</v>
      </c>
      <c r="M3201" s="910">
        <v>4.9036999999999997E-2</v>
      </c>
      <c r="N3201" s="1667">
        <v>2.117050556368357</v>
      </c>
      <c r="O3201" s="1667"/>
    </row>
    <row r="3202" spans="11:15">
      <c r="K3202" s="1663">
        <v>45259</v>
      </c>
      <c r="L3202" s="1667" t="s">
        <v>2293</v>
      </c>
      <c r="M3202" s="910">
        <v>4.9036999999999997E-2</v>
      </c>
      <c r="N3202" s="1667">
        <v>2.1180886944496837</v>
      </c>
      <c r="O3202" s="1667"/>
    </row>
    <row r="3203" spans="11:15">
      <c r="K3203" s="1663">
        <v>45260</v>
      </c>
      <c r="L3203" s="1667" t="s">
        <v>2293</v>
      </c>
      <c r="M3203" s="910">
        <v>4.9036999999999997E-2</v>
      </c>
      <c r="N3203" s="1667">
        <v>2.1191273416027814</v>
      </c>
      <c r="O3203" s="1667"/>
    </row>
    <row r="3204" spans="11:15">
      <c r="K3204" s="1663">
        <v>45261</v>
      </c>
      <c r="L3204" s="1667" t="s">
        <v>2293</v>
      </c>
      <c r="M3204" s="910">
        <v>4.9036999999999997E-2</v>
      </c>
      <c r="N3204" s="1667">
        <v>2.1201664980772832</v>
      </c>
      <c r="O3204" s="1667"/>
    </row>
    <row r="3205" spans="11:15">
      <c r="K3205" s="1663">
        <v>45262</v>
      </c>
      <c r="L3205" s="1667"/>
      <c r="M3205" s="910">
        <v>0</v>
      </c>
      <c r="N3205" s="1667">
        <v>2.1201664980772832</v>
      </c>
      <c r="O3205" s="1667"/>
    </row>
    <row r="3206" spans="11:15">
      <c r="K3206" s="1663">
        <v>45263</v>
      </c>
      <c r="L3206" s="1667"/>
      <c r="M3206" s="910">
        <v>0</v>
      </c>
      <c r="N3206" s="1667">
        <v>2.1201664980772832</v>
      </c>
      <c r="O3206" s="1667"/>
    </row>
    <row r="3207" spans="11:15">
      <c r="K3207" s="1663">
        <v>45264</v>
      </c>
      <c r="L3207" s="1667" t="s">
        <v>2293</v>
      </c>
      <c r="M3207" s="910">
        <v>4.9036999999999997E-2</v>
      </c>
      <c r="N3207" s="1667">
        <v>2.1212061641229454</v>
      </c>
      <c r="O3207" s="1667"/>
    </row>
    <row r="3208" spans="11:15">
      <c r="K3208" s="1663">
        <v>45265</v>
      </c>
      <c r="L3208" s="1667" t="s">
        <v>2293</v>
      </c>
      <c r="M3208" s="910">
        <v>4.9036999999999997E-2</v>
      </c>
      <c r="N3208" s="1667">
        <v>2.1222463399896463</v>
      </c>
      <c r="O3208" s="1667"/>
    </row>
    <row r="3209" spans="11:15">
      <c r="K3209" s="1663">
        <v>45266</v>
      </c>
      <c r="L3209" s="1667" t="s">
        <v>2293</v>
      </c>
      <c r="M3209" s="910">
        <v>4.9036999999999997E-2</v>
      </c>
      <c r="N3209" s="1667">
        <v>2.1232870259273873</v>
      </c>
      <c r="O3209" s="1667"/>
    </row>
    <row r="3210" spans="11:15">
      <c r="K3210" s="1663">
        <v>45267</v>
      </c>
      <c r="L3210" s="1667" t="s">
        <v>2293</v>
      </c>
      <c r="M3210" s="910">
        <v>4.9036999999999997E-2</v>
      </c>
      <c r="N3210" s="1667">
        <v>2.1243282221862914</v>
      </c>
      <c r="O3210" s="1667"/>
    </row>
    <row r="3211" spans="11:15">
      <c r="K3211" s="1663">
        <v>45268</v>
      </c>
      <c r="L3211" s="1667" t="s">
        <v>2293</v>
      </c>
      <c r="M3211" s="910">
        <v>4.9036999999999997E-2</v>
      </c>
      <c r="N3211" s="1667">
        <v>2.125369929016605</v>
      </c>
      <c r="O3211" s="1667"/>
    </row>
    <row r="3212" spans="11:15">
      <c r="K3212" s="1663">
        <v>45269</v>
      </c>
      <c r="L3212" s="1667"/>
      <c r="M3212" s="910">
        <v>0</v>
      </c>
      <c r="N3212" s="1667">
        <v>2.125369929016605</v>
      </c>
      <c r="O3212" s="1667"/>
    </row>
    <row r="3213" spans="11:15">
      <c r="K3213" s="1663">
        <v>45270</v>
      </c>
      <c r="L3213" s="1667"/>
      <c r="M3213" s="910">
        <v>0</v>
      </c>
      <c r="N3213" s="1667">
        <v>2.125369929016605</v>
      </c>
      <c r="O3213" s="1667"/>
    </row>
    <row r="3214" spans="11:15">
      <c r="K3214" s="1663">
        <v>45271</v>
      </c>
      <c r="L3214" s="1667" t="s">
        <v>2293</v>
      </c>
      <c r="M3214" s="910">
        <v>4.9036999999999997E-2</v>
      </c>
      <c r="N3214" s="1667">
        <v>2.1264121466686969</v>
      </c>
      <c r="O3214" s="1667"/>
    </row>
    <row r="3215" spans="11:15">
      <c r="K3215" s="1663">
        <v>45272</v>
      </c>
      <c r="L3215" s="1" t="s">
        <v>2293</v>
      </c>
      <c r="M3215" s="1">
        <v>4.9036999999999997E-2</v>
      </c>
      <c r="N3215" s="1">
        <v>2.1274548753930591</v>
      </c>
    </row>
    <row r="3216" spans="11:15">
      <c r="K3216" s="1663">
        <v>45273</v>
      </c>
      <c r="L3216" s="1" t="s">
        <v>2293</v>
      </c>
      <c r="M3216" s="1">
        <v>4.9036999999999997E-2</v>
      </c>
      <c r="N3216" s="1">
        <v>2.1284981154403058</v>
      </c>
    </row>
    <row r="3217" spans="11:14">
      <c r="K3217" s="1663">
        <v>45274</v>
      </c>
      <c r="L3217" s="1" t="s">
        <v>2293</v>
      </c>
      <c r="M3217" s="1">
        <v>4.9036999999999997E-2</v>
      </c>
      <c r="N3217" s="1">
        <v>2.1295418670611745</v>
      </c>
    </row>
    <row r="3218" spans="11:14">
      <c r="K3218" s="1663">
        <v>45275</v>
      </c>
      <c r="L3218" s="1" t="s">
        <v>2293</v>
      </c>
      <c r="M3218" s="1">
        <v>4.9036999999999997E-2</v>
      </c>
      <c r="N3218" s="1">
        <v>2.1305861305065257</v>
      </c>
    </row>
    <row r="3219" spans="11:14">
      <c r="K3219" s="1663">
        <v>45276</v>
      </c>
      <c r="M3219" s="1">
        <v>0</v>
      </c>
      <c r="N3219" s="1">
        <v>2.1305861305065257</v>
      </c>
    </row>
    <row r="3220" spans="11:14">
      <c r="K3220" s="1663">
        <v>45277</v>
      </c>
      <c r="M3220" s="1">
        <v>0</v>
      </c>
      <c r="N3220" s="1">
        <v>2.1305861305065257</v>
      </c>
    </row>
    <row r="3221" spans="11:14">
      <c r="K3221" s="1663">
        <v>45278</v>
      </c>
      <c r="L3221" s="1" t="s">
        <v>2293</v>
      </c>
      <c r="M3221" s="1">
        <v>4.9036999999999997E-2</v>
      </c>
      <c r="N3221" s="1">
        <v>2.1316309060273424</v>
      </c>
    </row>
    <row r="3222" spans="11:14">
      <c r="K3222" s="1663">
        <v>45279</v>
      </c>
      <c r="L3222" s="1" t="s">
        <v>2293</v>
      </c>
      <c r="M3222" s="1">
        <v>4.9036999999999997E-2</v>
      </c>
      <c r="N3222" s="1">
        <v>2.1326761938747314</v>
      </c>
    </row>
    <row r="3223" spans="11:14">
      <c r="K3223" s="1663">
        <v>45280</v>
      </c>
      <c r="L3223" s="1" t="s">
        <v>2293</v>
      </c>
      <c r="M3223" s="1">
        <v>4.9036999999999997E-2</v>
      </c>
      <c r="N3223" s="1">
        <v>2.1337219942999219</v>
      </c>
    </row>
    <row r="3224" spans="11:14">
      <c r="K3224" s="1663">
        <v>45281</v>
      </c>
      <c r="L3224" s="1" t="s">
        <v>2293</v>
      </c>
      <c r="M3224" s="1">
        <v>4.9036999999999997E-2</v>
      </c>
      <c r="N3224" s="1">
        <v>2.1347683075542667</v>
      </c>
    </row>
    <row r="3225" spans="11:14">
      <c r="K3225" s="1663">
        <v>45282</v>
      </c>
      <c r="L3225" s="1" t="s">
        <v>2293</v>
      </c>
      <c r="M3225" s="1">
        <v>4.9036999999999997E-2</v>
      </c>
      <c r="N3225" s="1">
        <v>2.1358151338892424</v>
      </c>
    </row>
    <row r="3226" spans="11:14">
      <c r="K3226" s="1663">
        <v>45283</v>
      </c>
      <c r="M3226" s="1">
        <v>0</v>
      </c>
      <c r="N3226" s="1">
        <v>2.1358151338892424</v>
      </c>
    </row>
    <row r="3227" spans="11:14">
      <c r="K3227" s="1663">
        <v>45284</v>
      </c>
      <c r="M3227" s="1">
        <v>0</v>
      </c>
      <c r="N3227" s="1">
        <v>2.1358151338892424</v>
      </c>
    </row>
    <row r="3228" spans="11:14">
      <c r="K3228" s="1663">
        <v>45285</v>
      </c>
      <c r="M3228" s="1">
        <v>0</v>
      </c>
      <c r="N3228" s="1">
        <v>2.1358151338892424</v>
      </c>
    </row>
    <row r="3229" spans="11:14">
      <c r="K3229" s="1663">
        <v>45286</v>
      </c>
      <c r="L3229" s="1" t="s">
        <v>2293</v>
      </c>
      <c r="M3229" s="1">
        <v>4.9036999999999997E-2</v>
      </c>
      <c r="N3229" s="1">
        <v>2.1368624735564477</v>
      </c>
    </row>
    <row r="3230" spans="11:14">
      <c r="K3230" s="1663">
        <v>45287</v>
      </c>
      <c r="L3230" s="1" t="s">
        <v>2293</v>
      </c>
      <c r="M3230" s="1">
        <v>4.9036999999999997E-2</v>
      </c>
      <c r="N3230" s="1">
        <v>2.1379103268076056</v>
      </c>
    </row>
    <row r="3231" spans="11:14">
      <c r="K3231" s="1663">
        <v>45288</v>
      </c>
      <c r="L3231" s="1" t="s">
        <v>2293</v>
      </c>
      <c r="M3231" s="1">
        <v>4.9036999999999997E-2</v>
      </c>
      <c r="N3231" s="1">
        <v>2.1389586938945624</v>
      </c>
    </row>
    <row r="3232" spans="11:14">
      <c r="K3232" s="1663">
        <v>45289</v>
      </c>
      <c r="L3232" s="1" t="s">
        <v>2293</v>
      </c>
      <c r="M3232" s="1">
        <v>4.9036999999999997E-2</v>
      </c>
      <c r="N3232" s="1">
        <v>2.1400075750692875</v>
      </c>
    </row>
    <row r="3233" spans="11:14">
      <c r="K3233" s="1663">
        <v>45290</v>
      </c>
      <c r="M3233" s="1">
        <v>0</v>
      </c>
      <c r="N3233" s="1">
        <v>2.1400075750692875</v>
      </c>
    </row>
    <row r="3234" spans="11:14">
      <c r="K3234" s="1663">
        <v>45291</v>
      </c>
      <c r="M3234" s="1">
        <v>0</v>
      </c>
      <c r="N3234" s="1">
        <v>2.1400075750692875</v>
      </c>
    </row>
    <row r="3235" spans="11:14">
      <c r="K3235" s="1663">
        <v>45292</v>
      </c>
      <c r="M3235" s="1">
        <v>0</v>
      </c>
      <c r="N3235" s="1">
        <v>2.1400075750692875</v>
      </c>
    </row>
    <row r="3236" spans="11:14">
      <c r="K3236" s="1663">
        <v>45293</v>
      </c>
      <c r="L3236" s="1" t="s">
        <v>2293</v>
      </c>
      <c r="M3236" s="1">
        <v>4.9036999999999997E-2</v>
      </c>
      <c r="N3236" s="1">
        <v>2.1410569705838745</v>
      </c>
    </row>
    <row r="3237" spans="11:14">
      <c r="K3237" s="1663">
        <v>45294</v>
      </c>
      <c r="L3237" s="1" t="s">
        <v>2293</v>
      </c>
      <c r="M3237" s="1">
        <v>4.9036999999999997E-2</v>
      </c>
      <c r="N3237" s="1">
        <v>2.1421068806905397</v>
      </c>
    </row>
    <row r="3238" spans="11:14">
      <c r="K3238" s="1663">
        <v>45295</v>
      </c>
      <c r="L3238" s="1" t="s">
        <v>2293</v>
      </c>
      <c r="M3238" s="1">
        <v>4.9036999999999997E-2</v>
      </c>
      <c r="N3238" s="1">
        <v>2.143157305641624</v>
      </c>
    </row>
    <row r="3239" spans="11:14">
      <c r="K3239" s="1663">
        <v>45296</v>
      </c>
      <c r="L3239" s="1" t="s">
        <v>2293</v>
      </c>
      <c r="M3239" s="1">
        <v>4.9036999999999997E-2</v>
      </c>
      <c r="N3239" s="1">
        <v>2.1442082456895917</v>
      </c>
    </row>
    <row r="3240" spans="11:14">
      <c r="K3240" s="1663">
        <v>45297</v>
      </c>
      <c r="M3240" s="1">
        <v>0</v>
      </c>
      <c r="N3240" s="1">
        <v>2.1442082456895917</v>
      </c>
    </row>
    <row r="3241" spans="11:14">
      <c r="K3241" s="1663">
        <v>45298</v>
      </c>
      <c r="M3241" s="1">
        <v>0</v>
      </c>
      <c r="N3241" s="1">
        <v>2.1442082456895917</v>
      </c>
    </row>
    <row r="3242" spans="11:14">
      <c r="K3242" s="1663">
        <v>45299</v>
      </c>
      <c r="L3242" s="1" t="s">
        <v>2293</v>
      </c>
      <c r="M3242" s="1">
        <v>4.9036999999999997E-2</v>
      </c>
      <c r="N3242" s="1">
        <v>2.1452597010870305</v>
      </c>
    </row>
    <row r="3243" spans="11:14">
      <c r="K3243" s="1663">
        <v>45300</v>
      </c>
      <c r="L3243" s="1" t="s">
        <v>2293</v>
      </c>
      <c r="M3243" s="1">
        <v>4.9036999999999997E-2</v>
      </c>
      <c r="N3243" s="1">
        <v>2.1463116720866529</v>
      </c>
    </row>
    <row r="3244" spans="11:14">
      <c r="K3244" s="1663">
        <v>45301</v>
      </c>
      <c r="L3244" s="1" t="s">
        <v>2293</v>
      </c>
      <c r="M3244" s="1">
        <v>4.9036999999999997E-2</v>
      </c>
      <c r="N3244" s="1">
        <v>2.147364158941294</v>
      </c>
    </row>
    <row r="3245" spans="11:14">
      <c r="K3245" s="1663">
        <v>45302</v>
      </c>
      <c r="L3245" s="1" t="s">
        <v>2293</v>
      </c>
      <c r="M3245" s="1">
        <v>4.9036999999999997E-2</v>
      </c>
      <c r="N3245" s="1">
        <v>2.1484171619039141</v>
      </c>
    </row>
    <row r="3246" spans="11:14">
      <c r="K3246" s="1663">
        <v>45303</v>
      </c>
      <c r="L3246" s="1" t="s">
        <v>2293</v>
      </c>
      <c r="M3246" s="1">
        <v>4.9036999999999997E-2</v>
      </c>
      <c r="N3246" s="1">
        <v>2.149470681227597</v>
      </c>
    </row>
    <row r="3247" spans="11:14">
      <c r="K3247" s="1663">
        <v>45304</v>
      </c>
      <c r="M3247" s="1">
        <v>0</v>
      </c>
      <c r="N3247" s="1">
        <v>2.149470681227597</v>
      </c>
    </row>
    <row r="3248" spans="11:14">
      <c r="K3248" s="1663">
        <v>45305</v>
      </c>
      <c r="M3248" s="1">
        <v>0</v>
      </c>
      <c r="N3248" s="1">
        <v>2.149470681227597</v>
      </c>
    </row>
    <row r="3249" spans="11:14">
      <c r="K3249" s="1663">
        <v>45306</v>
      </c>
      <c r="L3249" s="1" t="s">
        <v>2293</v>
      </c>
      <c r="M3249" s="1">
        <v>4.9036999999999997E-2</v>
      </c>
      <c r="N3249" s="1">
        <v>2.1505247171655508</v>
      </c>
    </row>
    <row r="3250" spans="11:14">
      <c r="K3250" s="1663">
        <v>45307</v>
      </c>
      <c r="L3250" s="1" t="s">
        <v>2293</v>
      </c>
      <c r="M3250" s="1">
        <v>4.9036999999999997E-2</v>
      </c>
      <c r="N3250" s="1">
        <v>2.1515792699711076</v>
      </c>
    </row>
    <row r="3251" spans="11:14">
      <c r="K3251" s="1663">
        <v>45308</v>
      </c>
      <c r="L3251" s="1" t="s">
        <v>2293</v>
      </c>
      <c r="M3251" s="1">
        <v>4.9036999999999997E-2</v>
      </c>
      <c r="N3251" s="1">
        <v>2.1526343398977237</v>
      </c>
    </row>
    <row r="3252" spans="11:14">
      <c r="K3252" s="1663">
        <v>45309</v>
      </c>
      <c r="L3252" s="1" t="s">
        <v>2293</v>
      </c>
      <c r="M3252" s="1">
        <v>4.9036999999999997E-2</v>
      </c>
      <c r="N3252" s="1">
        <v>2.1536899271989793</v>
      </c>
    </row>
    <row r="3253" spans="11:14">
      <c r="K3253" s="1663">
        <v>45310</v>
      </c>
      <c r="L3253" s="1" t="s">
        <v>2293</v>
      </c>
      <c r="M3253" s="1">
        <v>4.9036999999999997E-2</v>
      </c>
      <c r="N3253" s="1">
        <v>2.1547460321285801</v>
      </c>
    </row>
    <row r="3254" spans="11:14">
      <c r="K3254" s="1663">
        <v>45311</v>
      </c>
      <c r="M3254" s="1">
        <v>0</v>
      </c>
      <c r="N3254" s="1">
        <v>2.1547460321285801</v>
      </c>
    </row>
    <row r="3255" spans="11:14">
      <c r="K3255" s="1663">
        <v>45312</v>
      </c>
      <c r="M3255" s="1">
        <v>0</v>
      </c>
      <c r="N3255" s="1">
        <v>2.1547460321285801</v>
      </c>
    </row>
    <row r="3256" spans="11:14">
      <c r="K3256" s="1663">
        <v>45313</v>
      </c>
      <c r="L3256" s="1" t="s">
        <v>2293</v>
      </c>
      <c r="M3256" s="1">
        <v>4.9036999999999997E-2</v>
      </c>
      <c r="N3256" s="1">
        <v>2.1558026549403553</v>
      </c>
    </row>
    <row r="3257" spans="11:14">
      <c r="K3257" s="1663">
        <v>45314</v>
      </c>
      <c r="L3257" s="1" t="s">
        <v>2293</v>
      </c>
      <c r="M3257" s="1">
        <v>4.9036999999999997E-2</v>
      </c>
      <c r="N3257" s="1">
        <v>2.1568597958882587</v>
      </c>
    </row>
    <row r="3258" spans="11:14">
      <c r="K3258" s="1663">
        <v>45315</v>
      </c>
      <c r="L3258" s="1" t="s">
        <v>2293</v>
      </c>
      <c r="M3258" s="1">
        <v>4.9036999999999997E-2</v>
      </c>
      <c r="N3258" s="1">
        <v>2.1579174552263685</v>
      </c>
    </row>
    <row r="3259" spans="11:14">
      <c r="K3259" s="1663"/>
    </row>
    <row r="3260" spans="11:14">
      <c r="K3260" s="1663"/>
    </row>
    <row r="3261" spans="11:14">
      <c r="K3261" s="1663"/>
    </row>
    <row r="3262" spans="11:14">
      <c r="K3262" s="1663"/>
    </row>
    <row r="3263" spans="11:14">
      <c r="K3263" s="1663"/>
    </row>
    <row r="3264" spans="11:14">
      <c r="K3264" s="1663"/>
    </row>
    <row r="3265" spans="11:11">
      <c r="K3265" s="1663"/>
    </row>
    <row r="3266" spans="11:11">
      <c r="K3266" s="1663"/>
    </row>
    <row r="3267" spans="11:11">
      <c r="K3267" s="1663"/>
    </row>
    <row r="3268" spans="11:11">
      <c r="K3268" s="1663"/>
    </row>
    <row r="3269" spans="11:11">
      <c r="K3269" s="1663"/>
    </row>
    <row r="3270" spans="11:11">
      <c r="K3270" s="1663"/>
    </row>
    <row r="3271" spans="11:11">
      <c r="K3271" s="1663"/>
    </row>
    <row r="3272" spans="11:11">
      <c r="K3272" s="1663"/>
    </row>
    <row r="3273" spans="11:11">
      <c r="K3273" s="1663"/>
    </row>
    <row r="3274" spans="11:11">
      <c r="K3274" s="1663"/>
    </row>
    <row r="3275" spans="11:11">
      <c r="K3275" s="1663"/>
    </row>
    <row r="3276" spans="11:11">
      <c r="K3276" s="1663"/>
    </row>
    <row r="3277" spans="11:11">
      <c r="K3277" s="1663"/>
    </row>
    <row r="3278" spans="11:11">
      <c r="K3278" s="1663"/>
    </row>
    <row r="3279" spans="11:11">
      <c r="K3279" s="1663"/>
    </row>
    <row r="3280" spans="11:11">
      <c r="K3280" s="1663"/>
    </row>
    <row r="3281" spans="11:11">
      <c r="K3281" s="1663"/>
    </row>
    <row r="3282" spans="11:11">
      <c r="K3282" s="1663"/>
    </row>
    <row r="3283" spans="11:11">
      <c r="K3283" s="1663"/>
    </row>
    <row r="3284" spans="11:11">
      <c r="K3284" s="1663"/>
    </row>
    <row r="3285" spans="11:11">
      <c r="K3285" s="1663"/>
    </row>
    <row r="3286" spans="11:11">
      <c r="K3286" s="1663"/>
    </row>
    <row r="3287" spans="11:11">
      <c r="K3287" s="1663"/>
    </row>
    <row r="3288" spans="11:11">
      <c r="K3288" s="1663"/>
    </row>
    <row r="3289" spans="11:11">
      <c r="K3289" s="1663"/>
    </row>
    <row r="3290" spans="11:11">
      <c r="K3290" s="1663"/>
    </row>
    <row r="3291" spans="11:11">
      <c r="K3291" s="1663"/>
    </row>
    <row r="3292" spans="11:11">
      <c r="K3292" s="1663"/>
    </row>
    <row r="3293" spans="11:11">
      <c r="K3293" s="1663"/>
    </row>
    <row r="3294" spans="11:11">
      <c r="K3294" s="1663"/>
    </row>
    <row r="3295" spans="11:11">
      <c r="K3295" s="1663"/>
    </row>
    <row r="3296" spans="11:11">
      <c r="K3296" s="1663"/>
    </row>
    <row r="3297" spans="11:11">
      <c r="K3297" s="1663"/>
    </row>
    <row r="3298" spans="11:11">
      <c r="K3298" s="1663"/>
    </row>
    <row r="3299" spans="11:11">
      <c r="K3299" s="1663"/>
    </row>
    <row r="3300" spans="11:11">
      <c r="K3300" s="1663"/>
    </row>
    <row r="3301" spans="11:11">
      <c r="K3301" s="1663"/>
    </row>
    <row r="3302" spans="11:11">
      <c r="K3302" s="1663"/>
    </row>
    <row r="3303" spans="11:11">
      <c r="K3303" s="1663"/>
    </row>
    <row r="3304" spans="11:11">
      <c r="K3304" s="1663"/>
    </row>
    <row r="3305" spans="11:11">
      <c r="K3305" s="1663"/>
    </row>
    <row r="3306" spans="11:11">
      <c r="K3306" s="1663"/>
    </row>
    <row r="3307" spans="11:11">
      <c r="K3307" s="1663"/>
    </row>
    <row r="3308" spans="11:11">
      <c r="K3308" s="1663"/>
    </row>
    <row r="3309" spans="11:11">
      <c r="K3309" s="1663"/>
    </row>
    <row r="3310" spans="11:11">
      <c r="K3310" s="1663"/>
    </row>
    <row r="3311" spans="11:11">
      <c r="K3311" s="1663"/>
    </row>
    <row r="3312" spans="11:11">
      <c r="K3312" s="1663"/>
    </row>
    <row r="3313" spans="11:11">
      <c r="K3313" s="1663"/>
    </row>
    <row r="3314" spans="11:11">
      <c r="K3314" s="1663"/>
    </row>
    <row r="3315" spans="11:11">
      <c r="K3315" s="1663"/>
    </row>
    <row r="3316" spans="11:11">
      <c r="K3316" s="1663"/>
    </row>
    <row r="3317" spans="11:11">
      <c r="K3317" s="1663"/>
    </row>
    <row r="3318" spans="11:11">
      <c r="K3318" s="1663"/>
    </row>
    <row r="3319" spans="11:11">
      <c r="K3319" s="1663"/>
    </row>
    <row r="3320" spans="11:11">
      <c r="K3320" s="1663"/>
    </row>
    <row r="3321" spans="11:11">
      <c r="K3321" s="1663"/>
    </row>
    <row r="3322" spans="11:11">
      <c r="K3322" s="1663"/>
    </row>
    <row r="3323" spans="11:11">
      <c r="K3323" s="1663"/>
    </row>
    <row r="3324" spans="11:11">
      <c r="K3324" s="1663"/>
    </row>
    <row r="3325" spans="11:11">
      <c r="K3325" s="1663"/>
    </row>
    <row r="3326" spans="11:11">
      <c r="K3326" s="1663"/>
    </row>
    <row r="3327" spans="11:11">
      <c r="K3327" s="1663"/>
    </row>
    <row r="3328" spans="11:11">
      <c r="K3328" s="1663"/>
    </row>
    <row r="3329" spans="11:11">
      <c r="K3329" s="1663"/>
    </row>
    <row r="3330" spans="11:11">
      <c r="K3330" s="1663"/>
    </row>
    <row r="3331" spans="11:11">
      <c r="K3331" s="1663"/>
    </row>
    <row r="3332" spans="11:11">
      <c r="K3332" s="1663"/>
    </row>
    <row r="3333" spans="11:11">
      <c r="K3333" s="1663"/>
    </row>
    <row r="3334" spans="11:11">
      <c r="K3334" s="1663"/>
    </row>
    <row r="3335" spans="11:11">
      <c r="K3335" s="1663"/>
    </row>
    <row r="3336" spans="11:11">
      <c r="K3336" s="1663"/>
    </row>
    <row r="3337" spans="11:11">
      <c r="K3337" s="1663"/>
    </row>
    <row r="3338" spans="11:11">
      <c r="K3338" s="1663"/>
    </row>
    <row r="3339" spans="11:11">
      <c r="K3339" s="1663"/>
    </row>
    <row r="3340" spans="11:11">
      <c r="K3340" s="1663"/>
    </row>
    <row r="3341" spans="11:11">
      <c r="K3341" s="1663"/>
    </row>
    <row r="3342" spans="11:11">
      <c r="K3342" s="1663"/>
    </row>
    <row r="3343" spans="11:11">
      <c r="K3343" s="1663"/>
    </row>
    <row r="3344" spans="11:11">
      <c r="K3344" s="1663"/>
    </row>
    <row r="3345" spans="11:11">
      <c r="K3345" s="1663"/>
    </row>
    <row r="3346" spans="11:11">
      <c r="K3346" s="1663"/>
    </row>
    <row r="3347" spans="11:11">
      <c r="K3347" s="1663"/>
    </row>
    <row r="3348" spans="11:11">
      <c r="K3348" s="1663"/>
    </row>
    <row r="3349" spans="11:11">
      <c r="K3349" s="1663"/>
    </row>
    <row r="3350" spans="11:11">
      <c r="K3350" s="1663"/>
    </row>
    <row r="3351" spans="11:11">
      <c r="K3351" s="1663"/>
    </row>
    <row r="3352" spans="11:11">
      <c r="K3352" s="1663"/>
    </row>
    <row r="3353" spans="11:11">
      <c r="K3353" s="1663"/>
    </row>
    <row r="3354" spans="11:11">
      <c r="K3354" s="1663"/>
    </row>
    <row r="3355" spans="11:11">
      <c r="K3355" s="1663"/>
    </row>
    <row r="3356" spans="11:11">
      <c r="K3356" s="1663"/>
    </row>
    <row r="3357" spans="11:11">
      <c r="K3357" s="1663"/>
    </row>
    <row r="3358" spans="11:11">
      <c r="K3358" s="1663"/>
    </row>
    <row r="3359" spans="11:11">
      <c r="K3359" s="1663"/>
    </row>
    <row r="3360" spans="11:11">
      <c r="K3360" s="1663"/>
    </row>
    <row r="3361" spans="11:11">
      <c r="K3361" s="1663"/>
    </row>
    <row r="3362" spans="11:11">
      <c r="K3362" s="1663"/>
    </row>
    <row r="3363" spans="11:11">
      <c r="K3363" s="1663"/>
    </row>
    <row r="3364" spans="11:11">
      <c r="K3364" s="1663"/>
    </row>
    <row r="3365" spans="11:11">
      <c r="K3365" s="1663"/>
    </row>
    <row r="3366" spans="11:11">
      <c r="K3366" s="1663"/>
    </row>
    <row r="3367" spans="11:11">
      <c r="K3367" s="1663"/>
    </row>
    <row r="3368" spans="11:11">
      <c r="K3368" s="1663"/>
    </row>
    <row r="3369" spans="11:11">
      <c r="K3369" s="1663"/>
    </row>
    <row r="3370" spans="11:11">
      <c r="K3370" s="1663"/>
    </row>
    <row r="3371" spans="11:11">
      <c r="K3371" s="1663"/>
    </row>
    <row r="3372" spans="11:11">
      <c r="K3372" s="1663"/>
    </row>
    <row r="3373" spans="11:11">
      <c r="K3373" s="1663"/>
    </row>
    <row r="3374" spans="11:11">
      <c r="K3374" s="1663"/>
    </row>
    <row r="3375" spans="11:11">
      <c r="K3375" s="1663"/>
    </row>
    <row r="3376" spans="11:11">
      <c r="K3376" s="1663"/>
    </row>
    <row r="3377" spans="11:11">
      <c r="K3377" s="1663"/>
    </row>
    <row r="3378" spans="11:11">
      <c r="K3378" s="1663"/>
    </row>
    <row r="3379" spans="11:11">
      <c r="K3379" s="1663"/>
    </row>
    <row r="3380" spans="11:11">
      <c r="K3380" s="1663"/>
    </row>
    <row r="3381" spans="11:11">
      <c r="K3381" s="1663"/>
    </row>
    <row r="3382" spans="11:11">
      <c r="K3382" s="1663"/>
    </row>
    <row r="3383" spans="11:11">
      <c r="K3383" s="1663"/>
    </row>
    <row r="3384" spans="11:11">
      <c r="K3384" s="1663"/>
    </row>
    <row r="3385" spans="11:11">
      <c r="K3385" s="1663"/>
    </row>
    <row r="3386" spans="11:11">
      <c r="K3386" s="1663"/>
    </row>
    <row r="3387" spans="11:11">
      <c r="K3387" s="1663"/>
    </row>
    <row r="3388" spans="11:11">
      <c r="K3388" s="1663"/>
    </row>
    <row r="3389" spans="11:11">
      <c r="K3389" s="1663"/>
    </row>
    <row r="3390" spans="11:11">
      <c r="K3390" s="1663"/>
    </row>
    <row r="3391" spans="11:11">
      <c r="K3391" s="1663"/>
    </row>
    <row r="3392" spans="11:11">
      <c r="K3392" s="1663"/>
    </row>
    <row r="3393" spans="11:11">
      <c r="K3393" s="1663"/>
    </row>
    <row r="3394" spans="11:11">
      <c r="K3394" s="1663"/>
    </row>
    <row r="3395" spans="11:11">
      <c r="K3395" s="1663"/>
    </row>
    <row r="3396" spans="11:11">
      <c r="K3396" s="1663"/>
    </row>
    <row r="3397" spans="11:11">
      <c r="K3397" s="1663"/>
    </row>
    <row r="3398" spans="11:11">
      <c r="K3398" s="1663"/>
    </row>
    <row r="3399" spans="11:11">
      <c r="K3399" s="1663"/>
    </row>
    <row r="3400" spans="11:11">
      <c r="K3400" s="1663"/>
    </row>
    <row r="3401" spans="11:11">
      <c r="K3401" s="1663"/>
    </row>
    <row r="3402" spans="11:11">
      <c r="K3402" s="1663"/>
    </row>
    <row r="3403" spans="11:11">
      <c r="K3403" s="1663"/>
    </row>
    <row r="3404" spans="11:11">
      <c r="K3404" s="1663"/>
    </row>
    <row r="3405" spans="11:11">
      <c r="K3405" s="1663"/>
    </row>
    <row r="3406" spans="11:11">
      <c r="K3406" s="1663"/>
    </row>
    <row r="3407" spans="11:11">
      <c r="K3407" s="1663"/>
    </row>
    <row r="3408" spans="11:11">
      <c r="K3408" s="1663"/>
    </row>
    <row r="3409" spans="11:11">
      <c r="K3409" s="1663"/>
    </row>
    <row r="3410" spans="11:11">
      <c r="K3410" s="1663"/>
    </row>
    <row r="3411" spans="11:11">
      <c r="K3411" s="1663"/>
    </row>
    <row r="3412" spans="11:11">
      <c r="K3412" s="1663"/>
    </row>
    <row r="3413" spans="11:11">
      <c r="K3413" s="1663"/>
    </row>
    <row r="3414" spans="11:11">
      <c r="K3414" s="1663"/>
    </row>
    <row r="3415" spans="11:11">
      <c r="K3415" s="1663"/>
    </row>
    <row r="3416" spans="11:11">
      <c r="K3416" s="1663"/>
    </row>
    <row r="3417" spans="11:11">
      <c r="K3417" s="1663"/>
    </row>
    <row r="3418" spans="11:11">
      <c r="K3418" s="1663"/>
    </row>
    <row r="3419" spans="11:11">
      <c r="K3419" s="1663"/>
    </row>
    <row r="3420" spans="11:11">
      <c r="K3420" s="1663"/>
    </row>
    <row r="3421" spans="11:11">
      <c r="K3421" s="1663"/>
    </row>
    <row r="3422" spans="11:11">
      <c r="K3422" s="1663"/>
    </row>
    <row r="3423" spans="11:11">
      <c r="K3423" s="1663"/>
    </row>
    <row r="3424" spans="11:11">
      <c r="K3424" s="1663"/>
    </row>
    <row r="3425" spans="11:11">
      <c r="K3425" s="1663"/>
    </row>
    <row r="3426" spans="11:11">
      <c r="K3426" s="1663"/>
    </row>
    <row r="3427" spans="11:11">
      <c r="K3427" s="1663"/>
    </row>
    <row r="3428" spans="11:11">
      <c r="K3428" s="1663"/>
    </row>
    <row r="3429" spans="11:11">
      <c r="K3429" s="1663"/>
    </row>
    <row r="3430" spans="11:11">
      <c r="K3430" s="1663"/>
    </row>
    <row r="3431" spans="11:11">
      <c r="K3431" s="1663"/>
    </row>
    <row r="3432" spans="11:11">
      <c r="K3432" s="1663"/>
    </row>
    <row r="3433" spans="11:11">
      <c r="K3433" s="1663"/>
    </row>
    <row r="3434" spans="11:11">
      <c r="K3434" s="1663"/>
    </row>
    <row r="3435" spans="11:11">
      <c r="K3435" s="1663"/>
    </row>
    <row r="3436" spans="11:11">
      <c r="K3436" s="1663"/>
    </row>
    <row r="3437" spans="11:11">
      <c r="K3437" s="1663"/>
    </row>
    <row r="3438" spans="11:11">
      <c r="K3438" s="1663"/>
    </row>
    <row r="3439" spans="11:11">
      <c r="K3439" s="1663"/>
    </row>
    <row r="3440" spans="11:11">
      <c r="K3440" s="1663"/>
    </row>
    <row r="3441" spans="11:11">
      <c r="K3441" s="1663"/>
    </row>
    <row r="3442" spans="11:11">
      <c r="K3442" s="1663"/>
    </row>
    <row r="3443" spans="11:11">
      <c r="K3443" s="1663"/>
    </row>
    <row r="3444" spans="11:11">
      <c r="K3444" s="1663"/>
    </row>
    <row r="3445" spans="11:11">
      <c r="K3445" s="1663"/>
    </row>
    <row r="3446" spans="11:11">
      <c r="K3446" s="1663"/>
    </row>
    <row r="3447" spans="11:11">
      <c r="K3447" s="1663"/>
    </row>
    <row r="3448" spans="11:11">
      <c r="K3448" s="1663"/>
    </row>
    <row r="3449" spans="11:11">
      <c r="K3449" s="1663"/>
    </row>
    <row r="3450" spans="11:11">
      <c r="K3450" s="1663"/>
    </row>
    <row r="3451" spans="11:11">
      <c r="K3451" s="1663"/>
    </row>
    <row r="3452" spans="11:11">
      <c r="K3452" s="1663"/>
    </row>
    <row r="3453" spans="11:11">
      <c r="K3453" s="1663"/>
    </row>
    <row r="3454" spans="11:11">
      <c r="K3454" s="1663"/>
    </row>
    <row r="3455" spans="11:11">
      <c r="K3455" s="1663"/>
    </row>
    <row r="3456" spans="11:11">
      <c r="K3456" s="1663"/>
    </row>
    <row r="3457" spans="11:11">
      <c r="K3457" s="1663"/>
    </row>
    <row r="3458" spans="11:11">
      <c r="K3458" s="1663"/>
    </row>
    <row r="3459" spans="11:11">
      <c r="K3459" s="1663"/>
    </row>
    <row r="3460" spans="11:11">
      <c r="K3460" s="1663"/>
    </row>
    <row r="3461" spans="11:11">
      <c r="K3461" s="1663"/>
    </row>
    <row r="3462" spans="11:11">
      <c r="K3462" s="1663"/>
    </row>
    <row r="3463" spans="11:11">
      <c r="K3463" s="1663"/>
    </row>
    <row r="3464" spans="11:11">
      <c r="K3464" s="1663"/>
    </row>
    <row r="3465" spans="11:11">
      <c r="K3465" s="1663"/>
    </row>
    <row r="3466" spans="11:11">
      <c r="K3466" s="1663"/>
    </row>
    <row r="3467" spans="11:11">
      <c r="K3467" s="1663"/>
    </row>
    <row r="3468" spans="11:11">
      <c r="K3468" s="1663"/>
    </row>
    <row r="3469" spans="11:11">
      <c r="K3469" s="1663"/>
    </row>
    <row r="3470" spans="11:11">
      <c r="K3470" s="1663"/>
    </row>
    <row r="3471" spans="11:11">
      <c r="K3471" s="1663"/>
    </row>
    <row r="3472" spans="11:11">
      <c r="K3472" s="1663"/>
    </row>
    <row r="3473" spans="11:11">
      <c r="K3473" s="1663"/>
    </row>
    <row r="3474" spans="11:11">
      <c r="K3474" s="1663"/>
    </row>
    <row r="3475" spans="11:11">
      <c r="K3475" s="1663"/>
    </row>
    <row r="3476" spans="11:11">
      <c r="K3476" s="1663"/>
    </row>
    <row r="3477" spans="11:11">
      <c r="K3477" s="1663"/>
    </row>
    <row r="3478" spans="11:11">
      <c r="K3478" s="1663"/>
    </row>
    <row r="3479" spans="11:11">
      <c r="K3479" s="1663"/>
    </row>
    <row r="3480" spans="11:11">
      <c r="K3480" s="1663"/>
    </row>
    <row r="3481" spans="11:11">
      <c r="K3481" s="1663"/>
    </row>
    <row r="3482" spans="11:11">
      <c r="K3482" s="1663"/>
    </row>
    <row r="3483" spans="11:11">
      <c r="K3483" s="1663"/>
    </row>
    <row r="3484" spans="11:11">
      <c r="K3484" s="1663"/>
    </row>
    <row r="3485" spans="11:11">
      <c r="K3485" s="1663"/>
    </row>
    <row r="3486" spans="11:11">
      <c r="K3486" s="1663"/>
    </row>
    <row r="3487" spans="11:11">
      <c r="K3487" s="1663"/>
    </row>
    <row r="3488" spans="11:11">
      <c r="K3488" s="1663"/>
    </row>
    <row r="3489" spans="11:11">
      <c r="K3489" s="1663"/>
    </row>
    <row r="3490" spans="11:11">
      <c r="K3490" s="1663"/>
    </row>
    <row r="3491" spans="11:11">
      <c r="K3491" s="1663"/>
    </row>
    <row r="3492" spans="11:11">
      <c r="K3492" s="1663"/>
    </row>
    <row r="3493" spans="11:11">
      <c r="K3493" s="1663"/>
    </row>
    <row r="3494" spans="11:11">
      <c r="K3494" s="1663"/>
    </row>
    <row r="3495" spans="11:11">
      <c r="K3495" s="1663"/>
    </row>
    <row r="3496" spans="11:11">
      <c r="K3496" s="1663"/>
    </row>
    <row r="3497" spans="11:11">
      <c r="K3497" s="1663"/>
    </row>
    <row r="3498" spans="11:11">
      <c r="K3498" s="1663"/>
    </row>
    <row r="3499" spans="11:11">
      <c r="K3499" s="1663"/>
    </row>
    <row r="3500" spans="11:11">
      <c r="K3500" s="1663"/>
    </row>
    <row r="3501" spans="11:11">
      <c r="K3501" s="1663"/>
    </row>
    <row r="3502" spans="11:11">
      <c r="K3502" s="1663"/>
    </row>
    <row r="3503" spans="11:11">
      <c r="K3503" s="1663"/>
    </row>
    <row r="3504" spans="11:11">
      <c r="K3504" s="1663"/>
    </row>
    <row r="3505" spans="11:11">
      <c r="K3505" s="1663"/>
    </row>
    <row r="3506" spans="11:11">
      <c r="K3506" s="1663"/>
    </row>
    <row r="3507" spans="11:11">
      <c r="K3507" s="1663"/>
    </row>
    <row r="3508" spans="11:11">
      <c r="K3508" s="1663"/>
    </row>
    <row r="3509" spans="11:11">
      <c r="K3509" s="1663"/>
    </row>
    <row r="3510" spans="11:11">
      <c r="K3510" s="1663"/>
    </row>
    <row r="3511" spans="11:11">
      <c r="K3511" s="1663"/>
    </row>
    <row r="3512" spans="11:11">
      <c r="K3512" s="1663"/>
    </row>
    <row r="3513" spans="11:11">
      <c r="K3513" s="1663"/>
    </row>
    <row r="3514" spans="11:11">
      <c r="K3514" s="1663"/>
    </row>
    <row r="3515" spans="11:11">
      <c r="K3515" s="1663"/>
    </row>
    <row r="3516" spans="11:11">
      <c r="K3516" s="1663"/>
    </row>
    <row r="3517" spans="11:11">
      <c r="K3517" s="1663"/>
    </row>
    <row r="3518" spans="11:11">
      <c r="K3518" s="1663"/>
    </row>
    <row r="3519" spans="11:11">
      <c r="K3519" s="1663"/>
    </row>
    <row r="3520" spans="11:11">
      <c r="K3520" s="1663"/>
    </row>
    <row r="3521" spans="11:11">
      <c r="K3521" s="1663"/>
    </row>
    <row r="3522" spans="11:11">
      <c r="K3522" s="1663"/>
    </row>
    <row r="3523" spans="11:11">
      <c r="K3523" s="1663"/>
    </row>
    <row r="3524" spans="11:11">
      <c r="K3524" s="1663"/>
    </row>
    <row r="3525" spans="11:11">
      <c r="K3525" s="1663"/>
    </row>
    <row r="3526" spans="11:11">
      <c r="K3526" s="1663"/>
    </row>
    <row r="3527" spans="11:11">
      <c r="K3527" s="1663"/>
    </row>
    <row r="3528" spans="11:11">
      <c r="K3528" s="1663"/>
    </row>
    <row r="3529" spans="11:11">
      <c r="K3529" s="1663"/>
    </row>
    <row r="3530" spans="11:11">
      <c r="K3530" s="1663"/>
    </row>
    <row r="3531" spans="11:11">
      <c r="K3531" s="1663"/>
    </row>
    <row r="3532" spans="11:11">
      <c r="K3532" s="1663"/>
    </row>
    <row r="3533" spans="11:11">
      <c r="K3533" s="1663"/>
    </row>
    <row r="3534" spans="11:11">
      <c r="K3534" s="1663"/>
    </row>
    <row r="3535" spans="11:11">
      <c r="K3535" s="1663"/>
    </row>
    <row r="3536" spans="11:11">
      <c r="K3536" s="1663"/>
    </row>
    <row r="3537" spans="11:11">
      <c r="K3537" s="1663"/>
    </row>
    <row r="3538" spans="11:11">
      <c r="K3538" s="1663"/>
    </row>
    <row r="3539" spans="11:11">
      <c r="K3539" s="1663"/>
    </row>
    <row r="3540" spans="11:11">
      <c r="K3540" s="1663"/>
    </row>
    <row r="3541" spans="11:11">
      <c r="K3541" s="1663"/>
    </row>
    <row r="3542" spans="11:11">
      <c r="K3542" s="1663"/>
    </row>
    <row r="3543" spans="11:11">
      <c r="K3543" s="1663"/>
    </row>
    <row r="3544" spans="11:11">
      <c r="K3544" s="1663"/>
    </row>
    <row r="3545" spans="11:11">
      <c r="K3545" s="1663"/>
    </row>
    <row r="3546" spans="11:11">
      <c r="K3546" s="1663"/>
    </row>
    <row r="3547" spans="11:11">
      <c r="K3547" s="1663"/>
    </row>
    <row r="3548" spans="11:11">
      <c r="K3548" s="1663"/>
    </row>
    <row r="3549" spans="11:11">
      <c r="K3549" s="1663"/>
    </row>
    <row r="3550" spans="11:11">
      <c r="K3550" s="1663"/>
    </row>
    <row r="3551" spans="11:11">
      <c r="K3551" s="1663"/>
    </row>
    <row r="3552" spans="11:11">
      <c r="K3552" s="1663"/>
    </row>
    <row r="3553" spans="11:11">
      <c r="K3553" s="1663"/>
    </row>
    <row r="3554" spans="11:11">
      <c r="K3554" s="1663"/>
    </row>
    <row r="3555" spans="11:11">
      <c r="K3555" s="1663"/>
    </row>
    <row r="3556" spans="11:11">
      <c r="K3556" s="1663"/>
    </row>
    <row r="3557" spans="11:11">
      <c r="K3557" s="1663"/>
    </row>
    <row r="3558" spans="11:11">
      <c r="K3558" s="1663"/>
    </row>
    <row r="3559" spans="11:11">
      <c r="K3559" s="1663"/>
    </row>
    <row r="3560" spans="11:11">
      <c r="K3560" s="1663"/>
    </row>
    <row r="3561" spans="11:11">
      <c r="K3561" s="1663"/>
    </row>
    <row r="3562" spans="11:11">
      <c r="K3562" s="1663"/>
    </row>
    <row r="3563" spans="11:11">
      <c r="K3563" s="1663"/>
    </row>
    <row r="3564" spans="11:11">
      <c r="K3564" s="1663"/>
    </row>
    <row r="3565" spans="11:11">
      <c r="K3565" s="1663"/>
    </row>
    <row r="3566" spans="11:11">
      <c r="K3566" s="1663"/>
    </row>
    <row r="3567" spans="11:11">
      <c r="K3567" s="1663"/>
    </row>
    <row r="3568" spans="11:11">
      <c r="K3568" s="1663"/>
    </row>
    <row r="3569" spans="11:11">
      <c r="K3569" s="1663"/>
    </row>
    <row r="3570" spans="11:11">
      <c r="K3570" s="1663"/>
    </row>
    <row r="3571" spans="11:11">
      <c r="K3571" s="1663"/>
    </row>
    <row r="3572" spans="11:11">
      <c r="K3572" s="1663"/>
    </row>
    <row r="3573" spans="11:11">
      <c r="K3573" s="1663"/>
    </row>
    <row r="3574" spans="11:11">
      <c r="K3574" s="1663"/>
    </row>
    <row r="3575" spans="11:11">
      <c r="K3575" s="1663"/>
    </row>
    <row r="3576" spans="11:11">
      <c r="K3576" s="1663"/>
    </row>
    <row r="3577" spans="11:11">
      <c r="K3577" s="1663"/>
    </row>
    <row r="3578" spans="11:11">
      <c r="K3578" s="1663"/>
    </row>
    <row r="3579" spans="11:11">
      <c r="K3579" s="1663"/>
    </row>
    <row r="3580" spans="11:11">
      <c r="K3580" s="1663"/>
    </row>
    <row r="3581" spans="11:11">
      <c r="K3581" s="1663"/>
    </row>
    <row r="3582" spans="11:11">
      <c r="K3582" s="1663"/>
    </row>
    <row r="3583" spans="11:11">
      <c r="K3583" s="1663"/>
    </row>
    <row r="3584" spans="11:11">
      <c r="K3584" s="1663"/>
    </row>
    <row r="3585" spans="11:11">
      <c r="K3585" s="1663"/>
    </row>
    <row r="3586" spans="11:11">
      <c r="K3586" s="1663"/>
    </row>
    <row r="3587" spans="11:11">
      <c r="K3587" s="1663"/>
    </row>
    <row r="3588" spans="11:11">
      <c r="K3588" s="1663"/>
    </row>
    <row r="3589" spans="11:11">
      <c r="K3589" s="1663"/>
    </row>
    <row r="3590" spans="11:11">
      <c r="K3590" s="1663"/>
    </row>
    <row r="3591" spans="11:11">
      <c r="K3591" s="1663"/>
    </row>
    <row r="3592" spans="11:11">
      <c r="K3592" s="1663"/>
    </row>
    <row r="3593" spans="11:11">
      <c r="K3593" s="1663"/>
    </row>
    <row r="3594" spans="11:11">
      <c r="K3594" s="1663"/>
    </row>
    <row r="3595" spans="11:11">
      <c r="K3595" s="1663"/>
    </row>
    <row r="3596" spans="11:11">
      <c r="K3596" s="1663"/>
    </row>
    <row r="3597" spans="11:11">
      <c r="K3597" s="1663"/>
    </row>
    <row r="3598" spans="11:11">
      <c r="K3598" s="1663"/>
    </row>
    <row r="3599" spans="11:11">
      <c r="K3599" s="1663"/>
    </row>
    <row r="3600" spans="11:11">
      <c r="K3600" s="1663"/>
    </row>
    <row r="3601" spans="11:11">
      <c r="K3601" s="1663"/>
    </row>
    <row r="3602" spans="11:11">
      <c r="K3602" s="1663"/>
    </row>
    <row r="3603" spans="11:11">
      <c r="K3603" s="1663"/>
    </row>
    <row r="3604" spans="11:11">
      <c r="K3604" s="1663"/>
    </row>
    <row r="3605" spans="11:11">
      <c r="K3605" s="1663"/>
    </row>
    <row r="3606" spans="11:11">
      <c r="K3606" s="1663"/>
    </row>
    <row r="3607" spans="11:11">
      <c r="K3607" s="1663"/>
    </row>
    <row r="3608" spans="11:11">
      <c r="K3608" s="1663"/>
    </row>
    <row r="3609" spans="11:11">
      <c r="K3609" s="1663"/>
    </row>
    <row r="3610" spans="11:11">
      <c r="K3610" s="1663"/>
    </row>
    <row r="3611" spans="11:11">
      <c r="K3611" s="1663"/>
    </row>
    <row r="3612" spans="11:11">
      <c r="K3612" s="1663"/>
    </row>
    <row r="3613" spans="11:11">
      <c r="K3613" s="1663"/>
    </row>
    <row r="3614" spans="11:11">
      <c r="K3614" s="1663"/>
    </row>
    <row r="3615" spans="11:11">
      <c r="K3615" s="1663"/>
    </row>
    <row r="3616" spans="11:11">
      <c r="K3616" s="1663"/>
    </row>
    <row r="3617" spans="11:11">
      <c r="K3617" s="1663"/>
    </row>
    <row r="3618" spans="11:11">
      <c r="K3618" s="1663"/>
    </row>
    <row r="3619" spans="11:11">
      <c r="K3619" s="1663"/>
    </row>
    <row r="3620" spans="11:11">
      <c r="K3620" s="1663"/>
    </row>
    <row r="3621" spans="11:11">
      <c r="K3621" s="1663"/>
    </row>
    <row r="3622" spans="11:11">
      <c r="K3622" s="1663"/>
    </row>
    <row r="3623" spans="11:11">
      <c r="K3623" s="1663"/>
    </row>
    <row r="3624" spans="11:11">
      <c r="K3624" s="1663"/>
    </row>
    <row r="3625" spans="11:11">
      <c r="K3625" s="1663"/>
    </row>
    <row r="3626" spans="11:11">
      <c r="K3626" s="1663"/>
    </row>
    <row r="3627" spans="11:11">
      <c r="K3627" s="1663"/>
    </row>
    <row r="3628" spans="11:11">
      <c r="K3628" s="1663"/>
    </row>
    <row r="3629" spans="11:11">
      <c r="K3629" s="1663"/>
    </row>
    <row r="3630" spans="11:11">
      <c r="K3630" s="1663"/>
    </row>
    <row r="3631" spans="11:11">
      <c r="K3631" s="1663"/>
    </row>
    <row r="3632" spans="11:11">
      <c r="K3632" s="1663"/>
    </row>
    <row r="3633" spans="11:11">
      <c r="K3633" s="1663"/>
    </row>
    <row r="3634" spans="11:11">
      <c r="K3634" s="1663"/>
    </row>
    <row r="3635" spans="11:11">
      <c r="K3635" s="1663"/>
    </row>
    <row r="3636" spans="11:11">
      <c r="K3636" s="1663"/>
    </row>
    <row r="3637" spans="11:11">
      <c r="K3637" s="1663"/>
    </row>
    <row r="3638" spans="11:11">
      <c r="K3638" s="1663"/>
    </row>
    <row r="3639" spans="11:11">
      <c r="K3639" s="1663"/>
    </row>
    <row r="3640" spans="11:11">
      <c r="K3640" s="1663"/>
    </row>
    <row r="3641" spans="11:11">
      <c r="K3641" s="1663"/>
    </row>
    <row r="3642" spans="11:11">
      <c r="K3642" s="1663"/>
    </row>
    <row r="3643" spans="11:11">
      <c r="K3643" s="1663"/>
    </row>
    <row r="3644" spans="11:11">
      <c r="K3644" s="1663"/>
    </row>
    <row r="3645" spans="11:11">
      <c r="K3645" s="1663"/>
    </row>
    <row r="3646" spans="11:11">
      <c r="K3646" s="1663"/>
    </row>
    <row r="3647" spans="11:11">
      <c r="K3647" s="1663"/>
    </row>
    <row r="3648" spans="11:11">
      <c r="K3648" s="1663"/>
    </row>
    <row r="3649" spans="11:11">
      <c r="K3649" s="1663"/>
    </row>
    <row r="3650" spans="11:11">
      <c r="K3650" s="1663"/>
    </row>
    <row r="3651" spans="11:11">
      <c r="K3651" s="1663"/>
    </row>
    <row r="3652" spans="11:11">
      <c r="K3652" s="1663"/>
    </row>
    <row r="3653" spans="11:11">
      <c r="K3653" s="1663"/>
    </row>
    <row r="3654" spans="11:11">
      <c r="K3654" s="1663"/>
    </row>
    <row r="3655" spans="11:11">
      <c r="K3655" s="1663"/>
    </row>
    <row r="3656" spans="11:11">
      <c r="K3656" s="1663"/>
    </row>
    <row r="3657" spans="11:11">
      <c r="K3657" s="1663"/>
    </row>
    <row r="3658" spans="11:11">
      <c r="K3658" s="1663"/>
    </row>
    <row r="3659" spans="11:11">
      <c r="K3659" s="1663"/>
    </row>
    <row r="3660" spans="11:11">
      <c r="K3660" s="1663"/>
    </row>
    <row r="3661" spans="11:11">
      <c r="K3661" s="1663"/>
    </row>
    <row r="3662" spans="11:11">
      <c r="K3662" s="1663"/>
    </row>
    <row r="3663" spans="11:11">
      <c r="K3663" s="1663"/>
    </row>
    <row r="3664" spans="11:11">
      <c r="K3664" s="1663"/>
    </row>
    <row r="3665" spans="11:11">
      <c r="K3665" s="1663"/>
    </row>
    <row r="3666" spans="11:11">
      <c r="K3666" s="1663"/>
    </row>
    <row r="3667" spans="11:11">
      <c r="K3667" s="1663"/>
    </row>
    <row r="3668" spans="11:11">
      <c r="K3668" s="1663"/>
    </row>
    <row r="3669" spans="11:11">
      <c r="K3669" s="1663"/>
    </row>
    <row r="3670" spans="11:11">
      <c r="K3670" s="1663"/>
    </row>
    <row r="3671" spans="11:11">
      <c r="K3671" s="1663"/>
    </row>
    <row r="3672" spans="11:11">
      <c r="K3672" s="1663"/>
    </row>
    <row r="3673" spans="11:11">
      <c r="K3673" s="1663"/>
    </row>
    <row r="3674" spans="11:11">
      <c r="K3674" s="1663"/>
    </row>
    <row r="3675" spans="11:11">
      <c r="K3675" s="1663"/>
    </row>
    <row r="3676" spans="11:11">
      <c r="K3676" s="1663"/>
    </row>
    <row r="3677" spans="11:11">
      <c r="K3677" s="1663"/>
    </row>
    <row r="3678" spans="11:11">
      <c r="K3678" s="1663"/>
    </row>
    <row r="3679" spans="11:11">
      <c r="K3679" s="1663"/>
    </row>
    <row r="3680" spans="11:11">
      <c r="K3680" s="1663"/>
    </row>
    <row r="3681" spans="11:11">
      <c r="K3681" s="1663"/>
    </row>
    <row r="3682" spans="11:11">
      <c r="K3682" s="1663"/>
    </row>
    <row r="3683" spans="11:11">
      <c r="K3683" s="1663"/>
    </row>
    <row r="3684" spans="11:11">
      <c r="K3684" s="1663"/>
    </row>
    <row r="3685" spans="11:11">
      <c r="K3685" s="1663"/>
    </row>
    <row r="3686" spans="11:11">
      <c r="K3686" s="1663"/>
    </row>
    <row r="3687" spans="11:11">
      <c r="K3687" s="1663"/>
    </row>
    <row r="3688" spans="11:11">
      <c r="K3688" s="1663"/>
    </row>
    <row r="3689" spans="11:11">
      <c r="K3689" s="1663"/>
    </row>
    <row r="3690" spans="11:11">
      <c r="K3690" s="1663"/>
    </row>
    <row r="3691" spans="11:11">
      <c r="K3691" s="1663"/>
    </row>
    <row r="3692" spans="11:11">
      <c r="K3692" s="1663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5"/>
  <sheetViews>
    <sheetView showGridLines="0" topLeftCell="A124" zoomScale="85" zoomScaleNormal="85" workbookViewId="0">
      <selection activeCell="C148" sqref="C1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1497</v>
      </c>
      <c r="B1" t="s">
        <v>1515</v>
      </c>
      <c r="C1" t="s">
        <v>22</v>
      </c>
      <c r="D1" t="s">
        <v>1516</v>
      </c>
      <c r="E1" t="s">
        <v>1517</v>
      </c>
      <c r="F1" t="s">
        <v>1518</v>
      </c>
      <c r="G1" t="s">
        <v>1519</v>
      </c>
      <c r="H1" t="s">
        <v>1520</v>
      </c>
      <c r="I1" t="s">
        <v>1366</v>
      </c>
      <c r="J1" t="s">
        <v>1367</v>
      </c>
      <c r="K1" t="s">
        <v>1368</v>
      </c>
      <c r="L1" t="s">
        <v>1521</v>
      </c>
      <c r="M1" t="s">
        <v>1522</v>
      </c>
      <c r="N1" t="s">
        <v>1523</v>
      </c>
      <c r="O1" t="s">
        <v>1524</v>
      </c>
      <c r="P1" t="s">
        <v>1525</v>
      </c>
      <c r="Q1" t="s">
        <v>1526</v>
      </c>
    </row>
    <row r="2" spans="1:17" s="13" customFormat="1" ht="15.75">
      <c r="A2" t="s">
        <v>770</v>
      </c>
      <c r="B2" t="s">
        <v>1527</v>
      </c>
      <c r="C2" t="s">
        <v>1511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770</v>
      </c>
      <c r="B3" t="s">
        <v>1527</v>
      </c>
      <c r="C3" t="s">
        <v>846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770</v>
      </c>
      <c r="B4" t="s">
        <v>1527</v>
      </c>
      <c r="C4" t="s">
        <v>1511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770</v>
      </c>
      <c r="B5" t="s">
        <v>1527</v>
      </c>
      <c r="C5" t="s">
        <v>846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770</v>
      </c>
      <c r="B6" t="s">
        <v>1527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6.4299999999999996E-2</v>
      </c>
      <c r="Q6" s="234">
        <f ca="1">Resultado!C7</f>
        <v>6.4299999999999996E-2</v>
      </c>
    </row>
    <row r="7" spans="1:17" s="13" customFormat="1" ht="15.75">
      <c r="A7" t="s">
        <v>770</v>
      </c>
      <c r="B7" t="s">
        <v>1527</v>
      </c>
      <c r="C7" t="s">
        <v>1339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-0.30880000000000002</v>
      </c>
      <c r="Q7" s="234">
        <f ca="1">Resultado!C8</f>
        <v>-0.30880000000000002</v>
      </c>
    </row>
    <row r="8" spans="1:17" s="13" customFormat="1" ht="15.75">
      <c r="A8" t="s">
        <v>770</v>
      </c>
      <c r="B8" t="s">
        <v>1527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-0.2445</v>
      </c>
      <c r="Q8" s="234">
        <f ca="1">Resultado!C9</f>
        <v>-0.2445</v>
      </c>
    </row>
    <row r="9" spans="1:17" s="13" customFormat="1" ht="15.75">
      <c r="A9" t="s">
        <v>770</v>
      </c>
      <c r="B9" t="s">
        <v>1527</v>
      </c>
      <c r="C9" t="s">
        <v>1528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0.16761577750014472</v>
      </c>
      <c r="Q9" s="234">
        <f ca="1">IF(ISERROR(LnkTXTICMS),0,LnkTXTICMS)</f>
        <v>0.16761577750014472</v>
      </c>
    </row>
    <row r="10" spans="1:17" s="13" customFormat="1" ht="15.75">
      <c r="A10" t="s">
        <v>770</v>
      </c>
      <c r="B10" t="s">
        <v>1527</v>
      </c>
      <c r="C10" t="s">
        <v>1529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0</v>
      </c>
      <c r="Q10" s="234">
        <f ca="1">IF(ISERROR(LNKTXTPercPISCOFINS),0,LNKTXTPercPISCOFINS)</f>
        <v>0</v>
      </c>
    </row>
    <row r="11" spans="1:17" ht="15.75">
      <c r="A11" t="s">
        <v>770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770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770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224382.49700997537</v>
      </c>
      <c r="Q13" s="234">
        <f ca="1">Resultado!D17</f>
        <v>224382.49700997537</v>
      </c>
    </row>
    <row r="14" spans="1:17" ht="15.75">
      <c r="A14" t="s">
        <v>770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7967235.2594800005</v>
      </c>
      <c r="Q14" s="234">
        <f ca="1">Encargos!I19</f>
        <v>7967235.2594800005</v>
      </c>
    </row>
    <row r="15" spans="1:17" ht="15.75">
      <c r="A15" t="s">
        <v>770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770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770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1295379.5909400003</v>
      </c>
      <c r="Q17" s="234">
        <f ca="1">Resultado!D21</f>
        <v>1295379.5909400003</v>
      </c>
    </row>
    <row r="18" spans="1:17" ht="15.75">
      <c r="A18" t="s">
        <v>770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770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770</v>
      </c>
      <c r="B20" t="s">
        <v>791</v>
      </c>
      <c r="C20" t="s">
        <v>1530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770</v>
      </c>
      <c r="B21" t="s">
        <v>791</v>
      </c>
      <c r="C21" t="s">
        <v>1531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14682368.972575199</v>
      </c>
      <c r="Q21" s="234">
        <f>Q22/(1-Q20)</f>
        <v>14682368.972575199</v>
      </c>
    </row>
    <row r="22" spans="1:17" ht="15.75">
      <c r="A22" t="s">
        <v>770</v>
      </c>
      <c r="B22" t="s">
        <v>791</v>
      </c>
      <c r="C22" t="s">
        <v>1532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14682368.972575199</v>
      </c>
      <c r="Q22" s="234">
        <f>CUSD!C3</f>
        <v>14682368.972575199</v>
      </c>
    </row>
    <row r="23" spans="1:17" ht="15.75">
      <c r="A23" t="s">
        <v>770</v>
      </c>
      <c r="B23" t="s">
        <v>791</v>
      </c>
      <c r="C23" s="9" t="s">
        <v>1231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770</v>
      </c>
      <c r="B24" t="s">
        <v>791</v>
      </c>
      <c r="C24" t="s">
        <v>1259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770</v>
      </c>
      <c r="B25" t="s">
        <v>791</v>
      </c>
      <c r="C25" t="s">
        <v>1533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770</v>
      </c>
      <c r="B26" t="s">
        <v>791</v>
      </c>
      <c r="C26" t="s">
        <v>1534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770</v>
      </c>
      <c r="B27" t="s">
        <v>791</v>
      </c>
      <c r="C27" t="s">
        <v>1535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770</v>
      </c>
      <c r="B28" t="s">
        <v>791</v>
      </c>
      <c r="C28" t="s">
        <v>1536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770</v>
      </c>
      <c r="B29" t="s">
        <v>791</v>
      </c>
      <c r="C29" t="s">
        <v>1537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769</v>
      </c>
      <c r="B30" t="s">
        <v>120</v>
      </c>
      <c r="C30" t="s">
        <v>819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770</v>
      </c>
      <c r="B31" t="s">
        <v>120</v>
      </c>
      <c r="C31" t="s">
        <v>819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101943.65023000003</v>
      </c>
      <c r="Q31" s="234">
        <f ca="1">Energia!C5</f>
        <v>101943.65023000003</v>
      </c>
    </row>
    <row r="32" spans="1:17" ht="15.75">
      <c r="A32" t="s">
        <v>770</v>
      </c>
      <c r="B32" t="s">
        <v>120</v>
      </c>
      <c r="C32" t="s">
        <v>1538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9888.5022300000128</v>
      </c>
      <c r="Q32" s="234">
        <f ca="1">Energia!M17</f>
        <v>9888.5022300000128</v>
      </c>
    </row>
    <row r="33" spans="1:17" ht="15.75">
      <c r="A33" t="s">
        <v>770</v>
      </c>
      <c r="B33" t="s">
        <v>120</v>
      </c>
      <c r="C33" t="s">
        <v>1539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770</v>
      </c>
      <c r="B34" t="s">
        <v>120</v>
      </c>
      <c r="C34" t="s">
        <v>1540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770</v>
      </c>
      <c r="B35" t="s">
        <v>120</v>
      </c>
      <c r="C35" t="s">
        <v>1541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770</v>
      </c>
      <c r="B36" t="s">
        <v>120</v>
      </c>
      <c r="C36" t="s">
        <v>1542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9.6999687647931793E-2</v>
      </c>
      <c r="Q36" s="234">
        <f ca="1">Energia!M14</f>
        <v>9.6999687647931793E-2</v>
      </c>
    </row>
    <row r="37" spans="1:17" s="12" customFormat="1" ht="15.75">
      <c r="A37" t="s">
        <v>770</v>
      </c>
      <c r="B37" t="s">
        <v>120</v>
      </c>
      <c r="C37" t="s">
        <v>1543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770</v>
      </c>
      <c r="B38" t="s">
        <v>120</v>
      </c>
      <c r="C38" t="s">
        <v>1544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770</v>
      </c>
      <c r="B39" t="s">
        <v>120</v>
      </c>
      <c r="C39" t="s">
        <v>1545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23401021.987261694</v>
      </c>
      <c r="Q39" s="234">
        <f ca="1">Energia!C14</f>
        <v>23401021.987261694</v>
      </c>
    </row>
    <row r="40" spans="1:17" ht="15.75">
      <c r="A40" t="s">
        <v>769</v>
      </c>
      <c r="B40" t="s">
        <v>120</v>
      </c>
      <c r="C40" t="s">
        <v>1546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229.54859801925386</v>
      </c>
      <c r="Q40" s="234">
        <f ca="1">Energia!C13</f>
        <v>229.54859801925386</v>
      </c>
    </row>
    <row r="41" spans="1:17" ht="15.75">
      <c r="A41" t="s">
        <v>769</v>
      </c>
      <c r="B41" t="s">
        <v>120</v>
      </c>
      <c r="C41" t="s">
        <v>1547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1498.212724965482</v>
      </c>
      <c r="Q41" s="234">
        <f>Energia!C19</f>
        <v>1498.212724965482</v>
      </c>
    </row>
    <row r="42" spans="1:17" ht="15.75">
      <c r="A42" t="s">
        <v>770</v>
      </c>
      <c r="B42" t="s">
        <v>120</v>
      </c>
      <c r="C42" t="s">
        <v>1548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100445.43750503454</v>
      </c>
      <c r="Q42" s="234">
        <f ca="1">Energia!C22</f>
        <v>100445.43750503454</v>
      </c>
    </row>
    <row r="43" spans="1:17" ht="15.75">
      <c r="A43" t="s">
        <v>770</v>
      </c>
      <c r="B43" t="s">
        <v>120</v>
      </c>
      <c r="C43" s="9" t="s">
        <v>1549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23401021.987261694</v>
      </c>
      <c r="Q43" s="234">
        <f ca="1">Energia!F22</f>
        <v>23401021.987261694</v>
      </c>
    </row>
    <row r="44" spans="1:17" s="12" customFormat="1" ht="15.75">
      <c r="A44" t="s">
        <v>770</v>
      </c>
      <c r="B44" t="s">
        <v>120</v>
      </c>
      <c r="C44" t="s">
        <v>1550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770</v>
      </c>
      <c r="B45" t="s">
        <v>120</v>
      </c>
      <c r="C45" t="s">
        <v>1551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770</v>
      </c>
      <c r="B46" t="s">
        <v>120</v>
      </c>
      <c r="C46" t="s">
        <v>1552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770</v>
      </c>
      <c r="B47" t="s">
        <v>120</v>
      </c>
      <c r="C47" s="9" t="s">
        <v>1553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1">
        <f>VALUE(Energia!A28)</f>
        <v>396</v>
      </c>
      <c r="P47" s="234">
        <f t="shared" si="0"/>
        <v>0.1426</v>
      </c>
      <c r="Q47" s="234">
        <f>Energia!F28</f>
        <v>0.1426</v>
      </c>
    </row>
    <row r="48" spans="1:17" s="12" customFormat="1" ht="15.75">
      <c r="A48" t="s">
        <v>770</v>
      </c>
      <c r="B48" t="s">
        <v>120</v>
      </c>
      <c r="C48" s="9" t="s">
        <v>1553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400</v>
      </c>
      <c r="P48" s="234">
        <f t="shared" si="0"/>
        <v>0.1426</v>
      </c>
      <c r="Q48" s="234">
        <f>Energia!F29</f>
        <v>0.1426</v>
      </c>
    </row>
    <row r="49" spans="1:17" s="12" customFormat="1" ht="15.75">
      <c r="A49" t="s">
        <v>770</v>
      </c>
      <c r="B49" t="s">
        <v>120</v>
      </c>
      <c r="C49" s="9" t="s">
        <v>1553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770</v>
      </c>
      <c r="B50" t="s">
        <v>120</v>
      </c>
      <c r="C50" s="9" t="s">
        <v>1553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770</v>
      </c>
      <c r="B51" t="s">
        <v>120</v>
      </c>
      <c r="C51" s="9" t="s">
        <v>1553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770</v>
      </c>
      <c r="B52" t="s">
        <v>970</v>
      </c>
      <c r="C52" t="s">
        <v>962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92055.148000000016</v>
      </c>
      <c r="Q52" s="234">
        <f ca="1">FornecimentoE</f>
        <v>92055.148000000016</v>
      </c>
    </row>
    <row r="53" spans="1:17" s="12" customFormat="1" ht="15.75">
      <c r="A53" t="s">
        <v>770</v>
      </c>
      <c r="B53" t="s">
        <v>970</v>
      </c>
      <c r="C53" t="s">
        <v>983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770</v>
      </c>
      <c r="B54" t="s">
        <v>970</v>
      </c>
      <c r="C54" t="s">
        <v>1554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770</v>
      </c>
      <c r="B55" t="s">
        <v>970</v>
      </c>
      <c r="C55" t="s">
        <v>1555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296.577</v>
      </c>
      <c r="Q55" s="234">
        <f ca="1">Calc_Mercado!C22</f>
        <v>296.577</v>
      </c>
    </row>
    <row r="56" spans="1:17" s="12" customFormat="1" ht="15.75">
      <c r="A56" t="s">
        <v>770</v>
      </c>
      <c r="B56" t="s">
        <v>970</v>
      </c>
      <c r="C56" t="s">
        <v>987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770</v>
      </c>
      <c r="B57" t="s">
        <v>970</v>
      </c>
      <c r="C57" t="s">
        <v>1556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770</v>
      </c>
      <c r="B58" t="s">
        <v>970</v>
      </c>
      <c r="C58" t="s">
        <v>1557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770</v>
      </c>
      <c r="B59" t="s">
        <v>970</v>
      </c>
      <c r="C59" t="s">
        <v>1558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770</v>
      </c>
      <c r="B60" t="s">
        <v>970</v>
      </c>
      <c r="C60" t="s">
        <v>1559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770</v>
      </c>
      <c r="B61" t="s">
        <v>970</v>
      </c>
      <c r="C61" t="s">
        <v>1560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770</v>
      </c>
      <c r="B62" t="s">
        <v>970</v>
      </c>
      <c r="C62" t="s">
        <v>1561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15378.780999999999</v>
      </c>
      <c r="Q62" s="234">
        <f ca="1">Calc_Mercado!C13</f>
        <v>15378.780999999999</v>
      </c>
    </row>
    <row r="63" spans="1:17" s="12" customFormat="1" ht="15.75">
      <c r="A63" t="s">
        <v>770</v>
      </c>
      <c r="B63" t="s">
        <v>970</v>
      </c>
      <c r="C63" t="s">
        <v>1562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770</v>
      </c>
      <c r="B64" t="s">
        <v>970</v>
      </c>
      <c r="C64" t="s">
        <v>1563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76676.367000000013</v>
      </c>
      <c r="Q64" s="234">
        <f ca="1">FornecimentoE_BT</f>
        <v>76676.367000000013</v>
      </c>
    </row>
    <row r="65" spans="1:17" ht="15.75">
      <c r="A65" t="s">
        <v>770</v>
      </c>
      <c r="B65" t="s">
        <v>970</v>
      </c>
      <c r="C65" t="s">
        <v>962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88910895.00390996</v>
      </c>
      <c r="Q65" s="234">
        <f ca="1">Calc_Mercado!D8</f>
        <v>88910895.00390996</v>
      </c>
    </row>
    <row r="66" spans="1:17" ht="15.75">
      <c r="A66" t="s">
        <v>770</v>
      </c>
      <c r="B66" t="s">
        <v>970</v>
      </c>
      <c r="C66" t="s">
        <v>983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770</v>
      </c>
      <c r="B67" t="s">
        <v>970</v>
      </c>
      <c r="C67" t="s">
        <v>1554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770</v>
      </c>
      <c r="B68" t="s">
        <v>970</v>
      </c>
      <c r="C68" t="s">
        <v>1555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683695.97284000006</v>
      </c>
      <c r="Q68" s="234">
        <f ca="1">Calc_Mercado!D22</f>
        <v>683695.97284000006</v>
      </c>
    </row>
    <row r="69" spans="1:17" ht="15.75">
      <c r="A69" t="s">
        <v>770</v>
      </c>
      <c r="B69" t="s">
        <v>970</v>
      </c>
      <c r="C69" t="s">
        <v>987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770</v>
      </c>
      <c r="B70" t="s">
        <v>970</v>
      </c>
      <c r="C70" t="s">
        <v>1556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770</v>
      </c>
      <c r="B71" t="s">
        <v>970</v>
      </c>
      <c r="C71" t="s">
        <v>1557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770</v>
      </c>
      <c r="B72" t="s">
        <v>970</v>
      </c>
      <c r="C72" t="s">
        <v>1558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770</v>
      </c>
      <c r="B73" t="s">
        <v>970</v>
      </c>
      <c r="C73" t="s">
        <v>1559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770</v>
      </c>
      <c r="B74" t="s">
        <v>970</v>
      </c>
      <c r="C74" t="s">
        <v>1560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770</v>
      </c>
      <c r="B75" t="s">
        <v>970</v>
      </c>
      <c r="C75" t="s">
        <v>1561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15112114.327939998</v>
      </c>
      <c r="Q75" s="234">
        <f ca="1">Calc_Mercado!D13</f>
        <v>15112114.327939998</v>
      </c>
    </row>
    <row r="76" spans="1:17" ht="15.75">
      <c r="A76" t="s">
        <v>770</v>
      </c>
      <c r="B76" t="s">
        <v>970</v>
      </c>
      <c r="C76" t="s">
        <v>1562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770</v>
      </c>
      <c r="B77" t="s">
        <v>970</v>
      </c>
      <c r="C77" t="s">
        <v>1563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73798780.675969958</v>
      </c>
      <c r="Q77" s="234">
        <f ca="1">Calc_Mercado!D15</f>
        <v>73798780.675969958</v>
      </c>
    </row>
    <row r="78" spans="1:17" ht="15.75">
      <c r="A78" t="s">
        <v>770</v>
      </c>
      <c r="B78" t="s">
        <v>970</v>
      </c>
      <c r="C78" t="s">
        <v>1564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769</v>
      </c>
      <c r="B79" t="s">
        <v>970</v>
      </c>
      <c r="C79" s="9" t="s">
        <v>1565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770</v>
      </c>
      <c r="B80" t="s">
        <v>970</v>
      </c>
      <c r="C80" t="s">
        <v>1566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92055.148000000016</v>
      </c>
      <c r="Q80" s="234">
        <f ca="1">LnkTXTEV</f>
        <v>92055.148000000016</v>
      </c>
    </row>
    <row r="81" spans="1:17" ht="15.75">
      <c r="A81" t="s">
        <v>770</v>
      </c>
      <c r="B81" t="s">
        <v>109</v>
      </c>
      <c r="C81" t="s">
        <v>1567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47785171.07</v>
      </c>
      <c r="Q81" s="234">
        <f>Resultado!D39</f>
        <v>47785171.07</v>
      </c>
    </row>
    <row r="82" spans="1:17" ht="15.75">
      <c r="A82" s="1653" t="s">
        <v>1583</v>
      </c>
      <c r="B82" s="1653" t="s">
        <v>1583</v>
      </c>
      <c r="C82" s="1653" t="s">
        <v>1583</v>
      </c>
      <c r="D82" s="1653">
        <v>99</v>
      </c>
      <c r="E82" s="1653">
        <v>99</v>
      </c>
      <c r="F82" s="1653">
        <v>999</v>
      </c>
      <c r="G82" s="1653">
        <v>999999</v>
      </c>
      <c r="H82" s="1653">
        <v>999</v>
      </c>
      <c r="I82" s="1653">
        <v>99</v>
      </c>
      <c r="J82" s="1653">
        <v>999</v>
      </c>
      <c r="K82" s="1653">
        <v>9</v>
      </c>
      <c r="L82" s="1653">
        <v>99</v>
      </c>
      <c r="M82" s="1653">
        <v>9</v>
      </c>
      <c r="N82" s="1653">
        <v>99</v>
      </c>
      <c r="O82" s="1653">
        <v>99999</v>
      </c>
      <c r="P82" s="402">
        <f t="shared" si="2"/>
        <v>0</v>
      </c>
      <c r="Q82" s="402">
        <v>0</v>
      </c>
    </row>
    <row r="83" spans="1:17" ht="15.75">
      <c r="A83" t="s">
        <v>770</v>
      </c>
      <c r="B83" t="s">
        <v>1372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657264.6605591157</v>
      </c>
      <c r="Q83" s="234">
        <f ca="1">Financeiros!D10</f>
        <v>657264.6605591157</v>
      </c>
    </row>
    <row r="84" spans="1:17" ht="15.75">
      <c r="A84" t="s">
        <v>770</v>
      </c>
      <c r="B84" t="s">
        <v>1372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1307673.9695429229</v>
      </c>
      <c r="Q84" s="234">
        <f ca="1">Financeiros!D11</f>
        <v>1307673.9695429229</v>
      </c>
    </row>
    <row r="85" spans="1:17" ht="15.75">
      <c r="A85" t="s">
        <v>770</v>
      </c>
      <c r="B85" t="s">
        <v>1372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-14709.601146487978</v>
      </c>
      <c r="Q85" s="234">
        <f ca="1">Financeiros!D12</f>
        <v>-14709.601146487978</v>
      </c>
    </row>
    <row r="86" spans="1:17" ht="15.75">
      <c r="A86" t="s">
        <v>770</v>
      </c>
      <c r="B86" t="s">
        <v>1372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-352322.36415854463</v>
      </c>
      <c r="Q86" s="234">
        <f ca="1">Financeiros!D13</f>
        <v>-352322.36415854463</v>
      </c>
    </row>
    <row r="87" spans="1:17" ht="15.75">
      <c r="A87" t="s">
        <v>770</v>
      </c>
      <c r="B87" t="s">
        <v>1372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770</v>
      </c>
      <c r="B88" t="s">
        <v>1372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770</v>
      </c>
      <c r="B89" t="s">
        <v>1372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-55891.756176992785</v>
      </c>
      <c r="Q89" s="234">
        <f ca="1">Financeiros!D16</f>
        <v>-55891.756176992785</v>
      </c>
    </row>
    <row r="90" spans="1:17" ht="15.75">
      <c r="A90" t="s">
        <v>770</v>
      </c>
      <c r="B90" t="s">
        <v>1372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770</v>
      </c>
      <c r="B91" t="s">
        <v>1372</v>
      </c>
      <c r="C91" t="str">
        <f>Financeiros!C18</f>
        <v>(Neutralidade)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999</v>
      </c>
      <c r="I91">
        <f>Financeiros!I18</f>
        <v>4</v>
      </c>
      <c r="J91">
        <f>Financeiros!J18</f>
        <v>999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770</v>
      </c>
      <c r="B92" t="s">
        <v>1372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73</v>
      </c>
      <c r="I92">
        <f>Financeiros!I19</f>
        <v>3</v>
      </c>
      <c r="J92">
        <f>Financeiros!J19</f>
        <v>12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770</v>
      </c>
      <c r="B93" t="s">
        <v>1372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770</v>
      </c>
      <c r="B94" t="s">
        <v>1372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770</v>
      </c>
      <c r="B95" t="s">
        <v>1372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770</v>
      </c>
      <c r="B96" t="s">
        <v>1372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770</v>
      </c>
      <c r="B97" t="s">
        <v>1372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770</v>
      </c>
      <c r="B98" t="s">
        <v>1372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1583</v>
      </c>
      <c r="B99" t="s">
        <v>1583</v>
      </c>
      <c r="C99" t="s">
        <v>1583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770</v>
      </c>
      <c r="B100" t="s">
        <v>1372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-753199.52656899451</v>
      </c>
      <c r="Q100" s="234">
        <f>Financeiros!D27</f>
        <v>-753199.52656899451</v>
      </c>
    </row>
    <row r="101" spans="1:17" ht="15.75">
      <c r="A101" t="s">
        <v>770</v>
      </c>
      <c r="B101" t="s">
        <v>1372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-29299244.538198307</v>
      </c>
      <c r="Q101" s="234">
        <f ca="1">Financeiros!D28</f>
        <v>-29299244.538198307</v>
      </c>
    </row>
    <row r="102" spans="1:17" ht="15.75">
      <c r="A102" t="s">
        <v>770</v>
      </c>
      <c r="B102" t="s">
        <v>1372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-748800.9760169402</v>
      </c>
      <c r="Q102" s="234">
        <f>Financeiros!D29</f>
        <v>-748800.9760169402</v>
      </c>
    </row>
    <row r="103" spans="1:17" ht="15.75">
      <c r="A103" t="s">
        <v>770</v>
      </c>
      <c r="B103" t="s">
        <v>1372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770</v>
      </c>
      <c r="B104" t="s">
        <v>1372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770</v>
      </c>
      <c r="B105" t="s">
        <v>1372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770</v>
      </c>
      <c r="B106" t="s">
        <v>1372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770</v>
      </c>
      <c r="B107" t="s">
        <v>1372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770</v>
      </c>
      <c r="B108" t="s">
        <v>1372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0</v>
      </c>
      <c r="Q108" s="234">
        <f>Financeiros!D36</f>
        <v>0</v>
      </c>
    </row>
    <row r="109" spans="1:17" ht="15.75">
      <c r="A109" t="s">
        <v>770</v>
      </c>
      <c r="B109" t="s">
        <v>1372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770</v>
      </c>
      <c r="B110" t="s">
        <v>1372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0</v>
      </c>
      <c r="Q110" s="234">
        <f>Financeiros!D38</f>
        <v>0</v>
      </c>
    </row>
    <row r="111" spans="1:17" ht="15.75">
      <c r="A111" t="s">
        <v>770</v>
      </c>
      <c r="B111" t="s">
        <v>1372</v>
      </c>
      <c r="C111" t="str">
        <f>Financeiros!C39</f>
        <v>Reversão Diferimento Pis Cofins TUSD - RTA 2021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475894.97813699069</v>
      </c>
      <c r="Q111" s="234">
        <f>Financeiros!D39</f>
        <v>475894.97813699069</v>
      </c>
    </row>
    <row r="112" spans="1:17" ht="15.75">
      <c r="A112" t="s">
        <v>770</v>
      </c>
      <c r="B112" t="s">
        <v>1372</v>
      </c>
      <c r="C112" t="str">
        <f>Financeiros!C40</f>
        <v>Reversão Diferimento Pis Cofins TE - RTA 2021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1114524.2004696932</v>
      </c>
      <c r="Q112" s="234">
        <f>Financeiros!D40</f>
        <v>1114524.2004696932</v>
      </c>
    </row>
    <row r="113" spans="1:17" ht="15.75">
      <c r="A113" t="s">
        <v>770</v>
      </c>
      <c r="B113" t="s">
        <v>1372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770</v>
      </c>
      <c r="B114" t="s">
        <v>1372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770</v>
      </c>
      <c r="B115" t="s">
        <v>1372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770</v>
      </c>
      <c r="B116" t="s">
        <v>1372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770</v>
      </c>
      <c r="B117" t="s">
        <v>1372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7.3359859495276637E-3</v>
      </c>
      <c r="Q117" s="234">
        <f ca="1">Financeiros!E10</f>
        <v>7.3359859495276637E-3</v>
      </c>
    </row>
    <row r="118" spans="1:17" ht="15.75">
      <c r="A118" t="s">
        <v>770</v>
      </c>
      <c r="B118" t="s">
        <v>1372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1.4595456659680135E-2</v>
      </c>
      <c r="Q118" s="234">
        <f ca="1">Financeiros!E11</f>
        <v>1.4595456659680135E-2</v>
      </c>
    </row>
    <row r="119" spans="1:17" ht="15.75">
      <c r="A119" t="s">
        <v>770</v>
      </c>
      <c r="B119" t="s">
        <v>1372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-1.6417956693730719E-4</v>
      </c>
      <c r="Q119" s="249">
        <f ca="1">Financeiros!E12</f>
        <v>-1.6417956693730719E-4</v>
      </c>
    </row>
    <row r="120" spans="1:17" ht="15.75">
      <c r="A120" t="s">
        <v>770</v>
      </c>
      <c r="B120" t="s">
        <v>1372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-3.9324066365789122E-3</v>
      </c>
      <c r="Q120" s="249">
        <f ca="1">Financeiros!E13</f>
        <v>-3.9324066365789122E-3</v>
      </c>
    </row>
    <row r="121" spans="1:17" ht="15.75">
      <c r="A121" t="s">
        <v>770</v>
      </c>
      <c r="B121" t="s">
        <v>1372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770</v>
      </c>
      <c r="B122" t="s">
        <v>1372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Financeiros!E15</f>
        <v>0</v>
      </c>
    </row>
    <row r="123" spans="1:17" ht="15.75">
      <c r="A123" t="s">
        <v>770</v>
      </c>
      <c r="B123" t="s">
        <v>1372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-6.2382958131364035E-4</v>
      </c>
      <c r="Q123" s="249">
        <f ca="1">Financeiros!E16</f>
        <v>-6.2382958131364035E-4</v>
      </c>
    </row>
    <row r="124" spans="1:17" ht="15.75">
      <c r="A124" t="s">
        <v>770</v>
      </c>
      <c r="B124" t="s">
        <v>1372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770</v>
      </c>
      <c r="B125" t="s">
        <v>1372</v>
      </c>
      <c r="C125" t="str">
        <f>Financeiros!C18</f>
        <v>(Neutralidade)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999</v>
      </c>
      <c r="I125">
        <f>Financeiros!I18</f>
        <v>4</v>
      </c>
      <c r="J125">
        <f>Financeiros!J18</f>
        <v>999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770</v>
      </c>
      <c r="B126" t="s">
        <v>1372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73</v>
      </c>
      <c r="I126">
        <f>Financeiros!I19</f>
        <v>3</v>
      </c>
      <c r="J126">
        <f>Financeiros!J19</f>
        <v>12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770</v>
      </c>
      <c r="B127" t="s">
        <v>1372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770</v>
      </c>
      <c r="B128" t="s">
        <v>1372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0</v>
      </c>
      <c r="Q128" s="249">
        <f ca="1">Financeiros!E21</f>
        <v>0</v>
      </c>
    </row>
    <row r="129" spans="1:17" ht="15.75">
      <c r="A129" t="s">
        <v>770</v>
      </c>
      <c r="B129" t="s">
        <v>1372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0</v>
      </c>
      <c r="Q129" s="249">
        <f ca="1">Financeiros!E22</f>
        <v>0</v>
      </c>
    </row>
    <row r="130" spans="1:17" ht="15.75">
      <c r="A130" t="s">
        <v>770</v>
      </c>
      <c r="B130" t="s">
        <v>1372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770</v>
      </c>
      <c r="B131" t="s">
        <v>1372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770</v>
      </c>
      <c r="B132" t="s">
        <v>1372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770</v>
      </c>
      <c r="B133" t="s">
        <v>1372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-8.4067522197233072E-3</v>
      </c>
      <c r="Q133" s="249">
        <f ca="1">Financeiros!E27</f>
        <v>-8.4067522197233072E-3</v>
      </c>
    </row>
    <row r="134" spans="1:17" ht="15.75">
      <c r="A134" t="s">
        <v>770</v>
      </c>
      <c r="B134" t="s">
        <v>1372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-0.32702023882001474</v>
      </c>
      <c r="Q134" s="249">
        <f ca="1">Financeiros!E28</f>
        <v>-0.32702023882001474</v>
      </c>
    </row>
    <row r="135" spans="1:17" ht="15.75">
      <c r="A135" t="s">
        <v>770</v>
      </c>
      <c r="B135" t="s">
        <v>1372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-8.3576582900105664E-3</v>
      </c>
      <c r="Q135" s="249">
        <f ca="1">Financeiros!E29</f>
        <v>-8.3576582900105664E-3</v>
      </c>
    </row>
    <row r="136" spans="1:17" ht="15.75">
      <c r="A136" t="s">
        <v>770</v>
      </c>
      <c r="B136" t="s">
        <v>1372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770</v>
      </c>
      <c r="B137" t="s">
        <v>1372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770</v>
      </c>
      <c r="B138" t="s">
        <v>1372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770</v>
      </c>
      <c r="B139" t="s">
        <v>1372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770</v>
      </c>
      <c r="B140" t="s">
        <v>1372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770</v>
      </c>
      <c r="B141" t="s">
        <v>1372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770</v>
      </c>
      <c r="B142" t="s">
        <v>1372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0</v>
      </c>
      <c r="Q142" s="249">
        <f ca="1">Financeiros!E36</f>
        <v>0</v>
      </c>
    </row>
    <row r="143" spans="1:17" ht="15.75">
      <c r="A143" t="s">
        <v>770</v>
      </c>
      <c r="B143" t="s">
        <v>1372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770</v>
      </c>
      <c r="B144" t="s">
        <v>1372</v>
      </c>
      <c r="C144" t="str">
        <f>Financeiros!C39</f>
        <v>Reversão Diferimento Pis Cofins TUSD - RTA 2021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Financeiros!E38</f>
        <v>0</v>
      </c>
    </row>
    <row r="145" spans="1:17" ht="15.75">
      <c r="A145" t="s">
        <v>770</v>
      </c>
      <c r="B145" t="s">
        <v>1372</v>
      </c>
      <c r="C145" t="str">
        <f>Financeiros!C40</f>
        <v>Reversão Diferimento Pis Cofins TE - RTA 2021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5.3116485375828857E-3</v>
      </c>
      <c r="Q145" s="249">
        <f ca="1">Financeiros!E39</f>
        <v>5.3116485375828857E-3</v>
      </c>
    </row>
    <row r="146" spans="1:17" ht="15.75">
      <c r="A146" t="s">
        <v>770</v>
      </c>
      <c r="B146" t="s">
        <v>1372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1.2439637128974843E-2</v>
      </c>
      <c r="Q146" s="249">
        <f ca="1">Financeiros!E40</f>
        <v>1.2439637128974843E-2</v>
      </c>
    </row>
    <row r="147" spans="1:17" ht="15.75">
      <c r="A147" t="s">
        <v>770</v>
      </c>
      <c r="B147" t="s">
        <v>1372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0</v>
      </c>
      <c r="Q147" s="249">
        <f ca="1">Financeiros!E41</f>
        <v>0</v>
      </c>
    </row>
    <row r="148" spans="1:17" ht="15.75">
      <c r="A148" t="s">
        <v>770</v>
      </c>
      <c r="B148" t="s">
        <v>1372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770</v>
      </c>
      <c r="B149" t="s">
        <v>1372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770</v>
      </c>
      <c r="B150" t="s">
        <v>1372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770</v>
      </c>
      <c r="B151" t="s">
        <v>1372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770</v>
      </c>
      <c r="B152" t="s">
        <v>1372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770</v>
      </c>
      <c r="B153" t="s">
        <v>72</v>
      </c>
      <c r="C153" t="s">
        <v>1568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1569</v>
      </c>
      <c r="B154" t="s">
        <v>1570</v>
      </c>
      <c r="C154" t="s">
        <v>1571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1569</v>
      </c>
      <c r="B155" t="s">
        <v>1570</v>
      </c>
      <c r="C155" t="s">
        <v>1572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1</v>
      </c>
      <c r="Q155" s="234">
        <f ca="1">IF(CAPA!C110="Revisão",1,0)</f>
        <v>1</v>
      </c>
    </row>
    <row r="156" spans="1:17" ht="15.75">
      <c r="A156" t="s">
        <v>1569</v>
      </c>
      <c r="B156" t="s">
        <v>1570</v>
      </c>
      <c r="C156" t="s">
        <v>1573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770</v>
      </c>
      <c r="B157" t="s">
        <v>970</v>
      </c>
      <c r="C157" t="s">
        <v>1574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770</v>
      </c>
      <c r="B158" s="16" t="s">
        <v>120</v>
      </c>
      <c r="C158" s="16" t="s">
        <v>819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101943.65023000003</v>
      </c>
      <c r="Q158" s="234">
        <f ca="1">Energia!C5</f>
        <v>101943.65023000003</v>
      </c>
    </row>
    <row r="159" spans="1:17" ht="15.75">
      <c r="A159" s="16" t="s">
        <v>770</v>
      </c>
      <c r="B159" s="16" t="s">
        <v>120</v>
      </c>
      <c r="C159" s="16" t="s">
        <v>819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23401021.987261694</v>
      </c>
      <c r="Q159" s="234">
        <f ca="1">Energia!C14</f>
        <v>23401021.987261694</v>
      </c>
    </row>
    <row r="160" spans="1:17" ht="15.75">
      <c r="A160" s="16" t="s">
        <v>770</v>
      </c>
      <c r="B160" s="16" t="s">
        <v>1575</v>
      </c>
      <c r="C160" s="16" t="s">
        <v>1576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47570388.307266869</v>
      </c>
      <c r="Q160" s="234">
        <f ca="1">Resultado!D34</f>
        <v>47570388.307266869</v>
      </c>
    </row>
    <row r="161" spans="1:21" ht="15.75">
      <c r="A161" s="16" t="s">
        <v>770</v>
      </c>
      <c r="B161" s="16" t="s">
        <v>109</v>
      </c>
      <c r="C161" s="16" t="s">
        <v>834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47785171.07</v>
      </c>
      <c r="Q161" s="234">
        <f>Resultado!D39</f>
        <v>47785171.07</v>
      </c>
    </row>
    <row r="162" spans="1:21" ht="15.75">
      <c r="A162" s="16" t="s">
        <v>770</v>
      </c>
      <c r="B162" s="16" t="s">
        <v>72</v>
      </c>
      <c r="C162" s="16" t="s">
        <v>834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9486997.3474299759</v>
      </c>
      <c r="Q162" s="234">
        <f ca="1">Resultado!D14</f>
        <v>9486997.3474299759</v>
      </c>
    </row>
    <row r="163" spans="1:21" ht="15.75">
      <c r="A163" s="16" t="s">
        <v>770</v>
      </c>
      <c r="B163" s="16" t="s">
        <v>791</v>
      </c>
      <c r="C163" s="16" t="s">
        <v>834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14682368.972575199</v>
      </c>
      <c r="Q163" s="234">
        <f>Resultado!D24</f>
        <v>14682368.972575199</v>
      </c>
    </row>
    <row r="164" spans="1:21" ht="15.75">
      <c r="A164" s="16" t="s">
        <v>770</v>
      </c>
      <c r="B164" s="16" t="s">
        <v>1575</v>
      </c>
      <c r="C164" s="16" t="s">
        <v>1577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95355559.377266869</v>
      </c>
      <c r="Q164" s="234">
        <f ca="1">Resultado!C5</f>
        <v>95355559.377266869</v>
      </c>
    </row>
    <row r="165" spans="1:21" ht="15.75">
      <c r="A165" s="16" t="s">
        <v>770</v>
      </c>
      <c r="B165" s="16" t="s">
        <v>120</v>
      </c>
      <c r="C165" s="16" t="s">
        <v>1578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0</v>
      </c>
      <c r="Q165" s="234">
        <f ca="1">Energia!M15</f>
        <v>0</v>
      </c>
    </row>
    <row r="166" spans="1:21" ht="15.75">
      <c r="A166" s="16" t="s">
        <v>770</v>
      </c>
      <c r="B166" s="16" t="s">
        <v>120</v>
      </c>
      <c r="C166" s="16" t="s">
        <v>1579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0</v>
      </c>
      <c r="Q166" s="234">
        <f ca="1">Energia!M18+Energia!M19</f>
        <v>0</v>
      </c>
    </row>
    <row r="167" spans="1:21" ht="15.75">
      <c r="A167" s="16" t="s">
        <v>769</v>
      </c>
      <c r="B167" s="16" t="s">
        <v>120</v>
      </c>
      <c r="C167" s="16" t="s">
        <v>834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25502882.871836431</v>
      </c>
      <c r="Q167" s="234">
        <f ca="1">Resultado!C33</f>
        <v>25502882.871836431</v>
      </c>
      <c r="R167" s="255"/>
      <c r="S167" s="255"/>
      <c r="T167" s="255"/>
      <c r="U167" s="255"/>
    </row>
    <row r="168" spans="1:21" ht="15.75">
      <c r="A168" s="16" t="s">
        <v>769</v>
      </c>
      <c r="B168" s="16" t="s">
        <v>1575</v>
      </c>
      <c r="C168" s="16" t="s">
        <v>1580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89594590.976749957</v>
      </c>
      <c r="Q168" s="234">
        <f ca="1">Mercado_RA0_Reais</f>
        <v>89594590.976749957</v>
      </c>
    </row>
    <row r="169" spans="1:21" ht="15.75">
      <c r="A169" s="16" t="s">
        <v>770</v>
      </c>
      <c r="B169" s="16" t="s">
        <v>1372</v>
      </c>
      <c r="C169" s="16" t="s">
        <v>834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-27668810.953557543</v>
      </c>
      <c r="Q169" s="234">
        <f ca="1">Financeiros!D7</f>
        <v>-27668810.953557543</v>
      </c>
    </row>
    <row r="170" spans="1:21" ht="15.75">
      <c r="A170" s="16" t="s">
        <v>770</v>
      </c>
      <c r="B170" s="16" t="s">
        <v>1372</v>
      </c>
      <c r="C170" s="16" t="s">
        <v>834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-0.30882233683881294</v>
      </c>
      <c r="Q170" s="234">
        <f ca="1">Financeiros!E7</f>
        <v>-0.30882233683881294</v>
      </c>
    </row>
    <row r="171" spans="1:21" ht="15.75">
      <c r="A171" s="16" t="s">
        <v>770</v>
      </c>
      <c r="B171" s="16" t="s">
        <v>1581</v>
      </c>
      <c r="C171" s="16" t="s">
        <v>1582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67686748.423709333</v>
      </c>
      <c r="Q171" s="234">
        <f ca="1">Resultado!C5+Financeiros!D7/(1+IF(Q157&gt;0,Q157,0))</f>
        <v>67686748.423709333</v>
      </c>
    </row>
    <row r="172" spans="1:21" ht="15.75">
      <c r="A172" t="s">
        <v>770</v>
      </c>
      <c r="B172" t="s">
        <v>72</v>
      </c>
      <c r="C172" t="s">
        <v>1568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38" t="s">
        <v>1583</v>
      </c>
      <c r="B173" s="1038" t="s">
        <v>1583</v>
      </c>
      <c r="C173" s="1038" t="s">
        <v>1583</v>
      </c>
      <c r="D173" s="1038">
        <v>99</v>
      </c>
      <c r="E173" s="1038">
        <v>99</v>
      </c>
      <c r="F173" s="1038">
        <v>999</v>
      </c>
      <c r="G173" s="1038">
        <v>999999</v>
      </c>
      <c r="H173" s="1038">
        <v>999</v>
      </c>
      <c r="I173" s="1038">
        <v>99</v>
      </c>
      <c r="J173" s="1038">
        <v>999</v>
      </c>
      <c r="K173" s="1038">
        <v>9</v>
      </c>
      <c r="L173" s="1038">
        <v>99</v>
      </c>
      <c r="M173" s="1038">
        <v>9</v>
      </c>
      <c r="N173" s="1038">
        <v>99</v>
      </c>
      <c r="O173" s="1038">
        <v>99999</v>
      </c>
      <c r="P173" s="401">
        <f t="shared" si="7"/>
        <v>0</v>
      </c>
      <c r="Q173" s="401">
        <v>0</v>
      </c>
    </row>
    <row r="174" spans="1:21" ht="15.75">
      <c r="A174" s="1038" t="s">
        <v>1583</v>
      </c>
      <c r="B174" s="1038" t="s">
        <v>1583</v>
      </c>
      <c r="C174" s="1038" t="s">
        <v>1583</v>
      </c>
      <c r="D174" s="1038">
        <v>99</v>
      </c>
      <c r="E174" s="1038">
        <v>99</v>
      </c>
      <c r="F174" s="1038">
        <v>999</v>
      </c>
      <c r="G174" s="1038">
        <v>999999</v>
      </c>
      <c r="H174" s="1038">
        <v>999</v>
      </c>
      <c r="I174" s="1038">
        <v>99</v>
      </c>
      <c r="J174" s="1038">
        <v>999</v>
      </c>
      <c r="K174" s="1038">
        <v>9</v>
      </c>
      <c r="L174" s="1038">
        <v>99</v>
      </c>
      <c r="M174" s="1038">
        <v>9</v>
      </c>
      <c r="N174" s="1038">
        <v>99</v>
      </c>
      <c r="O174" s="1038">
        <v>99999</v>
      </c>
      <c r="P174" s="401">
        <f t="shared" si="7"/>
        <v>0</v>
      </c>
      <c r="Q174" s="401">
        <v>0</v>
      </c>
    </row>
    <row r="175" spans="1:21" ht="15.75">
      <c r="A175" s="1038" t="s">
        <v>1583</v>
      </c>
      <c r="B175" s="1038" t="s">
        <v>1583</v>
      </c>
      <c r="C175" s="1038" t="s">
        <v>1583</v>
      </c>
      <c r="D175" s="1038">
        <v>99</v>
      </c>
      <c r="E175" s="1038">
        <v>99</v>
      </c>
      <c r="F175" s="1038">
        <v>999</v>
      </c>
      <c r="G175" s="1038">
        <v>999999</v>
      </c>
      <c r="H175" s="1038">
        <v>999</v>
      </c>
      <c r="I175" s="1038">
        <v>99</v>
      </c>
      <c r="J175" s="1038">
        <v>999</v>
      </c>
      <c r="K175" s="1038">
        <v>9</v>
      </c>
      <c r="L175" s="1038">
        <v>99</v>
      </c>
      <c r="M175" s="1038">
        <v>9</v>
      </c>
      <c r="N175" s="1038">
        <v>99</v>
      </c>
      <c r="O175" s="1038">
        <v>99999</v>
      </c>
      <c r="P175" s="401">
        <f t="shared" si="7"/>
        <v>0</v>
      </c>
      <c r="Q175" s="401">
        <v>0</v>
      </c>
    </row>
    <row r="176" spans="1:21" ht="15.75">
      <c r="A176" t="s">
        <v>770</v>
      </c>
      <c r="B176" t="s">
        <v>970</v>
      </c>
      <c r="C176" t="s">
        <v>1574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770</v>
      </c>
      <c r="B177" s="16" t="s">
        <v>120</v>
      </c>
      <c r="C177" s="16" t="s">
        <v>819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101943.65023000003</v>
      </c>
      <c r="Q177" s="234">
        <f ca="1">Energia!C5</f>
        <v>101943.65023000003</v>
      </c>
    </row>
    <row r="178" spans="1:19" ht="15.75">
      <c r="A178" s="16" t="s">
        <v>770</v>
      </c>
      <c r="B178" s="16" t="s">
        <v>120</v>
      </c>
      <c r="C178" s="16" t="s">
        <v>819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23401021.987261694</v>
      </c>
      <c r="Q178" s="234">
        <f ca="1">Energia!C14</f>
        <v>23401021.987261694</v>
      </c>
    </row>
    <row r="179" spans="1:19" ht="15.75">
      <c r="A179" s="16" t="s">
        <v>770</v>
      </c>
      <c r="B179" s="16" t="s">
        <v>120</v>
      </c>
      <c r="C179" s="16" t="s">
        <v>1584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9888.5022300000128</v>
      </c>
      <c r="Q179" s="234">
        <f ca="1">SUM(LnkTXTPerdas)</f>
        <v>9888.5022300000128</v>
      </c>
    </row>
    <row r="180" spans="1:19" ht="15.75">
      <c r="A180" s="16" t="s">
        <v>770</v>
      </c>
      <c r="B180" s="16" t="s">
        <v>1581</v>
      </c>
      <c r="C180" s="16" t="s">
        <v>1585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110768</v>
      </c>
      <c r="Q180" s="234">
        <f ca="1">SUM(INDIRECT("dados_MercadoBase[D]"))</f>
        <v>110768</v>
      </c>
    </row>
    <row r="181" spans="1:19" ht="15.75">
      <c r="A181" s="16" t="s">
        <v>770</v>
      </c>
      <c r="B181" s="16" t="s">
        <v>1581</v>
      </c>
      <c r="C181" s="16" t="s">
        <v>1586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92351.725000000006</v>
      </c>
      <c r="Q181" s="234">
        <f ca="1">SUM(INDIRECT("dados_MercadoBase[TUSD_E]"))</f>
        <v>92351.725000000006</v>
      </c>
    </row>
    <row r="182" spans="1:19" ht="15.75">
      <c r="A182" t="s">
        <v>769</v>
      </c>
      <c r="B182" t="s">
        <v>791</v>
      </c>
      <c r="C182" t="s">
        <v>1587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0</v>
      </c>
      <c r="Q182" s="234">
        <f ca="1">Resultado!C25</f>
        <v>0</v>
      </c>
    </row>
    <row r="183" spans="1:19" ht="15.75">
      <c r="A183" t="s">
        <v>769</v>
      </c>
      <c r="B183" t="s">
        <v>791</v>
      </c>
      <c r="C183" t="s">
        <v>1259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0</v>
      </c>
      <c r="Q183" s="234">
        <f ca="1">Resultado!C26</f>
        <v>0</v>
      </c>
    </row>
    <row r="184" spans="1:19" ht="15.75">
      <c r="A184" t="s">
        <v>769</v>
      </c>
      <c r="B184" t="s">
        <v>791</v>
      </c>
      <c r="C184" t="s">
        <v>1533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769</v>
      </c>
      <c r="B185" t="s">
        <v>791</v>
      </c>
      <c r="C185" t="s">
        <v>1534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769</v>
      </c>
      <c r="B186" t="s">
        <v>791</v>
      </c>
      <c r="C186" t="s">
        <v>1535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770</v>
      </c>
      <c r="B187" t="s">
        <v>791</v>
      </c>
      <c r="C187" s="9" t="s">
        <v>1588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770</v>
      </c>
      <c r="B188" t="s">
        <v>1581</v>
      </c>
      <c r="C188" s="9" t="s">
        <v>1589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92055.148000000001</v>
      </c>
      <c r="Q188" s="234">
        <f ca="1">SUM(INDIRECT("dados_MercadoBase[TE_E]"))</f>
        <v>92055.148000000001</v>
      </c>
    </row>
    <row r="189" spans="1:19" ht="15.75">
      <c r="A189" t="s">
        <v>770</v>
      </c>
      <c r="B189" t="s">
        <v>1590</v>
      </c>
      <c r="C189" s="9" t="s">
        <v>1591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8.1942000000000001E-2</v>
      </c>
      <c r="Q189" s="419">
        <f>VLOOKUP(LnkTXTSigla,Informacoes[],8,FALSE)</f>
        <v>8.1942000000000001E-2</v>
      </c>
    </row>
    <row r="190" spans="1:19" ht="15.75">
      <c r="A190" t="s">
        <v>770</v>
      </c>
      <c r="B190" t="s">
        <v>1590</v>
      </c>
      <c r="C190" s="9" t="s">
        <v>1592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770</v>
      </c>
      <c r="B191" t="s">
        <v>1590</v>
      </c>
      <c r="C191" s="9" t="s">
        <v>1593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25052847.16</v>
      </c>
      <c r="Q191" s="423">
        <f>CAPA!D32</f>
        <v>25052847.16</v>
      </c>
      <c r="S191" s="9"/>
    </row>
    <row r="192" spans="1:19" ht="15.75">
      <c r="A192" t="s">
        <v>770</v>
      </c>
      <c r="B192" t="s">
        <v>1590</v>
      </c>
      <c r="C192" s="9" t="s">
        <v>1594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770</v>
      </c>
      <c r="B193" t="s">
        <v>1590</v>
      </c>
      <c r="C193" s="9" t="s">
        <v>1595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22732323.91</v>
      </c>
      <c r="Q193" s="254">
        <f>CAPA!D33</f>
        <v>22732323.91</v>
      </c>
    </row>
    <row r="194" spans="1:17" ht="15.75">
      <c r="A194" t="s">
        <v>770</v>
      </c>
      <c r="B194" t="s">
        <v>1590</v>
      </c>
      <c r="C194" s="9" t="s">
        <v>1596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47785171.07</v>
      </c>
      <c r="Q194" s="234">
        <f>Resultado!D39</f>
        <v>47785171.07</v>
      </c>
    </row>
    <row r="195" spans="1:17" ht="15.75">
      <c r="A195" t="s">
        <v>770</v>
      </c>
      <c r="B195" t="s">
        <v>1590</v>
      </c>
      <c r="C195" t="s">
        <v>253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0.3589</v>
      </c>
      <c r="Q195" s="249">
        <f>VLOOKUP(LnkTXTSigla,Informacoes[],16,FALSE)</f>
        <v>0.3589</v>
      </c>
    </row>
    <row r="196" spans="1:17" ht="15.75">
      <c r="A196" t="s">
        <v>1581</v>
      </c>
      <c r="B196" t="s">
        <v>1597</v>
      </c>
      <c r="C196" t="s">
        <v>1598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15360.407496332662</v>
      </c>
      <c r="Q196" s="234">
        <f>'Tabelas e Gráficos'!BP288</f>
        <v>15360.407496332662</v>
      </c>
    </row>
    <row r="197" spans="1:17" ht="15.75">
      <c r="A197" t="s">
        <v>1581</v>
      </c>
      <c r="B197" t="s">
        <v>1597</v>
      </c>
      <c r="C197" t="s">
        <v>1599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0</v>
      </c>
      <c r="Q197" s="234">
        <f>'Tabelas e Gráficos'!BP289</f>
        <v>0</v>
      </c>
    </row>
    <row r="198" spans="1:17" ht="15.75">
      <c r="A198" t="s">
        <v>1581</v>
      </c>
      <c r="B198" t="s">
        <v>1597</v>
      </c>
      <c r="C198" t="s">
        <v>1600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1581</v>
      </c>
      <c r="B199" t="s">
        <v>1597</v>
      </c>
      <c r="C199" t="s">
        <v>1601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503.57982683365418</v>
      </c>
      <c r="Q199" s="234">
        <f>'Tabelas e Gráficos'!BP291</f>
        <v>503.57982683365418</v>
      </c>
    </row>
    <row r="200" spans="1:17" ht="15.75">
      <c r="A200" t="s">
        <v>1581</v>
      </c>
      <c r="B200" t="s">
        <v>1597</v>
      </c>
      <c r="C200" t="s">
        <v>1602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16422.700826959492</v>
      </c>
      <c r="Q200" s="234">
        <f>'Tabelas e Gráficos'!BP292</f>
        <v>16422.700826959492</v>
      </c>
    </row>
    <row r="201" spans="1:17" ht="15.75">
      <c r="A201" t="s">
        <v>1581</v>
      </c>
      <c r="B201" t="s">
        <v>1597</v>
      </c>
      <c r="C201" t="s">
        <v>1603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5392.632865496872</v>
      </c>
      <c r="Q201" s="234">
        <f>'Tabelas e Gráficos'!BP293</f>
        <v>5392.632865496872</v>
      </c>
    </row>
    <row r="202" spans="1:17" ht="15.75">
      <c r="A202" t="s">
        <v>1581</v>
      </c>
      <c r="B202" t="s">
        <v>1597</v>
      </c>
      <c r="C202" t="s">
        <v>1604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16495.042570614398</v>
      </c>
      <c r="Q202" s="234">
        <f>'Tabelas e Gráficos'!BQ288</f>
        <v>16495.042570614398</v>
      </c>
    </row>
    <row r="203" spans="1:17" ht="15.75">
      <c r="A203" t="s">
        <v>1581</v>
      </c>
      <c r="B203" t="s">
        <v>1597</v>
      </c>
      <c r="C203" t="s">
        <v>1605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0</v>
      </c>
      <c r="Q203" s="234">
        <f>'Tabelas e Gráficos'!BQ289</f>
        <v>0</v>
      </c>
    </row>
    <row r="204" spans="1:17" ht="15.75">
      <c r="A204" t="s">
        <v>1581</v>
      </c>
      <c r="B204" t="s">
        <v>1597</v>
      </c>
      <c r="C204" t="s">
        <v>1606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1581</v>
      </c>
      <c r="B205" t="s">
        <v>1597</v>
      </c>
      <c r="C205" t="s">
        <v>1607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1873.6741606894918</v>
      </c>
      <c r="Q205" s="234">
        <f>'Tabelas e Gráficos'!BQ291</f>
        <v>1873.6741606894918</v>
      </c>
    </row>
    <row r="206" spans="1:17" ht="15.75">
      <c r="A206" t="s">
        <v>1581</v>
      </c>
      <c r="B206" t="s">
        <v>1597</v>
      </c>
      <c r="C206" t="s">
        <v>1608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180057.75637952168</v>
      </c>
      <c r="Q206" s="234">
        <f>'Tabelas e Gráficos'!BQ292</f>
        <v>180057.75637952168</v>
      </c>
    </row>
    <row r="207" spans="1:17" ht="15.75">
      <c r="A207" t="s">
        <v>1581</v>
      </c>
      <c r="B207" t="s">
        <v>1597</v>
      </c>
      <c r="C207" t="s">
        <v>1609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71578.319896645276</v>
      </c>
      <c r="Q207" s="234">
        <f>'Tabelas e Gráficos'!BQ293</f>
        <v>71578.319896645276</v>
      </c>
    </row>
    <row r="208" spans="1:17" ht="15.75">
      <c r="A208" t="s">
        <v>1581</v>
      </c>
      <c r="B208" t="s">
        <v>1597</v>
      </c>
      <c r="C208" t="s">
        <v>1610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31855.450066947058</v>
      </c>
      <c r="Q208" s="234">
        <f>'Tabelas e Gráficos'!BR288</f>
        <v>31855.450066947058</v>
      </c>
    </row>
    <row r="209" spans="1:17" ht="15.75">
      <c r="A209" t="s">
        <v>1581</v>
      </c>
      <c r="B209" t="s">
        <v>1597</v>
      </c>
      <c r="C209" t="s">
        <v>1611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0</v>
      </c>
      <c r="Q209" s="234">
        <f>'Tabelas e Gráficos'!BR289</f>
        <v>0</v>
      </c>
    </row>
    <row r="210" spans="1:17" ht="15.75">
      <c r="A210" t="s">
        <v>1581</v>
      </c>
      <c r="B210" t="s">
        <v>1597</v>
      </c>
      <c r="C210" t="s">
        <v>1612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1581</v>
      </c>
      <c r="B211" t="s">
        <v>1597</v>
      </c>
      <c r="C211" t="s">
        <v>1613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2377.253987523146</v>
      </c>
      <c r="Q211" s="234">
        <f>'Tabelas e Gráficos'!BR291</f>
        <v>2377.253987523146</v>
      </c>
    </row>
    <row r="212" spans="1:17" ht="15.75">
      <c r="A212" t="s">
        <v>1581</v>
      </c>
      <c r="B212" t="s">
        <v>1597</v>
      </c>
      <c r="C212" t="s">
        <v>1614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196480.45720648117</v>
      </c>
      <c r="Q212" s="234">
        <f>'Tabelas e Gráficos'!BR292</f>
        <v>196480.45720648117</v>
      </c>
    </row>
    <row r="213" spans="1:17" ht="15.75">
      <c r="A213" t="s">
        <v>1581</v>
      </c>
      <c r="B213" t="s">
        <v>1597</v>
      </c>
      <c r="C213" t="s">
        <v>1615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76970.952762142144</v>
      </c>
      <c r="Q213" s="234">
        <f>'Tabelas e Gráficos'!BR293</f>
        <v>76970.952762142144</v>
      </c>
    </row>
    <row r="214" spans="1:17" ht="15.75">
      <c r="A214" s="905" t="s">
        <v>770</v>
      </c>
      <c r="B214" s="905" t="s">
        <v>72</v>
      </c>
      <c r="C214" s="905" t="s">
        <v>1616</v>
      </c>
      <c r="D214" s="905">
        <v>2</v>
      </c>
      <c r="E214" s="905">
        <v>1</v>
      </c>
      <c r="F214" s="905">
        <v>51</v>
      </c>
      <c r="G214" s="905">
        <v>73</v>
      </c>
      <c r="H214" s="905">
        <v>999</v>
      </c>
      <c r="I214" s="905">
        <v>3</v>
      </c>
      <c r="J214" s="905">
        <v>15</v>
      </c>
      <c r="K214" s="905">
        <v>1</v>
      </c>
      <c r="L214" s="905">
        <v>99</v>
      </c>
      <c r="M214" s="905">
        <v>9</v>
      </c>
      <c r="N214" s="905">
        <v>3</v>
      </c>
      <c r="O214" s="905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5" t="s">
        <v>770</v>
      </c>
      <c r="B215" s="905" t="s">
        <v>1372</v>
      </c>
      <c r="C215" s="905" t="str">
        <f>Financeiros!C48</f>
        <v>CVE ccc</v>
      </c>
      <c r="D215" s="905">
        <v>2</v>
      </c>
      <c r="E215" s="905">
        <v>2</v>
      </c>
      <c r="F215" s="905">
        <f>Financeiros!F48</f>
        <v>22</v>
      </c>
      <c r="G215" s="905">
        <f>Financeiros!G48</f>
        <v>60</v>
      </c>
      <c r="H215" s="905">
        <f>Financeiros!H48</f>
        <v>241</v>
      </c>
      <c r="I215" s="905">
        <f>Financeiros!I48</f>
        <v>3</v>
      </c>
      <c r="J215" s="905">
        <f>Financeiros!J48</f>
        <v>13</v>
      </c>
      <c r="K215" s="905">
        <f>Financeiros!K48</f>
        <v>9</v>
      </c>
      <c r="L215" s="905">
        <v>99</v>
      </c>
      <c r="M215" s="905">
        <v>9</v>
      </c>
      <c r="N215" s="905">
        <v>3</v>
      </c>
      <c r="O215" s="905">
        <v>99999</v>
      </c>
      <c r="P215" s="1007">
        <f t="shared" ref="P215" si="13">IF(ISNUMBER(Q215),Q215,0)</f>
        <v>0</v>
      </c>
      <c r="Q215" s="234">
        <f>Financeiros!D48</f>
        <v>0</v>
      </c>
    </row>
    <row r="216" spans="1:17" ht="15.75">
      <c r="A216" s="905" t="s">
        <v>770</v>
      </c>
      <c r="B216" s="905" t="s">
        <v>1372</v>
      </c>
      <c r="C216" s="905" t="str">
        <f>Financeiros!C49</f>
        <v>CVE cde</v>
      </c>
      <c r="D216" s="905">
        <v>2</v>
      </c>
      <c r="E216" s="905">
        <v>2</v>
      </c>
      <c r="F216" s="905">
        <f>Financeiros!F49</f>
        <v>22</v>
      </c>
      <c r="G216" s="905">
        <f>Financeiros!G49</f>
        <v>60</v>
      </c>
      <c r="H216" s="905">
        <f>Financeiros!H49</f>
        <v>241</v>
      </c>
      <c r="I216" s="905">
        <f>Financeiros!I49</f>
        <v>3</v>
      </c>
      <c r="J216" s="905">
        <f>Financeiros!J49</f>
        <v>15</v>
      </c>
      <c r="K216" s="905">
        <f>Financeiros!K49</f>
        <v>9</v>
      </c>
      <c r="L216" s="905">
        <v>99</v>
      </c>
      <c r="M216" s="905">
        <v>9</v>
      </c>
      <c r="N216" s="905">
        <v>3</v>
      </c>
      <c r="O216" s="905">
        <v>99999</v>
      </c>
      <c r="P216" s="1007">
        <f t="shared" ref="P216:P275" si="14">IF(ISNUMBER(Q216),Q216,0)</f>
        <v>0</v>
      </c>
      <c r="Q216" s="234">
        <f>Financeiros!D49</f>
        <v>0</v>
      </c>
    </row>
    <row r="217" spans="1:17" ht="15.75">
      <c r="A217" s="905" t="s">
        <v>770</v>
      </c>
      <c r="B217" s="905" t="s">
        <v>1372</v>
      </c>
      <c r="C217" s="905" t="str">
        <f>Financeiros!C50</f>
        <v>CVE cde energia</v>
      </c>
      <c r="D217" s="905">
        <v>2</v>
      </c>
      <c r="E217" s="905">
        <v>2</v>
      </c>
      <c r="F217" s="905">
        <f>Financeiros!F50</f>
        <v>22</v>
      </c>
      <c r="G217" s="905">
        <f>Financeiros!G50</f>
        <v>60</v>
      </c>
      <c r="H217" s="905">
        <f>Financeiros!H50</f>
        <v>241</v>
      </c>
      <c r="I217" s="905">
        <f>Financeiros!I50</f>
        <v>3</v>
      </c>
      <c r="J217" s="905">
        <f>Financeiros!J50</f>
        <v>25</v>
      </c>
      <c r="K217" s="905">
        <f>Financeiros!K50</f>
        <v>9</v>
      </c>
      <c r="L217" s="905">
        <v>99</v>
      </c>
      <c r="M217" s="905">
        <v>9</v>
      </c>
      <c r="N217" s="905">
        <v>3</v>
      </c>
      <c r="O217" s="905">
        <v>99999</v>
      </c>
      <c r="P217" s="1007">
        <f t="shared" si="14"/>
        <v>0</v>
      </c>
      <c r="Q217" s="234">
        <f>Financeiros!D50</f>
        <v>0</v>
      </c>
    </row>
    <row r="218" spans="1:17" ht="15.75">
      <c r="A218" s="905" t="s">
        <v>770</v>
      </c>
      <c r="B218" s="905" t="s">
        <v>1372</v>
      </c>
      <c r="C218" s="905" t="str">
        <f>Financeiros!C51</f>
        <v>CVE RB - Nodal</v>
      </c>
      <c r="D218" s="905">
        <v>2</v>
      </c>
      <c r="E218" s="905">
        <v>2</v>
      </c>
      <c r="F218" s="905">
        <f>Financeiros!F51</f>
        <v>22</v>
      </c>
      <c r="G218" s="905">
        <f>Financeiros!G51</f>
        <v>60</v>
      </c>
      <c r="H218" s="905">
        <f>Financeiros!H51</f>
        <v>241</v>
      </c>
      <c r="I218" s="905">
        <f>Financeiros!I51</f>
        <v>1</v>
      </c>
      <c r="J218" s="905">
        <f>Financeiros!J51</f>
        <v>1</v>
      </c>
      <c r="K218" s="905">
        <f>Financeiros!K51</f>
        <v>9</v>
      </c>
      <c r="L218" s="905">
        <v>99</v>
      </c>
      <c r="M218" s="905">
        <v>9</v>
      </c>
      <c r="N218" s="905">
        <v>3</v>
      </c>
      <c r="O218" s="905">
        <v>99999</v>
      </c>
      <c r="P218" s="1007">
        <f t="shared" si="14"/>
        <v>0</v>
      </c>
      <c r="Q218" s="234">
        <f>Financeiros!D51</f>
        <v>0</v>
      </c>
    </row>
    <row r="219" spans="1:17" ht="15.75">
      <c r="A219" s="905" t="s">
        <v>770</v>
      </c>
      <c r="B219" s="905" t="s">
        <v>1372</v>
      </c>
      <c r="C219" s="905" t="str">
        <f>Financeiros!C52</f>
        <v>CVE RB - Fronteira</v>
      </c>
      <c r="D219" s="905">
        <v>2</v>
      </c>
      <c r="E219" s="905">
        <v>2</v>
      </c>
      <c r="F219" s="905">
        <f>Financeiros!F52</f>
        <v>22</v>
      </c>
      <c r="G219" s="905">
        <f>Financeiros!G52</f>
        <v>60</v>
      </c>
      <c r="H219" s="905">
        <f>Financeiros!H52</f>
        <v>241</v>
      </c>
      <c r="I219" s="905">
        <f>Financeiros!I52</f>
        <v>1</v>
      </c>
      <c r="J219" s="905">
        <f>Financeiros!J52</f>
        <v>1</v>
      </c>
      <c r="K219" s="905">
        <f>Financeiros!K52</f>
        <v>9</v>
      </c>
      <c r="L219" s="905">
        <v>99</v>
      </c>
      <c r="M219" s="905">
        <v>9</v>
      </c>
      <c r="N219" s="905">
        <v>3</v>
      </c>
      <c r="O219" s="905">
        <v>99999</v>
      </c>
      <c r="P219" s="1007">
        <f t="shared" si="14"/>
        <v>0</v>
      </c>
      <c r="Q219" s="234">
        <f>Financeiros!D52</f>
        <v>0</v>
      </c>
    </row>
    <row r="220" spans="1:17" ht="15.75">
      <c r="A220" s="905" t="s">
        <v>770</v>
      </c>
      <c r="B220" s="905" t="s">
        <v>1372</v>
      </c>
      <c r="C220" s="905" t="str">
        <f>Financeiros!C53</f>
        <v>CVE RB - TUSDg EXP</v>
      </c>
      <c r="D220" s="905">
        <v>2</v>
      </c>
      <c r="E220" s="905">
        <v>2</v>
      </c>
      <c r="F220" s="905">
        <f>Financeiros!F53</f>
        <v>22</v>
      </c>
      <c r="G220" s="905">
        <f>Financeiros!G53</f>
        <v>60</v>
      </c>
      <c r="H220" s="905">
        <f>Financeiros!H53</f>
        <v>241</v>
      </c>
      <c r="I220" s="905">
        <f>Financeiros!I53</f>
        <v>1</v>
      </c>
      <c r="J220" s="905">
        <f>Financeiros!J53</f>
        <v>1</v>
      </c>
      <c r="K220" s="905">
        <f>Financeiros!K53</f>
        <v>9</v>
      </c>
      <c r="L220" s="905">
        <v>99</v>
      </c>
      <c r="M220" s="905">
        <v>9</v>
      </c>
      <c r="N220" s="905">
        <v>3</v>
      </c>
      <c r="O220" s="905">
        <v>99999</v>
      </c>
      <c r="P220" s="1007">
        <f t="shared" si="14"/>
        <v>0</v>
      </c>
      <c r="Q220" s="234">
        <f>Financeiros!D53</f>
        <v>0</v>
      </c>
    </row>
    <row r="221" spans="1:17" ht="15.75">
      <c r="A221" s="905" t="s">
        <v>770</v>
      </c>
      <c r="B221" s="905" t="s">
        <v>1372</v>
      </c>
      <c r="C221" s="905" t="str">
        <f>Financeiros!C54</f>
        <v>CVE RB - TUSDg ONS</v>
      </c>
      <c r="D221" s="905">
        <v>2</v>
      </c>
      <c r="E221" s="905">
        <v>2</v>
      </c>
      <c r="F221" s="905">
        <f>Financeiros!F54</f>
        <v>22</v>
      </c>
      <c r="G221" s="905">
        <f>Financeiros!G54</f>
        <v>60</v>
      </c>
      <c r="H221" s="905">
        <f>Financeiros!H54</f>
        <v>241</v>
      </c>
      <c r="I221" s="905">
        <f>Financeiros!I54</f>
        <v>1</v>
      </c>
      <c r="J221" s="905">
        <f>Financeiros!J54</f>
        <v>1</v>
      </c>
      <c r="K221" s="905">
        <f>Financeiros!K54</f>
        <v>9</v>
      </c>
      <c r="L221" s="905">
        <v>99</v>
      </c>
      <c r="M221" s="905">
        <v>9</v>
      </c>
      <c r="N221" s="905">
        <v>3</v>
      </c>
      <c r="O221" s="905">
        <v>99999</v>
      </c>
      <c r="P221" s="1007">
        <f t="shared" si="14"/>
        <v>0</v>
      </c>
      <c r="Q221" s="234">
        <f>Financeiros!D54</f>
        <v>0</v>
      </c>
    </row>
    <row r="222" spans="1:17" ht="15.75">
      <c r="A222" s="905" t="s">
        <v>770</v>
      </c>
      <c r="B222" s="905" t="s">
        <v>1372</v>
      </c>
      <c r="C222" s="905" t="str">
        <f>Financeiros!C55</f>
        <v>CVE RB - EUST Itaipu</v>
      </c>
      <c r="D222" s="905">
        <v>2</v>
      </c>
      <c r="E222" s="905">
        <v>2</v>
      </c>
      <c r="F222" s="905">
        <f>Financeiros!F55</f>
        <v>22</v>
      </c>
      <c r="G222" s="905">
        <f>Financeiros!G55</f>
        <v>60</v>
      </c>
      <c r="H222" s="905">
        <f>Financeiros!H55</f>
        <v>241</v>
      </c>
      <c r="I222" s="905">
        <f>Financeiros!I55</f>
        <v>1</v>
      </c>
      <c r="J222" s="905">
        <f>Financeiros!J55</f>
        <v>1</v>
      </c>
      <c r="K222" s="905">
        <f>Financeiros!K55</f>
        <v>9</v>
      </c>
      <c r="L222" s="905">
        <v>99</v>
      </c>
      <c r="M222" s="905">
        <v>9</v>
      </c>
      <c r="N222" s="905">
        <v>3</v>
      </c>
      <c r="O222" s="905">
        <v>99999</v>
      </c>
      <c r="P222" s="1007">
        <f t="shared" si="14"/>
        <v>0</v>
      </c>
      <c r="Q222" s="234">
        <f>Financeiros!D55</f>
        <v>0</v>
      </c>
    </row>
    <row r="223" spans="1:17" ht="15.75">
      <c r="A223" s="905" t="s">
        <v>770</v>
      </c>
      <c r="B223" s="905" t="s">
        <v>1372</v>
      </c>
      <c r="C223" s="905" t="str">
        <f>Financeiros!C56</f>
        <v>CVE- Transporte Itaipu</v>
      </c>
      <c r="D223" s="905">
        <v>2</v>
      </c>
      <c r="E223" s="905">
        <v>2</v>
      </c>
      <c r="F223" s="905">
        <f>Financeiros!F56</f>
        <v>22</v>
      </c>
      <c r="G223" s="905">
        <f>Financeiros!G56</f>
        <v>60</v>
      </c>
      <c r="H223" s="905">
        <f>Financeiros!H56</f>
        <v>241</v>
      </c>
      <c r="I223" s="905">
        <f>Financeiros!I56</f>
        <v>1</v>
      </c>
      <c r="J223" s="905">
        <f>Financeiros!J56</f>
        <v>21</v>
      </c>
      <c r="K223" s="905">
        <f>Financeiros!K56</f>
        <v>9</v>
      </c>
      <c r="L223" s="905">
        <v>99</v>
      </c>
      <c r="M223" s="905">
        <v>9</v>
      </c>
      <c r="N223" s="905">
        <v>3</v>
      </c>
      <c r="O223" s="905">
        <v>99999</v>
      </c>
      <c r="P223" s="1007">
        <f t="shared" si="14"/>
        <v>0</v>
      </c>
      <c r="Q223" s="234">
        <f>Financeiros!D56</f>
        <v>0</v>
      </c>
    </row>
    <row r="224" spans="1:17" ht="15.75">
      <c r="A224" s="905" t="s">
        <v>770</v>
      </c>
      <c r="B224" s="905" t="s">
        <v>1372</v>
      </c>
      <c r="C224" s="905" t="str">
        <f>Financeiros!C57</f>
        <v>CVE - Energia - Energia de Revenda</v>
      </c>
      <c r="D224" s="905">
        <v>2</v>
      </c>
      <c r="E224" s="905">
        <v>2</v>
      </c>
      <c r="F224" s="905">
        <f>Financeiros!F57</f>
        <v>22</v>
      </c>
      <c r="G224" s="905">
        <f>Financeiros!G57</f>
        <v>60</v>
      </c>
      <c r="H224" s="905">
        <f>Financeiros!H57</f>
        <v>241</v>
      </c>
      <c r="I224" s="905">
        <f>Financeiros!I57</f>
        <v>2</v>
      </c>
      <c r="J224" s="905">
        <f>Financeiros!J57</f>
        <v>11</v>
      </c>
      <c r="K224" s="905">
        <f>Financeiros!K57</f>
        <v>9</v>
      </c>
      <c r="L224" s="905">
        <v>99</v>
      </c>
      <c r="M224" s="905">
        <v>9</v>
      </c>
      <c r="N224" s="905">
        <v>3</v>
      </c>
      <c r="O224" s="905">
        <v>99999</v>
      </c>
      <c r="P224" s="1007">
        <f t="shared" ca="1" si="14"/>
        <v>0</v>
      </c>
      <c r="Q224" s="234">
        <f ca="1">Financeiros!D57</f>
        <v>0</v>
      </c>
    </row>
    <row r="225" spans="1:17" ht="15.75">
      <c r="A225" s="905" t="s">
        <v>770</v>
      </c>
      <c r="B225" s="905" t="s">
        <v>1372</v>
      </c>
      <c r="C225" s="905" t="str">
        <f>Financeiros!C58</f>
        <v>CVE - Energia - Perda Não Técnica</v>
      </c>
      <c r="D225" s="905">
        <v>2</v>
      </c>
      <c r="E225" s="905">
        <v>2</v>
      </c>
      <c r="F225" s="905">
        <f>Financeiros!F58</f>
        <v>22</v>
      </c>
      <c r="G225" s="905">
        <f>Financeiros!G58</f>
        <v>60</v>
      </c>
      <c r="H225" s="905">
        <f>Financeiros!H58</f>
        <v>241</v>
      </c>
      <c r="I225" s="905">
        <f>Financeiros!I58</f>
        <v>2</v>
      </c>
      <c r="J225" s="905">
        <f>Financeiros!J58</f>
        <v>9</v>
      </c>
      <c r="K225" s="905">
        <f>Financeiros!K58</f>
        <v>9</v>
      </c>
      <c r="L225" s="905">
        <v>99</v>
      </c>
      <c r="M225" s="905">
        <v>9</v>
      </c>
      <c r="N225" s="905">
        <v>3</v>
      </c>
      <c r="O225" s="905">
        <v>99999</v>
      </c>
      <c r="P225" s="1007">
        <f t="shared" ca="1" si="14"/>
        <v>0</v>
      </c>
      <c r="Q225" s="234">
        <f ca="1">Financeiros!D58</f>
        <v>0</v>
      </c>
    </row>
    <row r="226" spans="1:17" ht="15.75">
      <c r="A226" s="905" t="s">
        <v>770</v>
      </c>
      <c r="B226" s="905" t="s">
        <v>1372</v>
      </c>
      <c r="C226" s="905" t="str">
        <f>Financeiros!C59</f>
        <v>CVE - Energia - Perda Técnica</v>
      </c>
      <c r="D226" s="905">
        <v>2</v>
      </c>
      <c r="E226" s="905">
        <v>2</v>
      </c>
      <c r="F226" s="905">
        <f>Financeiros!F59</f>
        <v>22</v>
      </c>
      <c r="G226" s="905">
        <f>Financeiros!G59</f>
        <v>60</v>
      </c>
      <c r="H226" s="905">
        <f>Financeiros!H59</f>
        <v>241</v>
      </c>
      <c r="I226" s="905">
        <f>Financeiros!I59</f>
        <v>2</v>
      </c>
      <c r="J226" s="905">
        <f>Financeiros!J59</f>
        <v>8</v>
      </c>
      <c r="K226" s="905">
        <f>Financeiros!K59</f>
        <v>9</v>
      </c>
      <c r="L226" s="905">
        <v>99</v>
      </c>
      <c r="M226" s="905">
        <v>9</v>
      </c>
      <c r="N226" s="905">
        <v>3</v>
      </c>
      <c r="O226" s="905">
        <v>99999</v>
      </c>
      <c r="P226" s="1007">
        <f t="shared" ca="1" si="14"/>
        <v>0</v>
      </c>
      <c r="Q226" s="234">
        <f ca="1">Financeiros!D59</f>
        <v>0</v>
      </c>
    </row>
    <row r="227" spans="1:17" ht="15.75">
      <c r="A227" s="905" t="s">
        <v>770</v>
      </c>
      <c r="B227" s="905" t="s">
        <v>1372</v>
      </c>
      <c r="C227" s="905" t="str">
        <f>Financeiros!C60</f>
        <v>CVE - Energia -  Perda de RB sobre a distribuição</v>
      </c>
      <c r="D227" s="905">
        <v>2</v>
      </c>
      <c r="E227" s="905">
        <v>2</v>
      </c>
      <c r="F227" s="905">
        <f>Financeiros!F60</f>
        <v>22</v>
      </c>
      <c r="G227" s="905">
        <f>Financeiros!G60</f>
        <v>60</v>
      </c>
      <c r="H227" s="905">
        <f>Financeiros!H60</f>
        <v>241</v>
      </c>
      <c r="I227" s="905">
        <f>Financeiros!I60</f>
        <v>2</v>
      </c>
      <c r="J227" s="905">
        <f>Financeiros!J60</f>
        <v>10</v>
      </c>
      <c r="K227" s="905">
        <f>Financeiros!K60</f>
        <v>9</v>
      </c>
      <c r="L227" s="905">
        <v>99</v>
      </c>
      <c r="M227" s="905">
        <v>9</v>
      </c>
      <c r="N227" s="905">
        <v>3</v>
      </c>
      <c r="O227" s="905">
        <v>99999</v>
      </c>
      <c r="P227" s="1007">
        <f t="shared" ca="1" si="14"/>
        <v>0</v>
      </c>
      <c r="Q227" s="234">
        <f ca="1">Financeiros!D60</f>
        <v>0</v>
      </c>
    </row>
    <row r="228" spans="1:17" ht="15.75">
      <c r="A228" s="905" t="s">
        <v>770</v>
      </c>
      <c r="B228" s="905" t="s">
        <v>1372</v>
      </c>
      <c r="C228" s="905" t="str">
        <f>Financeiros!C61</f>
        <v>CVE - Energia -  Perda de RB sobre o mercado cativo</v>
      </c>
      <c r="D228" s="905">
        <v>2</v>
      </c>
      <c r="E228" s="905">
        <v>2</v>
      </c>
      <c r="F228" s="905">
        <f>Financeiros!F61</f>
        <v>22</v>
      </c>
      <c r="G228" s="905">
        <f>Financeiros!G61</f>
        <v>60</v>
      </c>
      <c r="H228" s="905">
        <f>Financeiros!H61</f>
        <v>241</v>
      </c>
      <c r="I228" s="905">
        <f>Financeiros!I61</f>
        <v>2</v>
      </c>
      <c r="J228" s="905">
        <f>Financeiros!J61</f>
        <v>24</v>
      </c>
      <c r="K228" s="905">
        <f>Financeiros!K61</f>
        <v>9</v>
      </c>
      <c r="L228" s="905">
        <v>99</v>
      </c>
      <c r="M228" s="905">
        <v>9</v>
      </c>
      <c r="N228" s="905">
        <v>3</v>
      </c>
      <c r="O228" s="905">
        <v>99999</v>
      </c>
      <c r="P228" s="1007">
        <f t="shared" ca="1" si="14"/>
        <v>0</v>
      </c>
      <c r="Q228" s="234">
        <f ca="1">Financeiros!D61</f>
        <v>0</v>
      </c>
    </row>
    <row r="229" spans="1:17" ht="15.75">
      <c r="A229" s="905" t="s">
        <v>770</v>
      </c>
      <c r="B229" s="905" t="s">
        <v>1372</v>
      </c>
      <c r="C229" s="905" t="str">
        <f>Financeiros!C62</f>
        <v>CVE - Encargos - PROINFA</v>
      </c>
      <c r="D229" s="905">
        <v>2</v>
      </c>
      <c r="E229" s="905">
        <v>2</v>
      </c>
      <c r="F229" s="905">
        <f>Financeiros!F62</f>
        <v>22</v>
      </c>
      <c r="G229" s="905">
        <f>Financeiros!G62</f>
        <v>60</v>
      </c>
      <c r="H229" s="905">
        <f>Financeiros!H62</f>
        <v>241</v>
      </c>
      <c r="I229" s="905">
        <f>Financeiros!I62</f>
        <v>3</v>
      </c>
      <c r="J229" s="905">
        <f>Financeiros!J62</f>
        <v>18</v>
      </c>
      <c r="K229" s="905">
        <f>Financeiros!K62</f>
        <v>9</v>
      </c>
      <c r="L229" s="905">
        <v>99</v>
      </c>
      <c r="M229" s="905">
        <v>9</v>
      </c>
      <c r="N229" s="905">
        <v>3</v>
      </c>
      <c r="O229" s="905">
        <v>99999</v>
      </c>
      <c r="P229" s="1007">
        <f t="shared" ca="1" si="14"/>
        <v>0</v>
      </c>
      <c r="Q229" s="234">
        <f ca="1">Financeiros!D62</f>
        <v>0</v>
      </c>
    </row>
    <row r="230" spans="1:17" ht="15.75">
      <c r="A230" s="905" t="s">
        <v>770</v>
      </c>
      <c r="B230" s="905" t="s">
        <v>1372</v>
      </c>
      <c r="C230" s="905" t="str">
        <f>Financeiros!C63</f>
        <v>CVE - Encargos - CFURH</v>
      </c>
      <c r="D230" s="905">
        <v>2</v>
      </c>
      <c r="E230" s="905">
        <v>2</v>
      </c>
      <c r="F230" s="905">
        <f>Financeiros!F63</f>
        <v>22</v>
      </c>
      <c r="G230" s="905">
        <f>Financeiros!G63</f>
        <v>60</v>
      </c>
      <c r="H230" s="905">
        <f>Financeiros!H63</f>
        <v>241</v>
      </c>
      <c r="I230" s="905">
        <f>Financeiros!I63</f>
        <v>3</v>
      </c>
      <c r="J230" s="905">
        <f>Financeiros!J63</f>
        <v>16</v>
      </c>
      <c r="K230" s="905">
        <f>Financeiros!K63</f>
        <v>9</v>
      </c>
      <c r="L230" s="905">
        <v>99</v>
      </c>
      <c r="M230" s="905">
        <v>9</v>
      </c>
      <c r="N230" s="905">
        <v>3</v>
      </c>
      <c r="O230" s="905">
        <v>99999</v>
      </c>
      <c r="P230" s="1007">
        <f t="shared" si="14"/>
        <v>0</v>
      </c>
      <c r="Q230" s="234">
        <f>Financeiros!D63</f>
        <v>0</v>
      </c>
    </row>
    <row r="231" spans="1:17" ht="15.75">
      <c r="A231" s="905" t="s">
        <v>770</v>
      </c>
      <c r="B231" s="905" t="s">
        <v>1372</v>
      </c>
      <c r="C231" s="905" t="str">
        <f>Financeiros!C64</f>
        <v>CVE - Encargos - ESS/EER</v>
      </c>
      <c r="D231" s="905">
        <v>2</v>
      </c>
      <c r="E231" s="905">
        <v>2</v>
      </c>
      <c r="F231" s="905">
        <f>Financeiros!F64</f>
        <v>22</v>
      </c>
      <c r="G231" s="905">
        <f>Financeiros!G64</f>
        <v>60</v>
      </c>
      <c r="H231" s="905">
        <f>Financeiros!H64</f>
        <v>241</v>
      </c>
      <c r="I231" s="905">
        <f>Financeiros!I64</f>
        <v>3</v>
      </c>
      <c r="J231" s="905">
        <f>Financeiros!J64</f>
        <v>17</v>
      </c>
      <c r="K231" s="905">
        <f>Financeiros!K64</f>
        <v>9</v>
      </c>
      <c r="L231" s="905">
        <v>99</v>
      </c>
      <c r="M231" s="905">
        <v>9</v>
      </c>
      <c r="N231" s="905">
        <v>3</v>
      </c>
      <c r="O231" s="905">
        <v>99999</v>
      </c>
      <c r="P231" s="1007">
        <f t="shared" si="14"/>
        <v>0</v>
      </c>
      <c r="Q231" s="234">
        <f>Financeiros!D64</f>
        <v>0</v>
      </c>
    </row>
    <row r="232" spans="1:17" ht="15.75">
      <c r="A232" s="905" t="s">
        <v>770</v>
      </c>
      <c r="B232" s="905" t="s">
        <v>1372</v>
      </c>
      <c r="C232" s="905" t="str">
        <f>Financeiros!C65</f>
        <v>Conta Escassez H. - Importação julho- agosto/2021 - RTA 2022 - Energia de Revenda</v>
      </c>
      <c r="D232" s="905">
        <v>2</v>
      </c>
      <c r="E232" s="905">
        <v>2</v>
      </c>
      <c r="F232" s="905">
        <f>Financeiros!F65</f>
        <v>22</v>
      </c>
      <c r="G232" s="905">
        <f>Financeiros!G65</f>
        <v>60</v>
      </c>
      <c r="H232" s="905">
        <f>Financeiros!H65</f>
        <v>240</v>
      </c>
      <c r="I232" s="905">
        <f>Financeiros!I65</f>
        <v>2</v>
      </c>
      <c r="J232" s="905">
        <f>Financeiros!J65</f>
        <v>11</v>
      </c>
      <c r="K232" s="905">
        <f>Financeiros!K65</f>
        <v>9</v>
      </c>
      <c r="L232" s="905">
        <v>99</v>
      </c>
      <c r="M232" s="905">
        <v>9</v>
      </c>
      <c r="N232" s="905">
        <v>3</v>
      </c>
      <c r="O232" s="905">
        <v>99999</v>
      </c>
      <c r="P232" s="1007">
        <f t="shared" ca="1" si="14"/>
        <v>0</v>
      </c>
      <c r="Q232" s="234">
        <f ca="1">Financeiros!D65</f>
        <v>0</v>
      </c>
    </row>
    <row r="233" spans="1:17" ht="15.75">
      <c r="A233" s="905" t="s">
        <v>770</v>
      </c>
      <c r="B233" s="905" t="s">
        <v>1372</v>
      </c>
      <c r="C233" s="905" t="str">
        <f>Financeiros!C66</f>
        <v>Conta Escassez H. - Importação julho- agosto/2021 - RTA 2022 - Perda Não Técnica</v>
      </c>
      <c r="D233" s="905">
        <v>2</v>
      </c>
      <c r="E233" s="905">
        <v>2</v>
      </c>
      <c r="F233" s="905">
        <f>Financeiros!F66</f>
        <v>22</v>
      </c>
      <c r="G233" s="905">
        <f>Financeiros!G66</f>
        <v>60</v>
      </c>
      <c r="H233" s="905">
        <f>Financeiros!H66</f>
        <v>240</v>
      </c>
      <c r="I233" s="905">
        <f>Financeiros!I66</f>
        <v>2</v>
      </c>
      <c r="J233" s="905">
        <f>Financeiros!J66</f>
        <v>9</v>
      </c>
      <c r="K233" s="905">
        <f>Financeiros!K66</f>
        <v>9</v>
      </c>
      <c r="L233" s="905">
        <v>99</v>
      </c>
      <c r="M233" s="905">
        <v>9</v>
      </c>
      <c r="N233" s="905">
        <v>3</v>
      </c>
      <c r="O233" s="905">
        <v>99999</v>
      </c>
      <c r="P233" s="1007">
        <f t="shared" ca="1" si="14"/>
        <v>0</v>
      </c>
      <c r="Q233" s="234">
        <f ca="1">Financeiros!D66</f>
        <v>0</v>
      </c>
    </row>
    <row r="234" spans="1:17" ht="15.75">
      <c r="A234" s="905" t="s">
        <v>770</v>
      </c>
      <c r="B234" s="905" t="s">
        <v>1372</v>
      </c>
      <c r="C234" s="905" t="str">
        <f>Financeiros!C67</f>
        <v>Conta Escassez H. - Importação julho- agosto/2021 - RTA 2022 - Perda Técnica</v>
      </c>
      <c r="D234" s="905">
        <v>2</v>
      </c>
      <c r="E234" s="905">
        <v>2</v>
      </c>
      <c r="F234" s="905">
        <f>Financeiros!F67</f>
        <v>22</v>
      </c>
      <c r="G234" s="905">
        <f>Financeiros!G67</f>
        <v>60</v>
      </c>
      <c r="H234" s="905">
        <f>Financeiros!H67</f>
        <v>240</v>
      </c>
      <c r="I234" s="905">
        <f>Financeiros!I67</f>
        <v>2</v>
      </c>
      <c r="J234" s="905">
        <f>Financeiros!J67</f>
        <v>8</v>
      </c>
      <c r="K234" s="905">
        <f>Financeiros!K67</f>
        <v>9</v>
      </c>
      <c r="L234" s="905">
        <v>99</v>
      </c>
      <c r="M234" s="905">
        <v>9</v>
      </c>
      <c r="N234" s="905">
        <v>3</v>
      </c>
      <c r="O234" s="905">
        <v>99999</v>
      </c>
      <c r="P234" s="1007">
        <f t="shared" ca="1" si="14"/>
        <v>0</v>
      </c>
      <c r="Q234" s="234">
        <f ca="1">Financeiros!D67</f>
        <v>0</v>
      </c>
    </row>
    <row r="235" spans="1:17" ht="15.75">
      <c r="A235" s="905" t="s">
        <v>770</v>
      </c>
      <c r="B235" s="905" t="s">
        <v>1372</v>
      </c>
      <c r="C235" s="905" t="str">
        <f>Financeiros!C68</f>
        <v>Conta Escassez H. - Importação julho- agosto/2021 - RTA 2022 - Perda RB Perda RB sobre Dist.</v>
      </c>
      <c r="D235" s="905">
        <v>2</v>
      </c>
      <c r="E235" s="905">
        <v>2</v>
      </c>
      <c r="F235" s="905">
        <f>Financeiros!F68</f>
        <v>22</v>
      </c>
      <c r="G235" s="905">
        <f>Financeiros!G68</f>
        <v>60</v>
      </c>
      <c r="H235" s="905">
        <f>Financeiros!H68</f>
        <v>240</v>
      </c>
      <c r="I235" s="905">
        <f>Financeiros!I68</f>
        <v>2</v>
      </c>
      <c r="J235" s="905">
        <f>Financeiros!J68</f>
        <v>10</v>
      </c>
      <c r="K235" s="905">
        <f>Financeiros!K68</f>
        <v>9</v>
      </c>
      <c r="L235" s="905">
        <v>99</v>
      </c>
      <c r="M235" s="905">
        <v>9</v>
      </c>
      <c r="N235" s="905">
        <v>3</v>
      </c>
      <c r="O235" s="905">
        <v>99999</v>
      </c>
      <c r="P235" s="1007">
        <f t="shared" ca="1" si="14"/>
        <v>0</v>
      </c>
      <c r="Q235" s="234">
        <f ca="1">Financeiros!D68</f>
        <v>0</v>
      </c>
    </row>
    <row r="236" spans="1:17" ht="15.75">
      <c r="A236" s="905" t="s">
        <v>770</v>
      </c>
      <c r="B236" s="905" t="s">
        <v>1372</v>
      </c>
      <c r="C236" s="905" t="str">
        <f>Financeiros!C69</f>
        <v>Conta Escassez H. - Importação julho- agosto/2021 - RTA 2022 - Perda RB sobre Merc. Cat.</v>
      </c>
      <c r="D236" s="905">
        <v>2</v>
      </c>
      <c r="E236" s="905">
        <v>2</v>
      </c>
      <c r="F236" s="905">
        <f>Financeiros!F69</f>
        <v>22</v>
      </c>
      <c r="G236" s="905">
        <f>Financeiros!G69</f>
        <v>60</v>
      </c>
      <c r="H236" s="905">
        <f>Financeiros!H69</f>
        <v>240</v>
      </c>
      <c r="I236" s="905">
        <f>Financeiros!I69</f>
        <v>2</v>
      </c>
      <c r="J236" s="905">
        <f>Financeiros!J69</f>
        <v>24</v>
      </c>
      <c r="K236" s="905">
        <f>Financeiros!K69</f>
        <v>9</v>
      </c>
      <c r="L236" s="905">
        <v>99</v>
      </c>
      <c r="M236" s="905">
        <v>9</v>
      </c>
      <c r="N236" s="905">
        <v>3</v>
      </c>
      <c r="O236" s="905">
        <v>99999</v>
      </c>
      <c r="P236" s="1007">
        <f t="shared" ca="1" si="14"/>
        <v>0</v>
      </c>
      <c r="Q236" s="234">
        <f ca="1">Financeiros!D69</f>
        <v>0</v>
      </c>
    </row>
    <row r="237" spans="1:17" ht="15.75">
      <c r="A237" s="905" t="s">
        <v>770</v>
      </c>
      <c r="B237" s="905" t="s">
        <v>1372</v>
      </c>
      <c r="C237" s="905" t="str">
        <f>Financeiros!C70</f>
        <v>Conta Escassez H. - Bônus Redução Voluntária</v>
      </c>
      <c r="D237" s="905">
        <v>2</v>
      </c>
      <c r="E237" s="905">
        <v>2</v>
      </c>
      <c r="F237" s="905">
        <f>Financeiros!F70</f>
        <v>22</v>
      </c>
      <c r="G237" s="905">
        <f>Financeiros!G70</f>
        <v>60</v>
      </c>
      <c r="H237" s="905">
        <f>Financeiros!H70</f>
        <v>240</v>
      </c>
      <c r="I237" s="905">
        <f>Financeiros!I70</f>
        <v>3</v>
      </c>
      <c r="J237" s="905">
        <f>Financeiros!J70</f>
        <v>17</v>
      </c>
      <c r="K237" s="905">
        <f>Financeiros!K70</f>
        <v>9</v>
      </c>
      <c r="L237" s="905">
        <v>99</v>
      </c>
      <c r="M237" s="905">
        <v>9</v>
      </c>
      <c r="N237" s="905">
        <v>3</v>
      </c>
      <c r="O237" s="905">
        <v>99999</v>
      </c>
      <c r="P237" s="1007">
        <f t="shared" si="14"/>
        <v>0</v>
      </c>
      <c r="Q237" s="234">
        <f>Financeiros!D70</f>
        <v>0</v>
      </c>
    </row>
    <row r="238" spans="1:17" ht="15.75">
      <c r="A238" s="905" t="s">
        <v>770</v>
      </c>
      <c r="B238" s="905" t="s">
        <v>1372</v>
      </c>
      <c r="C238" s="905" t="str">
        <f>Financeiros!C71</f>
        <v>Conta Escassez H. - Diferimento de energia - RTA 2022 - Energia de Revenda</v>
      </c>
      <c r="D238" s="905">
        <v>2</v>
      </c>
      <c r="E238" s="905">
        <v>2</v>
      </c>
      <c r="F238" s="905">
        <f>Financeiros!F71</f>
        <v>22</v>
      </c>
      <c r="G238" s="905">
        <f>Financeiros!G71</f>
        <v>60</v>
      </c>
      <c r="H238" s="905">
        <f>Financeiros!H71</f>
        <v>240</v>
      </c>
      <c r="I238" s="905">
        <f>Financeiros!I71</f>
        <v>2</v>
      </c>
      <c r="J238" s="905">
        <f>Financeiros!J71</f>
        <v>11</v>
      </c>
      <c r="K238" s="905">
        <f>Financeiros!K71</f>
        <v>9</v>
      </c>
      <c r="L238" s="905">
        <v>99</v>
      </c>
      <c r="M238" s="905">
        <v>9</v>
      </c>
      <c r="N238" s="905">
        <v>3</v>
      </c>
      <c r="O238" s="905">
        <v>99999</v>
      </c>
      <c r="P238" s="1007">
        <f t="shared" ca="1" si="14"/>
        <v>0</v>
      </c>
      <c r="Q238" s="234">
        <f ca="1">Financeiros!D71</f>
        <v>0</v>
      </c>
    </row>
    <row r="239" spans="1:17" ht="15.75">
      <c r="A239" s="905" t="s">
        <v>770</v>
      </c>
      <c r="B239" s="905" t="s">
        <v>1372</v>
      </c>
      <c r="C239" s="905" t="str">
        <f>Financeiros!C72</f>
        <v>Conta Escassez H. - Diferimento de energia - RTA 2022 - Perda Não Técnica</v>
      </c>
      <c r="D239" s="905">
        <v>2</v>
      </c>
      <c r="E239" s="905">
        <v>2</v>
      </c>
      <c r="F239" s="905">
        <f>Financeiros!F72</f>
        <v>22</v>
      </c>
      <c r="G239" s="905">
        <f>Financeiros!G72</f>
        <v>60</v>
      </c>
      <c r="H239" s="905">
        <f>Financeiros!H72</f>
        <v>240</v>
      </c>
      <c r="I239" s="905">
        <f>Financeiros!I72</f>
        <v>2</v>
      </c>
      <c r="J239" s="905">
        <f>Financeiros!J72</f>
        <v>9</v>
      </c>
      <c r="K239" s="905">
        <f>Financeiros!K72</f>
        <v>9</v>
      </c>
      <c r="L239" s="905">
        <v>99</v>
      </c>
      <c r="M239" s="905">
        <v>9</v>
      </c>
      <c r="N239" s="905">
        <v>3</v>
      </c>
      <c r="O239" s="905">
        <v>99999</v>
      </c>
      <c r="P239" s="1007">
        <f t="shared" ca="1" si="14"/>
        <v>0</v>
      </c>
      <c r="Q239" s="234">
        <f ca="1">Financeiros!D72</f>
        <v>0</v>
      </c>
    </row>
    <row r="240" spans="1:17" ht="15.75">
      <c r="A240" s="905" t="s">
        <v>770</v>
      </c>
      <c r="B240" s="905" t="s">
        <v>1372</v>
      </c>
      <c r="C240" s="905" t="str">
        <f>Financeiros!C73</f>
        <v>Conta Escassez H. - Diferimento de energia - RTA 2022 - Perda Técnica</v>
      </c>
      <c r="D240" s="905">
        <v>2</v>
      </c>
      <c r="E240" s="905">
        <v>2</v>
      </c>
      <c r="F240" s="905">
        <f>Financeiros!F73</f>
        <v>22</v>
      </c>
      <c r="G240" s="905">
        <f>Financeiros!G73</f>
        <v>60</v>
      </c>
      <c r="H240" s="905">
        <f>Financeiros!H73</f>
        <v>240</v>
      </c>
      <c r="I240" s="905">
        <f>Financeiros!I73</f>
        <v>2</v>
      </c>
      <c r="J240" s="905">
        <f>Financeiros!J73</f>
        <v>8</v>
      </c>
      <c r="K240" s="905">
        <f>Financeiros!K73</f>
        <v>9</v>
      </c>
      <c r="L240" s="905">
        <v>99</v>
      </c>
      <c r="M240" s="905">
        <v>9</v>
      </c>
      <c r="N240" s="905">
        <v>3</v>
      </c>
      <c r="O240" s="905">
        <v>99999</v>
      </c>
      <c r="P240" s="1007">
        <f t="shared" ca="1" si="14"/>
        <v>0</v>
      </c>
      <c r="Q240" s="234">
        <f ca="1">Financeiros!D73</f>
        <v>0</v>
      </c>
    </row>
    <row r="241" spans="1:17" ht="15.75">
      <c r="A241" s="905" t="s">
        <v>770</v>
      </c>
      <c r="B241" s="905" t="s">
        <v>1372</v>
      </c>
      <c r="C241" s="905" t="str">
        <f>Financeiros!C74</f>
        <v>Conta Escassez H. - Diferimento de energia - RTA 2022 - Perda RB Perda RB sobre Dist.</v>
      </c>
      <c r="D241" s="905">
        <v>2</v>
      </c>
      <c r="E241" s="905">
        <v>2</v>
      </c>
      <c r="F241" s="905">
        <f>Financeiros!F74</f>
        <v>22</v>
      </c>
      <c r="G241" s="905">
        <f>Financeiros!G74</f>
        <v>60</v>
      </c>
      <c r="H241" s="905">
        <f>Financeiros!H74</f>
        <v>240</v>
      </c>
      <c r="I241" s="905">
        <f>Financeiros!I74</f>
        <v>2</v>
      </c>
      <c r="J241" s="905">
        <f>Financeiros!J74</f>
        <v>10</v>
      </c>
      <c r="K241" s="905">
        <f>Financeiros!K74</f>
        <v>9</v>
      </c>
      <c r="L241" s="905">
        <v>99</v>
      </c>
      <c r="M241" s="905">
        <v>9</v>
      </c>
      <c r="N241" s="905">
        <v>3</v>
      </c>
      <c r="O241" s="905">
        <v>99999</v>
      </c>
      <c r="P241" s="1007">
        <f t="shared" ca="1" si="14"/>
        <v>0</v>
      </c>
      <c r="Q241" s="234">
        <f ca="1">Financeiros!D74</f>
        <v>0</v>
      </c>
    </row>
    <row r="242" spans="1:17" ht="15.75">
      <c r="A242" s="905" t="s">
        <v>770</v>
      </c>
      <c r="B242" s="905" t="s">
        <v>1372</v>
      </c>
      <c r="C242" s="905" t="str">
        <f>Financeiros!C75</f>
        <v>Conta Escassez H. - Diferimento de energia - RTA 2022 - Perda RB sobre Merc. Cat.</v>
      </c>
      <c r="D242" s="905">
        <v>2</v>
      </c>
      <c r="E242" s="905">
        <v>2</v>
      </c>
      <c r="F242" s="905">
        <f>Financeiros!F75</f>
        <v>22</v>
      </c>
      <c r="G242" s="905">
        <f>Financeiros!G75</f>
        <v>60</v>
      </c>
      <c r="H242" s="905">
        <f>Financeiros!H75</f>
        <v>240</v>
      </c>
      <c r="I242" s="905">
        <f>Financeiros!I75</f>
        <v>2</v>
      </c>
      <c r="J242" s="905">
        <f>Financeiros!J75</f>
        <v>24</v>
      </c>
      <c r="K242" s="905">
        <f>Financeiros!K75</f>
        <v>9</v>
      </c>
      <c r="L242" s="905">
        <v>99</v>
      </c>
      <c r="M242" s="905">
        <v>9</v>
      </c>
      <c r="N242" s="905">
        <v>3</v>
      </c>
      <c r="O242" s="905">
        <v>99999</v>
      </c>
      <c r="P242" s="1007">
        <f t="shared" ca="1" si="14"/>
        <v>0</v>
      </c>
      <c r="Q242" s="234">
        <f ca="1">Financeiros!D75</f>
        <v>0</v>
      </c>
    </row>
    <row r="243" spans="1:17" ht="15.75">
      <c r="A243" s="905" t="s">
        <v>770</v>
      </c>
      <c r="B243" s="905" t="s">
        <v>1372</v>
      </c>
      <c r="C243" s="905">
        <f>Financeiros!C76</f>
        <v>0</v>
      </c>
      <c r="D243" s="905">
        <v>2</v>
      </c>
      <c r="E243" s="905">
        <v>2</v>
      </c>
      <c r="F243" s="905">
        <v>999</v>
      </c>
      <c r="G243" s="905">
        <v>999999</v>
      </c>
      <c r="H243" s="905">
        <v>999</v>
      </c>
      <c r="I243" s="905">
        <v>99</v>
      </c>
      <c r="J243" s="905">
        <v>999</v>
      </c>
      <c r="K243" s="905">
        <v>9</v>
      </c>
      <c r="L243" s="905">
        <v>99</v>
      </c>
      <c r="M243" s="905">
        <v>9</v>
      </c>
      <c r="N243" s="905">
        <v>3</v>
      </c>
      <c r="O243" s="905">
        <v>99999</v>
      </c>
      <c r="P243" s="1007">
        <f t="shared" si="14"/>
        <v>0</v>
      </c>
      <c r="Q243" s="234">
        <f>Financeiros!D76</f>
        <v>0</v>
      </c>
    </row>
    <row r="244" spans="1:17" ht="15.75">
      <c r="A244" s="905" t="s">
        <v>770</v>
      </c>
      <c r="B244" s="905" t="s">
        <v>1372</v>
      </c>
      <c r="C244" s="905">
        <f>Financeiros!C77</f>
        <v>0</v>
      </c>
      <c r="D244" s="905">
        <v>2</v>
      </c>
      <c r="E244" s="905">
        <v>2</v>
      </c>
      <c r="F244" s="905">
        <v>999</v>
      </c>
      <c r="G244" s="905">
        <v>999999</v>
      </c>
      <c r="H244" s="905">
        <v>999</v>
      </c>
      <c r="I244" s="905">
        <v>99</v>
      </c>
      <c r="J244" s="905">
        <v>999</v>
      </c>
      <c r="K244" s="905">
        <v>9</v>
      </c>
      <c r="L244" s="905">
        <v>99</v>
      </c>
      <c r="M244" s="905">
        <v>9</v>
      </c>
      <c r="N244" s="905">
        <v>3</v>
      </c>
      <c r="O244" s="905">
        <v>99999</v>
      </c>
      <c r="P244" s="1007">
        <f t="shared" si="14"/>
        <v>0</v>
      </c>
      <c r="Q244" s="234">
        <f>Financeiros!D77</f>
        <v>0</v>
      </c>
    </row>
    <row r="245" spans="1:17" ht="15.75">
      <c r="A245" s="905" t="s">
        <v>770</v>
      </c>
      <c r="B245" s="905" t="s">
        <v>1372</v>
      </c>
      <c r="C245" s="905">
        <f>Financeiros!C78</f>
        <v>0</v>
      </c>
      <c r="D245" s="905">
        <v>2</v>
      </c>
      <c r="E245" s="905">
        <v>2</v>
      </c>
      <c r="F245" s="905">
        <v>999</v>
      </c>
      <c r="G245" s="905">
        <v>999999</v>
      </c>
      <c r="H245" s="905">
        <v>999</v>
      </c>
      <c r="I245" s="905">
        <v>99</v>
      </c>
      <c r="J245" s="905">
        <v>999</v>
      </c>
      <c r="K245" s="905">
        <v>9</v>
      </c>
      <c r="L245" s="905">
        <v>99</v>
      </c>
      <c r="M245" s="905">
        <v>9</v>
      </c>
      <c r="N245" s="905">
        <v>3</v>
      </c>
      <c r="O245" s="905">
        <v>99999</v>
      </c>
      <c r="P245" s="1007">
        <f t="shared" si="14"/>
        <v>0</v>
      </c>
      <c r="Q245" s="234">
        <f>Financeiros!D78</f>
        <v>0</v>
      </c>
    </row>
    <row r="246" spans="1:17" ht="15.75">
      <c r="A246" s="905" t="s">
        <v>770</v>
      </c>
      <c r="B246" s="905" t="s">
        <v>1372</v>
      </c>
      <c r="C246" s="905">
        <f>Financeiros!C79</f>
        <v>0</v>
      </c>
      <c r="D246" s="905">
        <v>2</v>
      </c>
      <c r="E246" s="905">
        <v>2</v>
      </c>
      <c r="F246" s="905">
        <v>999</v>
      </c>
      <c r="G246" s="905">
        <v>999999</v>
      </c>
      <c r="H246" s="905">
        <v>999</v>
      </c>
      <c r="I246" s="905">
        <v>99</v>
      </c>
      <c r="J246" s="905">
        <v>999</v>
      </c>
      <c r="K246" s="905">
        <v>9</v>
      </c>
      <c r="L246" s="905">
        <v>99</v>
      </c>
      <c r="M246" s="905">
        <v>9</v>
      </c>
      <c r="N246" s="905">
        <v>3</v>
      </c>
      <c r="O246" s="905">
        <v>99999</v>
      </c>
      <c r="P246" s="1007">
        <f t="shared" si="14"/>
        <v>0</v>
      </c>
      <c r="Q246" s="234">
        <f>Financeiros!D79</f>
        <v>0</v>
      </c>
    </row>
    <row r="247" spans="1:17" ht="15.75">
      <c r="A247" s="905" t="s">
        <v>770</v>
      </c>
      <c r="B247" s="905" t="s">
        <v>1372</v>
      </c>
      <c r="C247" s="905">
        <f>Financeiros!C80</f>
        <v>0</v>
      </c>
      <c r="D247" s="905">
        <v>2</v>
      </c>
      <c r="E247" s="905">
        <v>2</v>
      </c>
      <c r="F247" s="905">
        <v>999</v>
      </c>
      <c r="G247" s="905">
        <v>999999</v>
      </c>
      <c r="H247" s="905">
        <v>999</v>
      </c>
      <c r="I247" s="905">
        <v>99</v>
      </c>
      <c r="J247" s="905">
        <v>999</v>
      </c>
      <c r="K247" s="905">
        <v>9</v>
      </c>
      <c r="L247" s="905">
        <v>99</v>
      </c>
      <c r="M247" s="905">
        <v>9</v>
      </c>
      <c r="N247" s="905">
        <v>3</v>
      </c>
      <c r="O247" s="905">
        <v>99999</v>
      </c>
      <c r="P247" s="1007">
        <f t="shared" si="14"/>
        <v>0</v>
      </c>
      <c r="Q247" s="234">
        <f>Financeiros!D80</f>
        <v>0</v>
      </c>
    </row>
    <row r="248" spans="1:17" ht="15.75">
      <c r="A248" s="905" t="s">
        <v>770</v>
      </c>
      <c r="B248" s="905" t="s">
        <v>1372</v>
      </c>
      <c r="C248" s="905">
        <f>Financeiros!C81</f>
        <v>0</v>
      </c>
      <c r="D248" s="905">
        <v>2</v>
      </c>
      <c r="E248" s="905">
        <v>2</v>
      </c>
      <c r="F248" s="905">
        <v>999</v>
      </c>
      <c r="G248" s="905">
        <v>999999</v>
      </c>
      <c r="H248" s="905">
        <v>999</v>
      </c>
      <c r="I248" s="905">
        <v>99</v>
      </c>
      <c r="J248" s="905">
        <v>999</v>
      </c>
      <c r="K248" s="905">
        <v>9</v>
      </c>
      <c r="L248" s="905">
        <v>99</v>
      </c>
      <c r="M248" s="905">
        <v>9</v>
      </c>
      <c r="N248" s="905">
        <v>3</v>
      </c>
      <c r="O248" s="905">
        <v>99999</v>
      </c>
      <c r="P248" s="1007">
        <f t="shared" si="14"/>
        <v>0</v>
      </c>
      <c r="Q248" s="234">
        <f>Financeiros!D81</f>
        <v>0</v>
      </c>
    </row>
    <row r="249" spans="1:17" ht="15.75">
      <c r="A249" s="905" t="s">
        <v>770</v>
      </c>
      <c r="B249" s="905" t="s">
        <v>1372</v>
      </c>
      <c r="C249" s="905" t="str">
        <f>Financeiros!C82</f>
        <v>Reversão de Risco Hidrológico</v>
      </c>
      <c r="D249" s="905">
        <v>2</v>
      </c>
      <c r="E249" s="905">
        <v>2</v>
      </c>
      <c r="F249" s="905">
        <f>Financeiros!F82</f>
        <v>22</v>
      </c>
      <c r="G249" s="905">
        <f>Financeiros!G82</f>
        <v>62</v>
      </c>
      <c r="H249" s="905">
        <f>Financeiros!H82</f>
        <v>220</v>
      </c>
      <c r="I249" s="905">
        <f>Financeiros!I82</f>
        <v>2</v>
      </c>
      <c r="J249" s="905">
        <f>Financeiros!J82</f>
        <v>30</v>
      </c>
      <c r="K249" s="905">
        <v>9</v>
      </c>
      <c r="L249" s="905">
        <v>99</v>
      </c>
      <c r="M249" s="905">
        <v>9</v>
      </c>
      <c r="N249" s="905">
        <v>3</v>
      </c>
      <c r="O249" s="905">
        <v>99999</v>
      </c>
      <c r="P249" s="1007">
        <f t="shared" ref="P249" ca="1" si="15">IF(ISNUMBER(Q249),Q249,0)</f>
        <v>0</v>
      </c>
      <c r="Q249" s="234">
        <f ca="1">Financeiros!D82</f>
        <v>0</v>
      </c>
    </row>
    <row r="250" spans="1:17" ht="15.75">
      <c r="A250" s="905" t="s">
        <v>770</v>
      </c>
      <c r="B250" s="905" t="s">
        <v>1372</v>
      </c>
      <c r="C250" s="905" t="s">
        <v>1617</v>
      </c>
      <c r="D250" s="905">
        <v>5</v>
      </c>
      <c r="E250" s="905">
        <v>2</v>
      </c>
      <c r="F250" s="905">
        <v>19</v>
      </c>
      <c r="G250" s="905">
        <v>65</v>
      </c>
      <c r="H250" s="905">
        <v>172</v>
      </c>
      <c r="I250" s="905">
        <v>1</v>
      </c>
      <c r="J250" s="905">
        <v>1</v>
      </c>
      <c r="K250" s="905">
        <v>9</v>
      </c>
      <c r="L250" s="905">
        <v>99</v>
      </c>
      <c r="M250" s="905">
        <v>9</v>
      </c>
      <c r="N250" s="905">
        <v>3</v>
      </c>
      <c r="O250" s="905">
        <v>99999</v>
      </c>
      <c r="P250" s="1007">
        <f t="shared" si="14"/>
        <v>0</v>
      </c>
      <c r="Q250" s="234">
        <f>CVE!$D$12</f>
        <v>0</v>
      </c>
    </row>
    <row r="251" spans="1:17" ht="15.75">
      <c r="A251" s="905" t="s">
        <v>770</v>
      </c>
      <c r="B251" s="905" t="s">
        <v>1372</v>
      </c>
      <c r="C251" s="905" t="s">
        <v>1618</v>
      </c>
      <c r="D251" s="905">
        <v>5</v>
      </c>
      <c r="E251" s="905">
        <v>2</v>
      </c>
      <c r="F251" s="905">
        <v>19</v>
      </c>
      <c r="G251" s="905">
        <v>65</v>
      </c>
      <c r="H251" s="905">
        <v>172</v>
      </c>
      <c r="I251" s="905">
        <v>1</v>
      </c>
      <c r="J251" s="905">
        <v>21</v>
      </c>
      <c r="K251" s="905">
        <v>9</v>
      </c>
      <c r="L251" s="905">
        <v>99</v>
      </c>
      <c r="M251" s="905">
        <v>9</v>
      </c>
      <c r="N251" s="905">
        <v>3</v>
      </c>
      <c r="O251" s="905">
        <v>99999</v>
      </c>
      <c r="P251" s="1007">
        <f t="shared" si="14"/>
        <v>0</v>
      </c>
      <c r="Q251" s="234">
        <f>CVE!$D$15</f>
        <v>0</v>
      </c>
    </row>
    <row r="252" spans="1:17" ht="15.75">
      <c r="A252" s="905" t="s">
        <v>770</v>
      </c>
      <c r="B252" s="905" t="s">
        <v>1372</v>
      </c>
      <c r="C252" s="905" t="s">
        <v>1619</v>
      </c>
      <c r="D252" s="905">
        <v>5</v>
      </c>
      <c r="E252" s="905">
        <v>2</v>
      </c>
      <c r="F252" s="905">
        <v>19</v>
      </c>
      <c r="G252" s="905">
        <v>65</v>
      </c>
      <c r="H252" s="905">
        <v>172</v>
      </c>
      <c r="I252" s="905">
        <v>2</v>
      </c>
      <c r="J252" s="905">
        <v>999</v>
      </c>
      <c r="K252" s="905">
        <v>9</v>
      </c>
      <c r="L252" s="905">
        <v>99</v>
      </c>
      <c r="M252" s="905">
        <v>9</v>
      </c>
      <c r="N252" s="905">
        <v>3</v>
      </c>
      <c r="O252" s="905">
        <v>99999</v>
      </c>
      <c r="P252" s="1007">
        <f t="shared" si="14"/>
        <v>0</v>
      </c>
      <c r="Q252" s="234">
        <f>CVE!$D$13</f>
        <v>0</v>
      </c>
    </row>
    <row r="253" spans="1:17" ht="15.75">
      <c r="A253" s="905" t="s">
        <v>770</v>
      </c>
      <c r="B253" s="905" t="s">
        <v>1372</v>
      </c>
      <c r="C253" s="905" t="s">
        <v>1620</v>
      </c>
      <c r="D253" s="905">
        <v>5</v>
      </c>
      <c r="E253" s="905">
        <v>2</v>
      </c>
      <c r="F253" s="905">
        <v>19</v>
      </c>
      <c r="G253" s="905">
        <v>65</v>
      </c>
      <c r="H253" s="905">
        <v>172</v>
      </c>
      <c r="I253" s="905">
        <v>3</v>
      </c>
      <c r="J253" s="905">
        <v>13</v>
      </c>
      <c r="K253" s="905">
        <v>9</v>
      </c>
      <c r="L253" s="905">
        <v>99</v>
      </c>
      <c r="M253" s="905">
        <v>9</v>
      </c>
      <c r="N253" s="905">
        <v>3</v>
      </c>
      <c r="O253" s="905">
        <v>99999</v>
      </c>
      <c r="P253" s="1007">
        <f t="shared" si="14"/>
        <v>0</v>
      </c>
      <c r="Q253" s="234">
        <f>CVE!$D$9</f>
        <v>0</v>
      </c>
    </row>
    <row r="254" spans="1:17" ht="15.75">
      <c r="A254" s="905" t="s">
        <v>770</v>
      </c>
      <c r="B254" s="905" t="s">
        <v>1372</v>
      </c>
      <c r="C254" s="905" t="s">
        <v>1621</v>
      </c>
      <c r="D254" s="905">
        <v>5</v>
      </c>
      <c r="E254" s="905">
        <v>2</v>
      </c>
      <c r="F254" s="905">
        <v>19</v>
      </c>
      <c r="G254" s="905">
        <v>65</v>
      </c>
      <c r="H254" s="905">
        <v>172</v>
      </c>
      <c r="I254" s="905">
        <v>3</v>
      </c>
      <c r="J254" s="905">
        <v>15</v>
      </c>
      <c r="K254" s="905">
        <v>9</v>
      </c>
      <c r="L254" s="905">
        <v>99</v>
      </c>
      <c r="M254" s="905">
        <v>9</v>
      </c>
      <c r="N254" s="905">
        <v>3</v>
      </c>
      <c r="O254" s="905">
        <v>99999</v>
      </c>
      <c r="P254" s="1007">
        <f t="shared" si="14"/>
        <v>0</v>
      </c>
      <c r="Q254" s="234">
        <f>CVE!$D$10</f>
        <v>0</v>
      </c>
    </row>
    <row r="255" spans="1:17" ht="15.75">
      <c r="A255" s="905" t="s">
        <v>770</v>
      </c>
      <c r="B255" s="905" t="s">
        <v>1372</v>
      </c>
      <c r="C255" s="905" t="s">
        <v>1622</v>
      </c>
      <c r="D255" s="905">
        <v>5</v>
      </c>
      <c r="E255" s="905">
        <v>2</v>
      </c>
      <c r="F255" s="905">
        <v>19</v>
      </c>
      <c r="G255" s="905">
        <v>65</v>
      </c>
      <c r="H255" s="905">
        <v>172</v>
      </c>
      <c r="I255" s="905">
        <v>3</v>
      </c>
      <c r="J255" s="905">
        <v>16</v>
      </c>
      <c r="K255" s="905">
        <v>9</v>
      </c>
      <c r="L255" s="905">
        <v>99</v>
      </c>
      <c r="M255" s="905">
        <v>9</v>
      </c>
      <c r="N255" s="905">
        <v>3</v>
      </c>
      <c r="O255" s="905">
        <v>99999</v>
      </c>
      <c r="P255" s="1007">
        <f t="shared" si="14"/>
        <v>0</v>
      </c>
      <c r="Q255" s="234">
        <f>CVE!$D$14</f>
        <v>0</v>
      </c>
    </row>
    <row r="256" spans="1:17" ht="15.75">
      <c r="A256" s="905" t="s">
        <v>770</v>
      </c>
      <c r="B256" s="905" t="s">
        <v>1372</v>
      </c>
      <c r="C256" s="905" t="s">
        <v>1623</v>
      </c>
      <c r="D256" s="905">
        <v>5</v>
      </c>
      <c r="E256" s="905">
        <v>2</v>
      </c>
      <c r="F256" s="905">
        <v>19</v>
      </c>
      <c r="G256" s="905">
        <v>65</v>
      </c>
      <c r="H256" s="905">
        <v>172</v>
      </c>
      <c r="I256" s="905">
        <v>3</v>
      </c>
      <c r="J256" s="905">
        <v>17</v>
      </c>
      <c r="K256" s="905">
        <v>9</v>
      </c>
      <c r="L256" s="905">
        <v>99</v>
      </c>
      <c r="M256" s="905">
        <v>9</v>
      </c>
      <c r="N256" s="905">
        <v>3</v>
      </c>
      <c r="O256" s="905">
        <v>99999</v>
      </c>
      <c r="P256" s="1007">
        <f t="shared" si="14"/>
        <v>0</v>
      </c>
      <c r="Q256" s="234">
        <f>CVE!$D$17</f>
        <v>0</v>
      </c>
    </row>
    <row r="257" spans="1:17" ht="15.75">
      <c r="A257" s="905" t="s">
        <v>770</v>
      </c>
      <c r="B257" s="905" t="s">
        <v>1372</v>
      </c>
      <c r="C257" s="905" t="s">
        <v>1624</v>
      </c>
      <c r="D257" s="905">
        <v>5</v>
      </c>
      <c r="E257" s="905">
        <v>2</v>
      </c>
      <c r="F257" s="905">
        <v>19</v>
      </c>
      <c r="G257" s="905">
        <v>65</v>
      </c>
      <c r="H257" s="905">
        <v>172</v>
      </c>
      <c r="I257" s="905">
        <v>3</v>
      </c>
      <c r="J257" s="905">
        <v>18</v>
      </c>
      <c r="K257" s="905">
        <v>9</v>
      </c>
      <c r="L257" s="905">
        <v>99</v>
      </c>
      <c r="M257" s="905">
        <v>9</v>
      </c>
      <c r="N257" s="905">
        <v>3</v>
      </c>
      <c r="O257" s="905">
        <v>99999</v>
      </c>
      <c r="P257" s="1007">
        <f t="shared" si="14"/>
        <v>0</v>
      </c>
      <c r="Q257" s="234">
        <f>CVE!$D$16</f>
        <v>0</v>
      </c>
    </row>
    <row r="258" spans="1:17" ht="15.75">
      <c r="A258" s="905" t="s">
        <v>770</v>
      </c>
      <c r="B258" s="905" t="s">
        <v>1372</v>
      </c>
      <c r="C258" s="905" t="s">
        <v>1390</v>
      </c>
      <c r="D258" s="905">
        <v>5</v>
      </c>
      <c r="E258" s="905">
        <v>2</v>
      </c>
      <c r="F258" s="905">
        <v>19</v>
      </c>
      <c r="G258" s="905">
        <v>65</v>
      </c>
      <c r="H258" s="905">
        <v>172</v>
      </c>
      <c r="I258" s="905">
        <v>2</v>
      </c>
      <c r="J258" s="905">
        <v>25</v>
      </c>
      <c r="K258" s="905">
        <v>9</v>
      </c>
      <c r="L258" s="905">
        <v>99</v>
      </c>
      <c r="M258" s="905">
        <v>9</v>
      </c>
      <c r="N258" s="905">
        <v>3</v>
      </c>
      <c r="O258" s="905">
        <v>99999</v>
      </c>
      <c r="P258" s="1007">
        <f t="shared" si="14"/>
        <v>0</v>
      </c>
      <c r="Q258" s="234">
        <f>CVE!$D$11</f>
        <v>0</v>
      </c>
    </row>
    <row r="259" spans="1:17" ht="15.75">
      <c r="A259" s="905" t="s">
        <v>1625</v>
      </c>
      <c r="B259" s="905" t="s">
        <v>36</v>
      </c>
      <c r="C259" s="905" t="s">
        <v>1626</v>
      </c>
      <c r="D259" s="905">
        <v>4</v>
      </c>
      <c r="E259" s="905">
        <v>2</v>
      </c>
      <c r="F259" s="905">
        <v>19</v>
      </c>
      <c r="G259" s="905">
        <v>64</v>
      </c>
      <c r="H259" s="905">
        <v>95</v>
      </c>
      <c r="I259" s="905">
        <v>3</v>
      </c>
      <c r="J259" s="905">
        <v>13</v>
      </c>
      <c r="K259" s="905">
        <v>9</v>
      </c>
      <c r="L259" s="905">
        <v>99</v>
      </c>
      <c r="M259" s="905">
        <v>9</v>
      </c>
      <c r="N259" s="905">
        <v>3</v>
      </c>
      <c r="O259" s="905">
        <v>99999</v>
      </c>
      <c r="P259" s="1007">
        <f t="shared" si="14"/>
        <v>0</v>
      </c>
      <c r="Q259" s="234">
        <f>CVE!$D$24</f>
        <v>0</v>
      </c>
    </row>
    <row r="260" spans="1:17" ht="15.75">
      <c r="A260" s="905" t="s">
        <v>1625</v>
      </c>
      <c r="B260" s="905" t="s">
        <v>36</v>
      </c>
      <c r="C260" s="905" t="s">
        <v>1627</v>
      </c>
      <c r="D260" s="905">
        <v>4</v>
      </c>
      <c r="E260" s="905">
        <v>2</v>
      </c>
      <c r="F260" s="905">
        <v>19</v>
      </c>
      <c r="G260" s="905">
        <v>64</v>
      </c>
      <c r="H260" s="905">
        <v>95</v>
      </c>
      <c r="I260" s="905">
        <v>3</v>
      </c>
      <c r="J260" s="905">
        <v>15</v>
      </c>
      <c r="K260" s="905">
        <v>9</v>
      </c>
      <c r="L260" s="905">
        <v>99</v>
      </c>
      <c r="M260" s="905">
        <v>9</v>
      </c>
      <c r="N260" s="905">
        <v>3</v>
      </c>
      <c r="O260" s="905">
        <v>99999</v>
      </c>
      <c r="P260" s="1007">
        <f t="shared" si="14"/>
        <v>0</v>
      </c>
      <c r="Q260" s="234">
        <f>CVE!$D$25</f>
        <v>0</v>
      </c>
    </row>
    <row r="261" spans="1:17" ht="15.75">
      <c r="A261" s="905" t="s">
        <v>1625</v>
      </c>
      <c r="B261" s="905" t="s">
        <v>36</v>
      </c>
      <c r="C261" s="905" t="s">
        <v>1628</v>
      </c>
      <c r="D261" s="905">
        <v>4</v>
      </c>
      <c r="E261" s="905">
        <v>2</v>
      </c>
      <c r="F261" s="905">
        <v>19</v>
      </c>
      <c r="G261" s="905">
        <v>64</v>
      </c>
      <c r="H261" s="905">
        <v>95</v>
      </c>
      <c r="I261" s="905">
        <v>2</v>
      </c>
      <c r="J261" s="905">
        <v>25</v>
      </c>
      <c r="K261" s="905">
        <v>9</v>
      </c>
      <c r="L261" s="905">
        <v>99</v>
      </c>
      <c r="M261" s="905">
        <v>9</v>
      </c>
      <c r="N261" s="905">
        <v>3</v>
      </c>
      <c r="O261" s="905">
        <v>99999</v>
      </c>
      <c r="P261" s="1007">
        <f t="shared" si="14"/>
        <v>0</v>
      </c>
      <c r="Q261" s="234">
        <f>CVE!$D$26</f>
        <v>0</v>
      </c>
    </row>
    <row r="262" spans="1:17" ht="15.75">
      <c r="A262" s="905" t="s">
        <v>1625</v>
      </c>
      <c r="B262" s="905" t="s">
        <v>36</v>
      </c>
      <c r="C262" s="905" t="s">
        <v>1629</v>
      </c>
      <c r="D262" s="905">
        <v>4</v>
      </c>
      <c r="E262" s="905">
        <v>2</v>
      </c>
      <c r="F262" s="905">
        <v>19</v>
      </c>
      <c r="G262" s="905">
        <v>64</v>
      </c>
      <c r="H262" s="905">
        <v>95</v>
      </c>
      <c r="I262" s="905">
        <v>1</v>
      </c>
      <c r="J262" s="905">
        <v>1</v>
      </c>
      <c r="K262" s="905">
        <v>9</v>
      </c>
      <c r="L262" s="905">
        <v>99</v>
      </c>
      <c r="M262" s="905">
        <v>9</v>
      </c>
      <c r="N262" s="905">
        <v>3</v>
      </c>
      <c r="O262" s="905">
        <v>99999</v>
      </c>
      <c r="P262" s="1007">
        <f t="shared" si="14"/>
        <v>0</v>
      </c>
      <c r="Q262" s="234">
        <f>CVE!$D$27</f>
        <v>0</v>
      </c>
    </row>
    <row r="263" spans="1:17" ht="15.75">
      <c r="A263" s="905" t="s">
        <v>1625</v>
      </c>
      <c r="B263" s="905" t="s">
        <v>36</v>
      </c>
      <c r="C263" s="905" t="s">
        <v>1630</v>
      </c>
      <c r="D263" s="905">
        <v>4</v>
      </c>
      <c r="E263" s="905">
        <v>2</v>
      </c>
      <c r="F263" s="905">
        <v>19</v>
      </c>
      <c r="G263" s="905">
        <v>64</v>
      </c>
      <c r="H263" s="905">
        <v>95</v>
      </c>
      <c r="I263" s="905">
        <v>2</v>
      </c>
      <c r="J263" s="905">
        <v>999</v>
      </c>
      <c r="K263" s="905">
        <v>9</v>
      </c>
      <c r="L263" s="905">
        <v>99</v>
      </c>
      <c r="M263" s="905">
        <v>9</v>
      </c>
      <c r="N263" s="905">
        <v>3</v>
      </c>
      <c r="O263" s="905">
        <v>99999</v>
      </c>
      <c r="P263" s="1007">
        <f t="shared" si="14"/>
        <v>0</v>
      </c>
      <c r="Q263" s="234">
        <f>CVE!$D$28</f>
        <v>0</v>
      </c>
    </row>
    <row r="264" spans="1:17" ht="15.75">
      <c r="A264" s="905" t="s">
        <v>1625</v>
      </c>
      <c r="B264" s="905" t="s">
        <v>36</v>
      </c>
      <c r="C264" s="905" t="s">
        <v>1631</v>
      </c>
      <c r="D264" s="905">
        <v>4</v>
      </c>
      <c r="E264" s="905">
        <v>2</v>
      </c>
      <c r="F264" s="905">
        <v>19</v>
      </c>
      <c r="G264" s="905">
        <v>64</v>
      </c>
      <c r="H264" s="905">
        <v>95</v>
      </c>
      <c r="I264" s="905">
        <v>3</v>
      </c>
      <c r="J264" s="905">
        <v>16</v>
      </c>
      <c r="K264" s="905">
        <v>9</v>
      </c>
      <c r="L264" s="905">
        <v>99</v>
      </c>
      <c r="M264" s="905">
        <v>9</v>
      </c>
      <c r="N264" s="905">
        <v>3</v>
      </c>
      <c r="O264" s="905">
        <v>99999</v>
      </c>
      <c r="P264" s="1007">
        <f t="shared" si="14"/>
        <v>0</v>
      </c>
      <c r="Q264" s="234">
        <f>CVE!$D$29</f>
        <v>0</v>
      </c>
    </row>
    <row r="265" spans="1:17" ht="15.75">
      <c r="A265" s="905" t="s">
        <v>1625</v>
      </c>
      <c r="B265" s="905" t="s">
        <v>36</v>
      </c>
      <c r="C265" s="905" t="s">
        <v>1632</v>
      </c>
      <c r="D265" s="905">
        <v>4</v>
      </c>
      <c r="E265" s="905">
        <v>2</v>
      </c>
      <c r="F265" s="905">
        <v>19</v>
      </c>
      <c r="G265" s="905">
        <v>64</v>
      </c>
      <c r="H265" s="905">
        <v>95</v>
      </c>
      <c r="I265" s="905">
        <v>1</v>
      </c>
      <c r="J265" s="905">
        <v>21</v>
      </c>
      <c r="K265" s="905">
        <v>9</v>
      </c>
      <c r="L265" s="905">
        <v>99</v>
      </c>
      <c r="M265" s="905">
        <v>9</v>
      </c>
      <c r="N265" s="905">
        <v>3</v>
      </c>
      <c r="O265" s="905">
        <v>99999</v>
      </c>
      <c r="P265" s="1007">
        <f t="shared" si="14"/>
        <v>0</v>
      </c>
      <c r="Q265" s="234">
        <f>CVE!$D$30</f>
        <v>0</v>
      </c>
    </row>
    <row r="266" spans="1:17" ht="15.75">
      <c r="A266" s="905" t="s">
        <v>1625</v>
      </c>
      <c r="B266" s="905" t="s">
        <v>36</v>
      </c>
      <c r="C266" s="905" t="s">
        <v>1633</v>
      </c>
      <c r="D266" s="905">
        <v>4</v>
      </c>
      <c r="E266" s="905">
        <v>2</v>
      </c>
      <c r="F266" s="905">
        <v>19</v>
      </c>
      <c r="G266" s="905">
        <v>64</v>
      </c>
      <c r="H266" s="905">
        <v>95</v>
      </c>
      <c r="I266" s="905">
        <v>3</v>
      </c>
      <c r="J266" s="905">
        <v>18</v>
      </c>
      <c r="K266" s="905">
        <v>9</v>
      </c>
      <c r="L266" s="905">
        <v>99</v>
      </c>
      <c r="M266" s="905">
        <v>9</v>
      </c>
      <c r="N266" s="905">
        <v>3</v>
      </c>
      <c r="O266" s="905">
        <v>99999</v>
      </c>
      <c r="P266" s="1007">
        <f t="shared" si="14"/>
        <v>0</v>
      </c>
      <c r="Q266" s="234">
        <f>CVE!$D$31</f>
        <v>0</v>
      </c>
    </row>
    <row r="267" spans="1:17" ht="15.75">
      <c r="A267" s="905" t="s">
        <v>1625</v>
      </c>
      <c r="B267" s="905" t="s">
        <v>36</v>
      </c>
      <c r="C267" s="905" t="s">
        <v>1634</v>
      </c>
      <c r="D267" s="905">
        <v>4</v>
      </c>
      <c r="E267" s="905">
        <v>2</v>
      </c>
      <c r="F267" s="905">
        <v>19</v>
      </c>
      <c r="G267" s="905">
        <v>64</v>
      </c>
      <c r="H267" s="905">
        <v>95</v>
      </c>
      <c r="I267" s="905">
        <v>3</v>
      </c>
      <c r="J267" s="905">
        <v>17</v>
      </c>
      <c r="K267" s="905">
        <v>9</v>
      </c>
      <c r="L267" s="905">
        <v>99</v>
      </c>
      <c r="M267" s="905">
        <v>9</v>
      </c>
      <c r="N267" s="905">
        <v>3</v>
      </c>
      <c r="O267" s="905">
        <v>99999</v>
      </c>
      <c r="P267" s="1007">
        <f t="shared" si="14"/>
        <v>0</v>
      </c>
      <c r="Q267" s="234">
        <f>CVE!$D$32</f>
        <v>0</v>
      </c>
    </row>
    <row r="268" spans="1:17" ht="15.75">
      <c r="A268" s="905" t="s">
        <v>770</v>
      </c>
      <c r="B268" s="905" t="s">
        <v>120</v>
      </c>
      <c r="C268" s="905" t="str">
        <f>Energia!$B$20</f>
        <v>Angra</v>
      </c>
      <c r="D268" s="905">
        <v>1</v>
      </c>
      <c r="E268" s="905">
        <v>1</v>
      </c>
      <c r="F268" s="905">
        <v>8</v>
      </c>
      <c r="G268" s="905">
        <v>999999</v>
      </c>
      <c r="H268" s="905">
        <v>999</v>
      </c>
      <c r="I268" s="905">
        <v>2</v>
      </c>
      <c r="J268" s="905">
        <v>999</v>
      </c>
      <c r="K268" s="905">
        <v>9</v>
      </c>
      <c r="L268" s="905">
        <v>99</v>
      </c>
      <c r="M268" s="905">
        <v>9</v>
      </c>
      <c r="N268" s="905">
        <v>2</v>
      </c>
      <c r="O268" s="905">
        <v>99999</v>
      </c>
      <c r="P268" s="1007">
        <f t="shared" ca="1" si="14"/>
        <v>0</v>
      </c>
      <c r="Q268" s="234">
        <f ca="1">Energia!$C$20</f>
        <v>0</v>
      </c>
    </row>
    <row r="269" spans="1:17" ht="15.75">
      <c r="A269" s="905" t="s">
        <v>770</v>
      </c>
      <c r="B269" s="905" t="s">
        <v>120</v>
      </c>
      <c r="C269" s="905" t="str">
        <f>Energia!B20</f>
        <v>Angra</v>
      </c>
      <c r="D269" s="905">
        <v>1</v>
      </c>
      <c r="E269" s="905">
        <v>1</v>
      </c>
      <c r="F269" s="905">
        <v>8</v>
      </c>
      <c r="G269" s="905">
        <v>999999</v>
      </c>
      <c r="H269" s="905">
        <v>999</v>
      </c>
      <c r="I269" s="905">
        <v>2</v>
      </c>
      <c r="J269" s="905">
        <v>999</v>
      </c>
      <c r="K269" s="905">
        <v>9</v>
      </c>
      <c r="L269" s="905">
        <v>99</v>
      </c>
      <c r="M269" s="905">
        <v>9</v>
      </c>
      <c r="N269" s="905">
        <v>3</v>
      </c>
      <c r="O269" s="905">
        <v>99999</v>
      </c>
      <c r="P269" s="1007">
        <f t="shared" ca="1" si="14"/>
        <v>0</v>
      </c>
      <c r="Q269" s="234">
        <f ca="1">Energia!$F$20</f>
        <v>0</v>
      </c>
    </row>
    <row r="270" spans="1:17" ht="15.75">
      <c r="A270" s="905" t="s">
        <v>770</v>
      </c>
      <c r="B270" s="905" t="s">
        <v>120</v>
      </c>
      <c r="C270" s="905" t="str">
        <f>Energia!$B$21</f>
        <v>CCGF</v>
      </c>
      <c r="D270" s="905">
        <v>1</v>
      </c>
      <c r="E270" s="905">
        <v>1</v>
      </c>
      <c r="F270" s="905">
        <v>17</v>
      </c>
      <c r="G270" s="905">
        <v>999999</v>
      </c>
      <c r="H270" s="905">
        <v>999</v>
      </c>
      <c r="I270" s="905">
        <v>2</v>
      </c>
      <c r="J270" s="905">
        <v>999</v>
      </c>
      <c r="K270" s="905">
        <v>9</v>
      </c>
      <c r="L270" s="905">
        <v>99</v>
      </c>
      <c r="M270" s="905">
        <v>9</v>
      </c>
      <c r="N270" s="905">
        <v>2</v>
      </c>
      <c r="O270" s="905">
        <v>0</v>
      </c>
      <c r="P270" s="1007">
        <f t="shared" ca="1" si="14"/>
        <v>0</v>
      </c>
      <c r="Q270" s="234">
        <f ca="1">Energia!$C$21</f>
        <v>0</v>
      </c>
    </row>
    <row r="271" spans="1:17" ht="15.75">
      <c r="A271" s="905" t="s">
        <v>770</v>
      </c>
      <c r="B271" s="905" t="s">
        <v>120</v>
      </c>
      <c r="C271" s="905" t="str">
        <f>Energia!$B$21</f>
        <v>CCGF</v>
      </c>
      <c r="D271" s="905">
        <v>1</v>
      </c>
      <c r="E271" s="905">
        <v>1</v>
      </c>
      <c r="F271" s="905">
        <v>17</v>
      </c>
      <c r="G271" s="905">
        <v>999999</v>
      </c>
      <c r="H271" s="905">
        <v>999</v>
      </c>
      <c r="I271" s="905">
        <v>2</v>
      </c>
      <c r="J271" s="905">
        <v>999</v>
      </c>
      <c r="K271" s="905">
        <v>9</v>
      </c>
      <c r="L271" s="905">
        <v>99</v>
      </c>
      <c r="M271" s="905">
        <v>9</v>
      </c>
      <c r="N271" s="905">
        <v>3</v>
      </c>
      <c r="O271" s="905">
        <v>0</v>
      </c>
      <c r="P271" s="1007">
        <f t="shared" ca="1" si="14"/>
        <v>0</v>
      </c>
      <c r="Q271" s="234">
        <f ca="1">Energia!$F$21</f>
        <v>0</v>
      </c>
    </row>
    <row r="272" spans="1:17" ht="15.75">
      <c r="A272" s="1644" t="s">
        <v>770</v>
      </c>
      <c r="B272" s="1645" t="s">
        <v>72</v>
      </c>
      <c r="C272" s="1645" t="s">
        <v>2193</v>
      </c>
      <c r="D272" s="1645">
        <v>1</v>
      </c>
      <c r="E272" s="1645">
        <v>1</v>
      </c>
      <c r="F272" s="1645">
        <v>999</v>
      </c>
      <c r="G272" s="1645">
        <v>999999</v>
      </c>
      <c r="H272" s="1645">
        <v>999</v>
      </c>
      <c r="I272" s="1645">
        <v>3</v>
      </c>
      <c r="J272" s="1645">
        <v>35</v>
      </c>
      <c r="K272" s="1645">
        <v>9</v>
      </c>
      <c r="L272" s="1645">
        <v>99</v>
      </c>
      <c r="M272" s="1645">
        <v>9</v>
      </c>
      <c r="N272" s="1645">
        <v>3</v>
      </c>
      <c r="O272" s="1645">
        <v>99999</v>
      </c>
      <c r="P272" s="1007">
        <f>IF(ISNUMBER(Q272),Q272,0)</f>
        <v>0</v>
      </c>
      <c r="Q272" s="994">
        <f>Encargos!L17</f>
        <v>0</v>
      </c>
    </row>
    <row r="273" spans="1:17" ht="15.75">
      <c r="A273" s="1646" t="s">
        <v>770</v>
      </c>
      <c r="B273" s="1646" t="s">
        <v>72</v>
      </c>
      <c r="C273" s="1646" t="s">
        <v>2195</v>
      </c>
      <c r="D273" s="1646">
        <v>2</v>
      </c>
      <c r="E273" s="1646">
        <v>1</v>
      </c>
      <c r="F273" s="1646">
        <v>51</v>
      </c>
      <c r="G273" s="1646">
        <v>999999</v>
      </c>
      <c r="H273" s="1646">
        <v>999</v>
      </c>
      <c r="I273" s="1646">
        <v>3</v>
      </c>
      <c r="J273" s="1646">
        <v>28</v>
      </c>
      <c r="K273" s="1646">
        <v>2</v>
      </c>
      <c r="L273" s="1646">
        <v>99</v>
      </c>
      <c r="M273" s="1646">
        <v>9</v>
      </c>
      <c r="N273" s="1646">
        <v>3</v>
      </c>
      <c r="O273" s="1646">
        <v>99999</v>
      </c>
      <c r="P273" s="1007">
        <f>IF(ISNUMBER(Q273),Q273,0)</f>
        <v>0</v>
      </c>
      <c r="Q273" s="994">
        <f>Encargos!I21</f>
        <v>0</v>
      </c>
    </row>
    <row r="274" spans="1:17" s="906" customFormat="1" ht="14.1" customHeight="1">
      <c r="A274" s="905" t="s">
        <v>1583</v>
      </c>
      <c r="B274" s="905" t="s">
        <v>1583</v>
      </c>
      <c r="C274" s="905" t="s">
        <v>1583</v>
      </c>
      <c r="D274" s="905">
        <v>99</v>
      </c>
      <c r="E274" s="905">
        <v>99</v>
      </c>
      <c r="F274" s="905">
        <v>999</v>
      </c>
      <c r="G274" s="905">
        <v>999999</v>
      </c>
      <c r="H274" s="905">
        <v>999</v>
      </c>
      <c r="I274" s="905">
        <v>99</v>
      </c>
      <c r="J274" s="905">
        <v>999</v>
      </c>
      <c r="K274" s="905">
        <v>9</v>
      </c>
      <c r="L274" s="905">
        <v>99</v>
      </c>
      <c r="M274" s="905">
        <v>9</v>
      </c>
      <c r="N274" s="905">
        <v>99</v>
      </c>
      <c r="O274">
        <v>99999</v>
      </c>
      <c r="P274" s="994">
        <f t="shared" si="14"/>
        <v>0</v>
      </c>
      <c r="Q274" s="994"/>
    </row>
    <row r="275" spans="1:17" s="906" customFormat="1" ht="14.1" customHeight="1">
      <c r="A275" s="905" t="s">
        <v>1583</v>
      </c>
      <c r="B275" s="905" t="s">
        <v>1583</v>
      </c>
      <c r="C275" s="905" t="s">
        <v>1583</v>
      </c>
      <c r="D275" s="905">
        <v>99</v>
      </c>
      <c r="E275" s="905">
        <v>99</v>
      </c>
      <c r="F275" s="905">
        <v>999</v>
      </c>
      <c r="G275" s="905">
        <v>999999</v>
      </c>
      <c r="H275" s="905">
        <v>999</v>
      </c>
      <c r="I275" s="905">
        <v>99</v>
      </c>
      <c r="J275" s="905">
        <v>999</v>
      </c>
      <c r="K275" s="905">
        <v>9</v>
      </c>
      <c r="L275" s="905">
        <v>99</v>
      </c>
      <c r="M275" s="905">
        <v>9</v>
      </c>
      <c r="N275" s="905">
        <v>99</v>
      </c>
      <c r="O275">
        <v>99999</v>
      </c>
      <c r="P275" s="994">
        <f t="shared" si="14"/>
        <v>0</v>
      </c>
      <c r="Q275" s="994"/>
    </row>
    <row r="276" spans="1:17" ht="15.75">
      <c r="A276" s="905"/>
      <c r="B276" s="905"/>
      <c r="C276" s="905"/>
      <c r="D276" s="905"/>
      <c r="E276" s="905"/>
      <c r="F276" s="905"/>
      <c r="G276" s="905"/>
      <c r="H276" s="905"/>
      <c r="I276" s="905"/>
      <c r="J276" s="905"/>
      <c r="K276" s="905"/>
      <c r="L276" s="905"/>
      <c r="M276" s="905"/>
      <c r="N276" s="905"/>
      <c r="O276"/>
      <c r="P276" s="994"/>
      <c r="Q276" s="994"/>
    </row>
    <row r="277" spans="1:17" ht="15.75">
      <c r="A277" s="905"/>
      <c r="B277" s="905"/>
      <c r="C277" s="905"/>
      <c r="D277" s="905"/>
      <c r="E277" s="905"/>
      <c r="F277" s="905"/>
      <c r="G277" s="905"/>
      <c r="H277" s="905"/>
      <c r="I277" s="905"/>
      <c r="J277" s="905"/>
      <c r="K277" s="905"/>
      <c r="L277" s="905"/>
      <c r="M277" s="905"/>
      <c r="N277" s="905"/>
      <c r="O277"/>
      <c r="P277" s="994"/>
      <c r="Q277" s="994"/>
    </row>
    <row r="278" spans="1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ref="P278:P333" si="16">IF(ISNUMBER(Q278),Q278,0)</f>
        <v>0</v>
      </c>
      <c r="Q278" s="234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6"/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ref="P334:P397" si="17">IF(ISNUMBER(Q334),Q334,0)</f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ref="P398:P461" si="18">IF(ISNUMBER(Q398),Q398,0)</f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ref="P462:P525" si="19">IF(ISNUMBER(Q462),Q462,0)</f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ref="P526:P589" si="20">IF(ISNUMBER(Q526),Q526,0)</f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ref="P590:P653" si="21">IF(ISNUMBER(Q590),Q590,0)</f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ref="P654:P717" si="22">IF(ISNUMBER(Q654),Q654,0)</f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ref="P718:P781" si="23">IF(ISNUMBER(Q718),Q718,0)</f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ref="P782:P845" si="24">IF(ISNUMBER(Q782),Q782,0)</f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ref="P846:P909" si="25">IF(ISNUMBER(Q846),Q846,0)</f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ref="P910:P973" si="26">IF(ISNUMBER(Q910),Q910,0)</f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ref="P974:P1037" si="27">IF(ISNUMBER(Q974),Q974,0)</f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ref="P1038:P1101" si="28">IF(ISNUMBER(Q1038),Q1038,0)</f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ref="P1102:P1165" si="29">IF(ISNUMBER(Q1102),Q1102,0)</f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ref="P1166:P1229" si="30">IF(ISNUMBER(Q1166),Q1166,0)</f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ref="P1230:P1293" si="31">IF(ISNUMBER(Q1230),Q1230,0)</f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ref="P1294:P1357" si="32">IF(ISNUMBER(Q1294),Q1294,0)</f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ref="P1358:P1421" si="33">IF(ISNUMBER(Q1358),Q1358,0)</f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ref="P1422:P1485" si="34">IF(ISNUMBER(Q1422),Q1422,0)</f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ref="P1486:P1549" si="35">IF(ISNUMBER(Q1486),Q1486,0)</f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ref="P1550:P1613" si="36">IF(ISNUMBER(Q1550),Q1550,0)</f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ref="P1614:P1677" si="37">IF(ISNUMBER(Q1614),Q1614,0)</f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ref="P1678:P1732" si="38">IF(ISNUMBER(Q1678),Q1678,0)</f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48"/>
    </row>
    <row r="1727" spans="1:17">
      <c r="A1727" s="9" t="s">
        <v>770</v>
      </c>
      <c r="B1727" t="s">
        <v>791</v>
      </c>
      <c r="C1727" s="9" t="s">
        <v>1635</v>
      </c>
      <c r="D1727">
        <v>1</v>
      </c>
      <c r="E1727">
        <v>1</v>
      </c>
      <c r="F1727">
        <v>35</v>
      </c>
      <c r="G1727">
        <v>999</v>
      </c>
      <c r="H1727">
        <v>999</v>
      </c>
      <c r="I1727">
        <v>1</v>
      </c>
      <c r="J1727">
        <v>1</v>
      </c>
      <c r="K1727">
        <v>9</v>
      </c>
      <c r="L1727">
        <v>99</v>
      </c>
      <c r="M1727">
        <v>1</v>
      </c>
      <c r="N1727">
        <v>3</v>
      </c>
      <c r="O1727" s="14">
        <v>99999</v>
      </c>
      <c r="P1727" s="234">
        <f t="shared" si="38"/>
        <v>0</v>
      </c>
      <c r="Q1727" s="234">
        <f>'Rede Básica + Ajuste'!D9</f>
        <v>0</v>
      </c>
    </row>
    <row r="1728" spans="1:17">
      <c r="A1728" s="9" t="s">
        <v>770</v>
      </c>
      <c r="B1728" t="s">
        <v>791</v>
      </c>
      <c r="C1728" s="9" t="s">
        <v>1636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3</v>
      </c>
      <c r="N1728">
        <v>3</v>
      </c>
      <c r="O1728" s="14">
        <v>99999</v>
      </c>
      <c r="P1728" s="234">
        <f t="shared" si="38"/>
        <v>0</v>
      </c>
      <c r="Q1728" s="234">
        <f>'Rede Básica + Ajuste'!D10</f>
        <v>0</v>
      </c>
    </row>
    <row r="1729" spans="1:17">
      <c r="A1729" s="9" t="s">
        <v>770</v>
      </c>
      <c r="B1729" t="s">
        <v>791</v>
      </c>
      <c r="C1729" s="9" t="s">
        <v>1637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2</v>
      </c>
      <c r="K1729">
        <v>9</v>
      </c>
      <c r="L1729">
        <v>99</v>
      </c>
      <c r="M1729">
        <v>1</v>
      </c>
      <c r="N1729">
        <v>3</v>
      </c>
      <c r="O1729" s="14">
        <v>99999</v>
      </c>
      <c r="P1729" s="234">
        <f t="shared" si="38"/>
        <v>0</v>
      </c>
      <c r="Q1729" s="234">
        <f>'Rede Básica + Ajuste'!E9</f>
        <v>0</v>
      </c>
    </row>
    <row r="1730" spans="1:17">
      <c r="A1730" s="9" t="s">
        <v>770</v>
      </c>
      <c r="B1730" t="s">
        <v>791</v>
      </c>
      <c r="C1730" s="9" t="s">
        <v>1638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3</v>
      </c>
      <c r="N1730">
        <v>3</v>
      </c>
      <c r="O1730" s="14">
        <v>99999</v>
      </c>
      <c r="P1730" s="234">
        <f t="shared" si="38"/>
        <v>0</v>
      </c>
      <c r="Q1730" s="234">
        <f>'Rede Básica + Ajuste'!E10</f>
        <v>0</v>
      </c>
    </row>
    <row r="1731" spans="1:17">
      <c r="A1731" s="9" t="s">
        <v>770</v>
      </c>
      <c r="B1731" t="s">
        <v>791</v>
      </c>
      <c r="C1731" s="9" t="s">
        <v>1639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1</v>
      </c>
      <c r="K1731">
        <v>9</v>
      </c>
      <c r="L1731">
        <v>99</v>
      </c>
      <c r="M1731">
        <v>1</v>
      </c>
      <c r="N1731">
        <v>1</v>
      </c>
      <c r="O1731" s="14">
        <v>99999</v>
      </c>
      <c r="P1731" s="234">
        <f t="shared" si="38"/>
        <v>0</v>
      </c>
      <c r="Q1731" s="234">
        <f>'Rede Básica + Ajuste'!C9</f>
        <v>0</v>
      </c>
    </row>
    <row r="1732" spans="1:17">
      <c r="A1732" s="9" t="s">
        <v>770</v>
      </c>
      <c r="B1732" t="s">
        <v>791</v>
      </c>
      <c r="C1732" s="9" t="s">
        <v>1640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3</v>
      </c>
      <c r="N1732">
        <v>1</v>
      </c>
      <c r="O1732" s="14">
        <v>99999</v>
      </c>
      <c r="P1732" s="234">
        <f t="shared" si="38"/>
        <v>0</v>
      </c>
      <c r="Q1732" s="234">
        <f>'Rede Básica + Ajuste'!C10</f>
        <v>0</v>
      </c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49" t="s">
        <v>1641</v>
      </c>
      <c r="B1" s="506">
        <f>YEAR(SAS_RA0_DataInicio)*100+MONTH(SAS_RA0_DataInicio)</f>
        <v>202107</v>
      </c>
      <c r="D1" s="1549" t="s">
        <v>1642</v>
      </c>
      <c r="E1" s="1549" t="s">
        <v>1643</v>
      </c>
      <c r="F1" s="1549" t="s">
        <v>1644</v>
      </c>
    </row>
    <row r="2" spans="1:138" ht="15.75">
      <c r="A2" s="1549" t="s">
        <v>1645</v>
      </c>
      <c r="B2" s="506">
        <f>YEAR(SAS_RA0_DataFim)*100+MONTH(SAS_RA0_DataFim)</f>
        <v>202206</v>
      </c>
      <c r="D2" s="1550" t="str">
        <f>UPPER(VLOOKUP(LnkTXTSigla,Informacoes[],9,FALSE))</f>
        <v>RGE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51" t="s">
        <v>229</v>
      </c>
      <c r="B3" s="508">
        <f>YEAR(SAS_RA0_DataFim)*100+MONTH(SAS_RA0_DataFim)-MAX(C:C)+1</f>
        <v>202207</v>
      </c>
      <c r="D3" s="1550" t="str">
        <f>UPPER(VLOOKUP(LnkTXTSigla,Informacoes[],11,FALSE))</f>
        <v>NOVA PALMA</v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1646</v>
      </c>
      <c r="B4" s="523" t="s">
        <v>1647</v>
      </c>
    </row>
    <row r="6" spans="1:138" ht="15.75">
      <c r="A6" s="802"/>
      <c r="B6" s="803"/>
      <c r="C6" s="803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52" t="s">
        <v>1648</v>
      </c>
      <c r="B1" s="1553">
        <v>0</v>
      </c>
    </row>
    <row r="2" spans="1:2">
      <c r="A2" s="1552" t="s">
        <v>1649</v>
      </c>
      <c r="B2" s="1553">
        <v>0</v>
      </c>
    </row>
    <row r="3" spans="1:2">
      <c r="A3" s="1552" t="s">
        <v>1650</v>
      </c>
      <c r="B3" s="1553">
        <v>0</v>
      </c>
    </row>
    <row r="4" spans="1:2">
      <c r="A4" s="1552" t="s">
        <v>1651</v>
      </c>
      <c r="B4" s="1553">
        <v>0</v>
      </c>
    </row>
    <row r="5" spans="1:2">
      <c r="A5" s="1552" t="s">
        <v>1652</v>
      </c>
      <c r="B5" s="1553">
        <v>0</v>
      </c>
    </row>
    <row r="6" spans="1:2">
      <c r="A6" s="1552" t="s">
        <v>1653</v>
      </c>
      <c r="B6" s="1553">
        <v>0</v>
      </c>
    </row>
    <row r="7" spans="1:2">
      <c r="A7" s="1552" t="s">
        <v>1654</v>
      </c>
      <c r="B7" s="1553">
        <v>0</v>
      </c>
    </row>
    <row r="8" spans="1:2">
      <c r="A8" s="1552" t="s">
        <v>1655</v>
      </c>
      <c r="B8" s="1553">
        <v>0</v>
      </c>
    </row>
    <row r="9" spans="1:2">
      <c r="A9" s="1552" t="s">
        <v>1656</v>
      </c>
      <c r="B9" s="1553">
        <v>0.45</v>
      </c>
    </row>
    <row r="10" spans="1:2">
      <c r="A10" s="1552" t="s">
        <v>1657</v>
      </c>
      <c r="B10" s="1553">
        <v>0.4</v>
      </c>
    </row>
    <row r="11" spans="1:2">
      <c r="A11" s="1552" t="s">
        <v>1658</v>
      </c>
      <c r="B11" s="1552">
        <v>0.65</v>
      </c>
    </row>
    <row r="12" spans="1:2">
      <c r="A12" s="1552" t="s">
        <v>1659</v>
      </c>
      <c r="B12" s="1552">
        <v>0.4</v>
      </c>
    </row>
    <row r="13" spans="1:2">
      <c r="A13" s="1552" t="s">
        <v>1660</v>
      </c>
      <c r="B13" s="1552">
        <v>0.1</v>
      </c>
    </row>
    <row r="14" spans="1:2">
      <c r="A14" s="1552" t="s">
        <v>1661</v>
      </c>
      <c r="B14" s="1552">
        <v>0</v>
      </c>
    </row>
    <row r="15" spans="1:2">
      <c r="A15" s="1552" t="s">
        <v>1662</v>
      </c>
      <c r="B15" s="1552">
        <v>0.3</v>
      </c>
    </row>
    <row r="16" spans="1:2">
      <c r="A16" s="1552" t="s">
        <v>1663</v>
      </c>
      <c r="B16" s="1552">
        <v>0.3</v>
      </c>
    </row>
    <row r="17" spans="1:13">
      <c r="A17" s="1552" t="s">
        <v>1664</v>
      </c>
      <c r="B17" s="1552">
        <v>0.4</v>
      </c>
    </row>
    <row r="20" spans="1:13" ht="15">
      <c r="D20" s="1554" t="s">
        <v>1485</v>
      </c>
      <c r="E20" s="1554" t="s">
        <v>1035</v>
      </c>
      <c r="F20" s="1554" t="s">
        <v>1665</v>
      </c>
      <c r="G20" s="1554" t="s">
        <v>1666</v>
      </c>
      <c r="H20" s="1554" t="s">
        <v>1667</v>
      </c>
      <c r="I20" s="1554" t="s">
        <v>1668</v>
      </c>
      <c r="J20" s="1554" t="s">
        <v>1669</v>
      </c>
      <c r="K20" s="1554" t="s">
        <v>1670</v>
      </c>
      <c r="L20" s="1554" t="s">
        <v>1671</v>
      </c>
      <c r="M20" s="1554" t="s">
        <v>1119</v>
      </c>
    </row>
    <row r="21" spans="1:13" ht="30" hidden="1">
      <c r="D21" s="1555">
        <v>26</v>
      </c>
      <c r="E21" s="1556" t="s">
        <v>1672</v>
      </c>
      <c r="F21" s="1556" t="s">
        <v>137</v>
      </c>
      <c r="G21" s="1557">
        <v>41243</v>
      </c>
      <c r="H21" s="1558">
        <v>41243</v>
      </c>
      <c r="I21" s="1556" t="s">
        <v>1038</v>
      </c>
      <c r="J21" s="1556" t="s">
        <v>138</v>
      </c>
      <c r="K21" s="1555">
        <v>1663</v>
      </c>
      <c r="L21" s="1556" t="s">
        <v>1673</v>
      </c>
      <c r="M21" s="1556" t="s">
        <v>1674</v>
      </c>
    </row>
    <row r="22" spans="1:13" ht="30" hidden="1">
      <c r="D22" s="1555">
        <v>28</v>
      </c>
      <c r="E22" s="1556" t="s">
        <v>1675</v>
      </c>
      <c r="F22" s="1556" t="s">
        <v>1676</v>
      </c>
      <c r="G22" s="1557">
        <v>41214</v>
      </c>
      <c r="H22" s="483"/>
      <c r="I22" s="1556" t="s">
        <v>1038</v>
      </c>
      <c r="J22" s="1556" t="s">
        <v>138</v>
      </c>
      <c r="K22" s="1555">
        <v>1665</v>
      </c>
      <c r="L22" s="1556" t="s">
        <v>138</v>
      </c>
      <c r="M22" s="1556" t="s">
        <v>1674</v>
      </c>
    </row>
    <row r="23" spans="1:13" ht="30" hidden="1">
      <c r="D23" s="1555">
        <v>31</v>
      </c>
      <c r="E23" s="1556" t="s">
        <v>1677</v>
      </c>
      <c r="F23" s="1556" t="s">
        <v>139</v>
      </c>
      <c r="G23" s="1557">
        <v>41243</v>
      </c>
      <c r="H23" s="483"/>
      <c r="I23" s="1556" t="s">
        <v>1038</v>
      </c>
      <c r="J23" s="1556" t="s">
        <v>138</v>
      </c>
      <c r="K23" s="1555">
        <v>1666</v>
      </c>
      <c r="L23" s="1556" t="s">
        <v>138</v>
      </c>
      <c r="M23" s="1556" t="s">
        <v>1674</v>
      </c>
    </row>
    <row r="24" spans="1:13" ht="30" hidden="1">
      <c r="D24" s="1555">
        <v>32</v>
      </c>
      <c r="E24" s="1556" t="s">
        <v>1678</v>
      </c>
      <c r="F24" s="1556" t="s">
        <v>140</v>
      </c>
      <c r="G24" s="1557">
        <v>41094</v>
      </c>
      <c r="H24" s="483"/>
      <c r="I24" s="1556" t="s">
        <v>1038</v>
      </c>
      <c r="J24" s="1556" t="s">
        <v>138</v>
      </c>
      <c r="K24" s="1555">
        <v>1668</v>
      </c>
      <c r="L24" s="1556" t="s">
        <v>1679</v>
      </c>
      <c r="M24" s="1556" t="s">
        <v>1674</v>
      </c>
    </row>
    <row r="25" spans="1:13" ht="30" hidden="1">
      <c r="D25" s="1555">
        <v>37</v>
      </c>
      <c r="E25" s="1556" t="s">
        <v>1680</v>
      </c>
      <c r="F25" s="1556" t="s">
        <v>141</v>
      </c>
      <c r="G25" s="1557">
        <v>41149</v>
      </c>
      <c r="H25" s="483"/>
      <c r="I25" s="1556" t="s">
        <v>1038</v>
      </c>
      <c r="J25" s="1556" t="s">
        <v>138</v>
      </c>
      <c r="K25" s="1555">
        <v>1669</v>
      </c>
      <c r="L25" s="1556" t="s">
        <v>1681</v>
      </c>
      <c r="M25" s="1556" t="s">
        <v>1674</v>
      </c>
    </row>
    <row r="26" spans="1:13" ht="30" hidden="1">
      <c r="D26" s="1555">
        <v>38</v>
      </c>
      <c r="E26" s="1556" t="s">
        <v>1682</v>
      </c>
      <c r="F26" s="1556" t="s">
        <v>142</v>
      </c>
      <c r="G26" s="1557">
        <v>41180</v>
      </c>
      <c r="H26" s="1558">
        <v>41149</v>
      </c>
      <c r="I26" s="1556" t="s">
        <v>1038</v>
      </c>
      <c r="J26" s="1556" t="s">
        <v>138</v>
      </c>
      <c r="K26" s="1555">
        <v>1670</v>
      </c>
      <c r="L26" s="1556" t="s">
        <v>1683</v>
      </c>
      <c r="M26" s="1556" t="s">
        <v>1674</v>
      </c>
    </row>
    <row r="27" spans="1:13" ht="30" hidden="1">
      <c r="D27" s="1555">
        <v>39</v>
      </c>
      <c r="E27" s="1556" t="s">
        <v>1684</v>
      </c>
      <c r="F27" s="1556" t="s">
        <v>1685</v>
      </c>
      <c r="G27" s="1557">
        <v>41021</v>
      </c>
      <c r="H27" s="483"/>
      <c r="I27" s="1556" t="s">
        <v>1038</v>
      </c>
      <c r="J27" s="1556" t="s">
        <v>138</v>
      </c>
      <c r="K27" s="1555">
        <v>1671</v>
      </c>
      <c r="L27" s="1556" t="s">
        <v>1686</v>
      </c>
      <c r="M27" s="1556" t="s">
        <v>1674</v>
      </c>
    </row>
    <row r="28" spans="1:13" ht="30" hidden="1">
      <c r="D28" s="1555">
        <v>40</v>
      </c>
      <c r="E28" s="1556" t="s">
        <v>1687</v>
      </c>
      <c r="F28" s="1556" t="s">
        <v>144</v>
      </c>
      <c r="G28" s="1557">
        <v>41021</v>
      </c>
      <c r="H28" s="483"/>
      <c r="I28" s="1556" t="s">
        <v>1038</v>
      </c>
      <c r="J28" s="1556" t="s">
        <v>138</v>
      </c>
      <c r="K28" s="1555">
        <v>1672</v>
      </c>
      <c r="L28" s="1556" t="s">
        <v>1688</v>
      </c>
      <c r="M28" s="1556" t="s">
        <v>1674</v>
      </c>
    </row>
    <row r="29" spans="1:13" ht="30" hidden="1">
      <c r="D29" s="1555">
        <v>43</v>
      </c>
      <c r="E29" s="1556" t="s">
        <v>1689</v>
      </c>
      <c r="F29" s="1556" t="s">
        <v>145</v>
      </c>
      <c r="G29" s="1557">
        <v>41028</v>
      </c>
      <c r="H29" s="483"/>
      <c r="I29" s="1556" t="s">
        <v>1038</v>
      </c>
      <c r="J29" s="1556" t="s">
        <v>138</v>
      </c>
      <c r="K29" s="1555">
        <v>1674</v>
      </c>
      <c r="L29" s="1556" t="s">
        <v>1690</v>
      </c>
      <c r="M29" s="1556" t="s">
        <v>1674</v>
      </c>
    </row>
    <row r="30" spans="1:13" ht="30" hidden="1">
      <c r="D30" s="1555">
        <v>44</v>
      </c>
      <c r="E30" s="1556" t="s">
        <v>1691</v>
      </c>
      <c r="F30" s="1556" t="s">
        <v>146</v>
      </c>
      <c r="G30" s="1557">
        <v>41180</v>
      </c>
      <c r="H30" s="483"/>
      <c r="I30" s="1556" t="s">
        <v>1038</v>
      </c>
      <c r="J30" s="1556" t="s">
        <v>138</v>
      </c>
      <c r="K30" s="1555">
        <v>1675</v>
      </c>
      <c r="L30" s="1556" t="s">
        <v>1692</v>
      </c>
      <c r="M30" s="1556" t="s">
        <v>1674</v>
      </c>
    </row>
    <row r="31" spans="1:13" ht="30" hidden="1">
      <c r="D31" s="1555">
        <v>46</v>
      </c>
      <c r="E31" s="1556" t="s">
        <v>1693</v>
      </c>
      <c r="F31" s="1556" t="s">
        <v>147</v>
      </c>
      <c r="G31" s="1557">
        <v>41051</v>
      </c>
      <c r="H31" s="1558">
        <v>41257</v>
      </c>
      <c r="I31" s="1556" t="s">
        <v>1038</v>
      </c>
      <c r="J31" s="1556" t="s">
        <v>1694</v>
      </c>
      <c r="K31" s="1555">
        <v>1676</v>
      </c>
      <c r="L31" s="1556" t="s">
        <v>1695</v>
      </c>
      <c r="M31" s="1556" t="s">
        <v>1674</v>
      </c>
    </row>
    <row r="32" spans="1:13" ht="30" hidden="1">
      <c r="D32" s="1555">
        <v>47</v>
      </c>
      <c r="E32" s="1556" t="s">
        <v>1696</v>
      </c>
      <c r="F32" s="1556" t="s">
        <v>148</v>
      </c>
      <c r="G32" s="1557">
        <v>41021</v>
      </c>
      <c r="H32" s="483"/>
      <c r="I32" s="1556" t="s">
        <v>1038</v>
      </c>
      <c r="J32" s="1556" t="s">
        <v>138</v>
      </c>
      <c r="K32" s="1555">
        <v>1677</v>
      </c>
      <c r="L32" s="1556" t="s">
        <v>1697</v>
      </c>
      <c r="M32" s="1556" t="s">
        <v>1674</v>
      </c>
    </row>
    <row r="33" spans="4:13" ht="15" hidden="1">
      <c r="D33" s="1555">
        <v>51</v>
      </c>
      <c r="E33" s="1556" t="s">
        <v>1698</v>
      </c>
      <c r="F33" s="1556" t="s">
        <v>149</v>
      </c>
      <c r="G33" s="1557">
        <v>41235</v>
      </c>
      <c r="H33" s="1558">
        <v>41210</v>
      </c>
      <c r="I33" s="1556" t="s">
        <v>1038</v>
      </c>
      <c r="J33" s="1556" t="s">
        <v>1694</v>
      </c>
      <c r="K33" s="1555">
        <v>1682</v>
      </c>
      <c r="L33" s="1556" t="s">
        <v>1699</v>
      </c>
      <c r="M33" s="1556" t="s">
        <v>1674</v>
      </c>
    </row>
    <row r="34" spans="4:13" ht="15" hidden="1">
      <c r="D34" s="1555">
        <v>56</v>
      </c>
      <c r="E34" s="1556" t="s">
        <v>1700</v>
      </c>
      <c r="F34" s="1556" t="s">
        <v>1701</v>
      </c>
      <c r="G34" s="483"/>
      <c r="H34" s="483"/>
      <c r="I34" s="1556" t="s">
        <v>1038</v>
      </c>
      <c r="J34" s="1556" t="s">
        <v>138</v>
      </c>
      <c r="K34" s="1555">
        <v>1683</v>
      </c>
      <c r="L34" s="1556" t="s">
        <v>138</v>
      </c>
      <c r="M34" s="1556" t="s">
        <v>1674</v>
      </c>
    </row>
    <row r="35" spans="4:13" ht="30" hidden="1">
      <c r="D35" s="1555">
        <v>63</v>
      </c>
      <c r="E35" s="1556" t="s">
        <v>1702</v>
      </c>
      <c r="F35" s="1556" t="s">
        <v>150</v>
      </c>
      <c r="G35" s="1557">
        <v>41007</v>
      </c>
      <c r="H35" s="483"/>
      <c r="I35" s="1556" t="s">
        <v>1038</v>
      </c>
      <c r="J35" s="1556" t="s">
        <v>138</v>
      </c>
      <c r="K35" s="1555">
        <v>1688</v>
      </c>
      <c r="L35" s="1556" t="s">
        <v>1703</v>
      </c>
      <c r="M35" s="1556" t="s">
        <v>1674</v>
      </c>
    </row>
    <row r="36" spans="4:13" ht="30" hidden="1">
      <c r="D36" s="1555">
        <v>69</v>
      </c>
      <c r="E36" s="1556" t="s">
        <v>1704</v>
      </c>
      <c r="F36" s="1556" t="s">
        <v>1705</v>
      </c>
      <c r="G36" s="1557">
        <v>40990</v>
      </c>
      <c r="H36" s="1558">
        <v>42038</v>
      </c>
      <c r="I36" s="1556" t="s">
        <v>1038</v>
      </c>
      <c r="J36" s="1556" t="s">
        <v>138</v>
      </c>
      <c r="K36" s="1555">
        <v>1692</v>
      </c>
      <c r="L36" s="1556" t="s">
        <v>1706</v>
      </c>
      <c r="M36" s="1556" t="s">
        <v>1674</v>
      </c>
    </row>
    <row r="37" spans="4:13" ht="30" hidden="1">
      <c r="D37" s="1555">
        <v>70</v>
      </c>
      <c r="E37" s="1556" t="s">
        <v>1707</v>
      </c>
      <c r="F37" s="1556" t="s">
        <v>1708</v>
      </c>
      <c r="G37" s="1557">
        <v>40990</v>
      </c>
      <c r="H37" s="1558">
        <v>42038</v>
      </c>
      <c r="I37" s="1556" t="s">
        <v>1038</v>
      </c>
      <c r="J37" s="1556" t="s">
        <v>138</v>
      </c>
      <c r="K37" s="1555">
        <v>1693</v>
      </c>
      <c r="L37" s="1556" t="s">
        <v>1709</v>
      </c>
      <c r="M37" s="1556" t="s">
        <v>1674</v>
      </c>
    </row>
    <row r="38" spans="4:13" ht="30" hidden="1">
      <c r="D38" s="1555">
        <v>71</v>
      </c>
      <c r="E38" s="1556" t="s">
        <v>1710</v>
      </c>
      <c r="F38" s="1556" t="s">
        <v>1711</v>
      </c>
      <c r="G38" s="1557">
        <v>40990</v>
      </c>
      <c r="H38" s="1558">
        <v>42038</v>
      </c>
      <c r="I38" s="1556" t="s">
        <v>1038</v>
      </c>
      <c r="J38" s="1556" t="s">
        <v>138</v>
      </c>
      <c r="K38" s="1555">
        <v>1694</v>
      </c>
      <c r="L38" s="1556" t="s">
        <v>1712</v>
      </c>
      <c r="M38" s="1556" t="s">
        <v>1674</v>
      </c>
    </row>
    <row r="39" spans="4:13" ht="30" hidden="1">
      <c r="D39" s="1555">
        <v>72</v>
      </c>
      <c r="E39" s="1556" t="s">
        <v>1713</v>
      </c>
      <c r="F39" s="1556" t="s">
        <v>204</v>
      </c>
      <c r="G39" s="1557">
        <v>40990</v>
      </c>
      <c r="H39" s="1558">
        <v>42038</v>
      </c>
      <c r="I39" s="1556" t="s">
        <v>1038</v>
      </c>
      <c r="J39" s="1556" t="s">
        <v>138</v>
      </c>
      <c r="K39" s="1555">
        <v>1695</v>
      </c>
      <c r="L39" s="1556" t="s">
        <v>1714</v>
      </c>
      <c r="M39" s="1556" t="s">
        <v>1674</v>
      </c>
    </row>
    <row r="40" spans="4:13" ht="30" hidden="1">
      <c r="D40" s="1555">
        <v>73</v>
      </c>
      <c r="E40" s="1556" t="s">
        <v>1715</v>
      </c>
      <c r="F40" s="1556" t="s">
        <v>1716</v>
      </c>
      <c r="G40" s="1557">
        <v>40990</v>
      </c>
      <c r="H40" s="1558">
        <v>42038</v>
      </c>
      <c r="I40" s="1556" t="s">
        <v>1038</v>
      </c>
      <c r="J40" s="1556" t="s">
        <v>1694</v>
      </c>
      <c r="K40" s="1555">
        <v>1696</v>
      </c>
      <c r="L40" s="1556" t="s">
        <v>1717</v>
      </c>
      <c r="M40" s="1556" t="s">
        <v>1674</v>
      </c>
    </row>
    <row r="41" spans="4:13" ht="30" hidden="1">
      <c r="D41" s="1555">
        <v>75</v>
      </c>
      <c r="E41" s="1556" t="s">
        <v>1718</v>
      </c>
      <c r="F41" s="1556" t="s">
        <v>1719</v>
      </c>
      <c r="G41" s="1557">
        <v>41039</v>
      </c>
      <c r="H41" s="483"/>
      <c r="I41" s="1556" t="s">
        <v>1038</v>
      </c>
      <c r="J41" s="1556" t="s">
        <v>138</v>
      </c>
      <c r="K41" s="1555">
        <v>1697</v>
      </c>
      <c r="L41" s="1556" t="s">
        <v>1720</v>
      </c>
      <c r="M41" s="1556" t="s">
        <v>1674</v>
      </c>
    </row>
    <row r="42" spans="4:13" ht="30" hidden="1">
      <c r="D42" s="1555">
        <v>82</v>
      </c>
      <c r="E42" s="1556" t="s">
        <v>1721</v>
      </c>
      <c r="F42" s="1556" t="s">
        <v>151</v>
      </c>
      <c r="G42" s="1557">
        <v>41089</v>
      </c>
      <c r="H42" s="1558">
        <v>41084</v>
      </c>
      <c r="I42" s="1556" t="s">
        <v>1038</v>
      </c>
      <c r="J42" s="1556" t="s">
        <v>1694</v>
      </c>
      <c r="K42" s="1555">
        <v>1701</v>
      </c>
      <c r="L42" s="1556" t="s">
        <v>1722</v>
      </c>
      <c r="M42" s="1556" t="s">
        <v>1674</v>
      </c>
    </row>
    <row r="43" spans="4:13" ht="30" hidden="1">
      <c r="D43" s="1555">
        <v>83</v>
      </c>
      <c r="E43" s="1556" t="s">
        <v>1723</v>
      </c>
      <c r="F43" s="1556" t="s">
        <v>207</v>
      </c>
      <c r="G43" s="1557">
        <v>41147</v>
      </c>
      <c r="H43" s="483"/>
      <c r="I43" s="1556" t="s">
        <v>1038</v>
      </c>
      <c r="J43" s="1556" t="s">
        <v>1694</v>
      </c>
      <c r="K43" s="1555">
        <v>1702</v>
      </c>
      <c r="L43" s="1556" t="s">
        <v>1724</v>
      </c>
      <c r="M43" s="1556" t="s">
        <v>1674</v>
      </c>
    </row>
    <row r="44" spans="4:13" ht="30" hidden="1">
      <c r="D44" s="1555">
        <v>84</v>
      </c>
      <c r="E44" s="1556" t="s">
        <v>1725</v>
      </c>
      <c r="F44" s="1556" t="s">
        <v>1726</v>
      </c>
      <c r="G44" s="1557">
        <v>41089</v>
      </c>
      <c r="H44" s="483"/>
      <c r="I44" s="1556" t="s">
        <v>1038</v>
      </c>
      <c r="J44" s="1556" t="s">
        <v>1694</v>
      </c>
      <c r="K44" s="1555">
        <v>1703</v>
      </c>
      <c r="L44" s="1556" t="s">
        <v>1727</v>
      </c>
      <c r="M44" s="1556" t="s">
        <v>1674</v>
      </c>
    </row>
    <row r="45" spans="4:13" ht="30" hidden="1">
      <c r="D45" s="1555">
        <v>86</v>
      </c>
      <c r="E45" s="1556" t="s">
        <v>1728</v>
      </c>
      <c r="F45" s="1556" t="s">
        <v>152</v>
      </c>
      <c r="G45" s="1557">
        <v>41150</v>
      </c>
      <c r="H45" s="1558">
        <v>41865</v>
      </c>
      <c r="I45" s="1556" t="s">
        <v>1038</v>
      </c>
      <c r="J45" s="1556" t="s">
        <v>1694</v>
      </c>
      <c r="K45" s="1555">
        <v>1704</v>
      </c>
      <c r="L45" s="1556" t="s">
        <v>1729</v>
      </c>
      <c r="M45" s="1556" t="s">
        <v>1674</v>
      </c>
    </row>
    <row r="46" spans="4:13" ht="30" hidden="1">
      <c r="D46" s="1555">
        <v>87</v>
      </c>
      <c r="E46" s="1556" t="s">
        <v>1730</v>
      </c>
      <c r="F46" s="1556" t="s">
        <v>153</v>
      </c>
      <c r="G46" s="1557">
        <v>41150</v>
      </c>
      <c r="H46" s="1558">
        <v>41128</v>
      </c>
      <c r="I46" s="1556" t="s">
        <v>1038</v>
      </c>
      <c r="J46" s="1556" t="s">
        <v>1694</v>
      </c>
      <c r="K46" s="1555">
        <v>1705</v>
      </c>
      <c r="L46" s="1556" t="s">
        <v>1731</v>
      </c>
      <c r="M46" s="1556" t="s">
        <v>1674</v>
      </c>
    </row>
    <row r="47" spans="4:13" ht="30" hidden="1">
      <c r="D47" s="1555">
        <v>88</v>
      </c>
      <c r="E47" s="1556" t="s">
        <v>1732</v>
      </c>
      <c r="F47" s="1556" t="s">
        <v>1733</v>
      </c>
      <c r="G47" s="1557">
        <v>41150</v>
      </c>
      <c r="H47" s="1558">
        <v>41865</v>
      </c>
      <c r="I47" s="1556" t="s">
        <v>1038</v>
      </c>
      <c r="J47" s="1556" t="s">
        <v>1694</v>
      </c>
      <c r="K47" s="1555">
        <v>1706</v>
      </c>
      <c r="L47" s="1556" t="s">
        <v>1734</v>
      </c>
      <c r="M47" s="1556" t="s">
        <v>1674</v>
      </c>
    </row>
    <row r="48" spans="4:13" ht="15" hidden="1">
      <c r="D48" s="1555">
        <v>95</v>
      </c>
      <c r="E48" s="1556" t="s">
        <v>1735</v>
      </c>
      <c r="F48" s="1556" t="s">
        <v>154</v>
      </c>
      <c r="G48" s="1557">
        <v>41112</v>
      </c>
      <c r="H48" s="1558">
        <v>41089</v>
      </c>
      <c r="I48" s="1556" t="s">
        <v>1038</v>
      </c>
      <c r="J48" s="1556" t="s">
        <v>1694</v>
      </c>
      <c r="K48" s="1555">
        <v>1708</v>
      </c>
      <c r="L48" s="1556" t="s">
        <v>1736</v>
      </c>
      <c r="M48" s="1556" t="s">
        <v>1674</v>
      </c>
    </row>
    <row r="49" spans="4:13" ht="30" hidden="1">
      <c r="D49" s="1555">
        <v>103</v>
      </c>
      <c r="E49" s="1556" t="s">
        <v>1737</v>
      </c>
      <c r="F49" s="1556" t="s">
        <v>155</v>
      </c>
      <c r="G49" s="1557">
        <v>41235</v>
      </c>
      <c r="H49" s="1558">
        <v>41164</v>
      </c>
      <c r="I49" s="1556" t="s">
        <v>1038</v>
      </c>
      <c r="J49" s="1556" t="s">
        <v>1694</v>
      </c>
      <c r="K49" s="1555">
        <v>1710</v>
      </c>
      <c r="L49" s="1556" t="s">
        <v>1738</v>
      </c>
      <c r="M49" s="1556" t="s">
        <v>1674</v>
      </c>
    </row>
    <row r="50" spans="4:13" ht="30">
      <c r="D50" s="1555">
        <v>213</v>
      </c>
      <c r="E50" s="1556" t="s">
        <v>1739</v>
      </c>
      <c r="F50" s="1556" t="s">
        <v>1740</v>
      </c>
      <c r="G50" s="483"/>
      <c r="H50" s="483"/>
      <c r="I50" s="1556" t="s">
        <v>1038</v>
      </c>
      <c r="J50" s="1556" t="s">
        <v>138</v>
      </c>
      <c r="K50" s="1555">
        <v>1757</v>
      </c>
      <c r="L50" s="1556" t="s">
        <v>138</v>
      </c>
      <c r="M50" s="1556" t="s">
        <v>1252</v>
      </c>
    </row>
    <row r="51" spans="4:13" ht="30" hidden="1">
      <c r="D51" s="1555">
        <v>369</v>
      </c>
      <c r="E51" s="1556" t="s">
        <v>1741</v>
      </c>
      <c r="F51" s="1556" t="s">
        <v>156</v>
      </c>
      <c r="G51" s="1557">
        <v>41243</v>
      </c>
      <c r="H51" s="1558">
        <v>41243</v>
      </c>
      <c r="I51" s="1556" t="s">
        <v>1038</v>
      </c>
      <c r="J51" s="1556" t="s">
        <v>138</v>
      </c>
      <c r="K51" s="1555">
        <v>1770</v>
      </c>
      <c r="L51" s="1556" t="s">
        <v>1742</v>
      </c>
      <c r="M51" s="1556" t="s">
        <v>1674</v>
      </c>
    </row>
    <row r="52" spans="4:13" ht="15" hidden="1">
      <c r="D52" s="1555">
        <v>370</v>
      </c>
      <c r="E52" s="1556" t="s">
        <v>1743</v>
      </c>
      <c r="F52" s="1556" t="s">
        <v>1744</v>
      </c>
      <c r="G52" s="1557">
        <v>41214</v>
      </c>
      <c r="H52" s="1558">
        <v>41214</v>
      </c>
      <c r="I52" s="1556" t="s">
        <v>1038</v>
      </c>
      <c r="J52" s="1556" t="s">
        <v>138</v>
      </c>
      <c r="K52" s="1555">
        <v>1771</v>
      </c>
      <c r="L52" s="1556" t="s">
        <v>1745</v>
      </c>
      <c r="M52" s="1556" t="s">
        <v>1674</v>
      </c>
    </row>
    <row r="53" spans="4:13" ht="30" hidden="1">
      <c r="D53" s="1555">
        <v>371</v>
      </c>
      <c r="E53" s="1556" t="s">
        <v>1746</v>
      </c>
      <c r="F53" s="1556" t="s">
        <v>159</v>
      </c>
      <c r="G53" s="1557">
        <v>40762</v>
      </c>
      <c r="H53" s="483"/>
      <c r="I53" s="1556" t="s">
        <v>1038</v>
      </c>
      <c r="J53" s="1556" t="s">
        <v>138</v>
      </c>
      <c r="K53" s="1555">
        <v>1772</v>
      </c>
      <c r="L53" s="1556" t="s">
        <v>1747</v>
      </c>
      <c r="M53" s="1556" t="s">
        <v>1674</v>
      </c>
    </row>
    <row r="54" spans="4:13" ht="30" hidden="1">
      <c r="D54" s="1555">
        <v>380</v>
      </c>
      <c r="E54" s="1556" t="s">
        <v>1748</v>
      </c>
      <c r="F54" s="1556" t="s">
        <v>1749</v>
      </c>
      <c r="G54" s="1557">
        <v>41128</v>
      </c>
      <c r="H54" s="483"/>
      <c r="I54" s="1556" t="s">
        <v>1038</v>
      </c>
      <c r="J54" s="1556" t="s">
        <v>138</v>
      </c>
      <c r="K54" s="1555">
        <v>1777</v>
      </c>
      <c r="L54" s="1556" t="s">
        <v>1750</v>
      </c>
      <c r="M54" s="1556" t="s">
        <v>1674</v>
      </c>
    </row>
    <row r="55" spans="4:13" ht="30" hidden="1">
      <c r="D55" s="1555">
        <v>381</v>
      </c>
      <c r="E55" s="1556" t="s">
        <v>1751</v>
      </c>
      <c r="F55" s="1556" t="s">
        <v>161</v>
      </c>
      <c r="G55" s="1557">
        <v>41143</v>
      </c>
      <c r="H55" s="1558">
        <v>41136</v>
      </c>
      <c r="I55" s="1556" t="s">
        <v>1038</v>
      </c>
      <c r="J55" s="1556" t="s">
        <v>138</v>
      </c>
      <c r="K55" s="1555">
        <v>1778</v>
      </c>
      <c r="L55" s="1556" t="s">
        <v>1752</v>
      </c>
      <c r="M55" s="1556" t="s">
        <v>1674</v>
      </c>
    </row>
    <row r="56" spans="4:13" ht="30" hidden="1">
      <c r="D56" s="1555">
        <v>382</v>
      </c>
      <c r="E56" s="1556" t="s">
        <v>1753</v>
      </c>
      <c r="F56" s="1556" t="s">
        <v>162</v>
      </c>
      <c r="G56" s="1557">
        <v>40983</v>
      </c>
      <c r="H56" s="1558">
        <v>41220</v>
      </c>
      <c r="I56" s="1556" t="s">
        <v>1038</v>
      </c>
      <c r="J56" s="1556" t="s">
        <v>138</v>
      </c>
      <c r="K56" s="1555">
        <v>1779</v>
      </c>
      <c r="L56" s="1556" t="s">
        <v>1754</v>
      </c>
      <c r="M56" s="1556" t="s">
        <v>1674</v>
      </c>
    </row>
    <row r="57" spans="4:13" ht="30" hidden="1">
      <c r="D57" s="1555">
        <v>383</v>
      </c>
      <c r="E57" s="1556" t="s">
        <v>1755</v>
      </c>
      <c r="F57" s="1556" t="s">
        <v>491</v>
      </c>
      <c r="G57" s="1557">
        <v>40983</v>
      </c>
      <c r="H57" s="483"/>
      <c r="I57" s="1556" t="s">
        <v>1038</v>
      </c>
      <c r="J57" s="1556" t="s">
        <v>138</v>
      </c>
      <c r="K57" s="1555">
        <v>1780</v>
      </c>
      <c r="L57" s="1556" t="s">
        <v>1756</v>
      </c>
      <c r="M57" s="1556" t="s">
        <v>1674</v>
      </c>
    </row>
    <row r="58" spans="4:13" ht="30" hidden="1">
      <c r="D58" s="1555">
        <v>385</v>
      </c>
      <c r="E58" s="1556" t="s">
        <v>1757</v>
      </c>
      <c r="F58" s="1556" t="s">
        <v>164</v>
      </c>
      <c r="G58" s="1557">
        <v>41148</v>
      </c>
      <c r="H58" s="483"/>
      <c r="I58" s="1556" t="s">
        <v>1038</v>
      </c>
      <c r="J58" s="1556" t="s">
        <v>138</v>
      </c>
      <c r="K58" s="1555">
        <v>1782</v>
      </c>
      <c r="L58" s="1556" t="s">
        <v>1758</v>
      </c>
      <c r="M58" s="1556" t="s">
        <v>1674</v>
      </c>
    </row>
    <row r="59" spans="4:13" ht="30" hidden="1">
      <c r="D59" s="1555">
        <v>386</v>
      </c>
      <c r="E59" s="1556" t="s">
        <v>1759</v>
      </c>
      <c r="F59" s="1556" t="s">
        <v>1760</v>
      </c>
      <c r="G59" s="1557">
        <v>41039</v>
      </c>
      <c r="H59" s="483"/>
      <c r="I59" s="1556" t="s">
        <v>1038</v>
      </c>
      <c r="J59" s="1556" t="s">
        <v>138</v>
      </c>
      <c r="K59" s="1555">
        <v>1783</v>
      </c>
      <c r="L59" s="1556" t="s">
        <v>1761</v>
      </c>
      <c r="M59" s="1556" t="s">
        <v>1674</v>
      </c>
    </row>
    <row r="60" spans="4:13" ht="45" hidden="1">
      <c r="D60" s="1555">
        <v>390</v>
      </c>
      <c r="E60" s="1556" t="s">
        <v>1762</v>
      </c>
      <c r="F60" s="1556" t="s">
        <v>312</v>
      </c>
      <c r="G60" s="1557">
        <v>41094</v>
      </c>
      <c r="H60" s="483"/>
      <c r="I60" s="1556" t="s">
        <v>1038</v>
      </c>
      <c r="J60" s="1556" t="s">
        <v>138</v>
      </c>
      <c r="K60" s="1555">
        <v>1787</v>
      </c>
      <c r="L60" s="1556" t="s">
        <v>1763</v>
      </c>
      <c r="M60" s="1556" t="s">
        <v>1674</v>
      </c>
    </row>
    <row r="61" spans="4:13" ht="30" hidden="1">
      <c r="D61" s="1555">
        <v>391</v>
      </c>
      <c r="E61" s="1556" t="s">
        <v>1764</v>
      </c>
      <c r="F61" s="1556" t="s">
        <v>288</v>
      </c>
      <c r="G61" s="1557">
        <v>41205</v>
      </c>
      <c r="H61" s="483"/>
      <c r="I61" s="1556" t="s">
        <v>1038</v>
      </c>
      <c r="J61" s="1556" t="s">
        <v>138</v>
      </c>
      <c r="K61" s="1555">
        <v>1788</v>
      </c>
      <c r="L61" s="1556" t="s">
        <v>1765</v>
      </c>
      <c r="M61" s="1556" t="s">
        <v>1674</v>
      </c>
    </row>
    <row r="62" spans="4:13" ht="30" hidden="1">
      <c r="D62" s="1555">
        <v>396</v>
      </c>
      <c r="E62" s="1556" t="s">
        <v>1766</v>
      </c>
      <c r="F62" s="1556" t="s">
        <v>1767</v>
      </c>
      <c r="G62" s="1557">
        <v>41018</v>
      </c>
      <c r="H62" s="483"/>
      <c r="I62" s="1556" t="s">
        <v>1038</v>
      </c>
      <c r="J62" s="1556" t="s">
        <v>138</v>
      </c>
      <c r="K62" s="1555">
        <v>1792</v>
      </c>
      <c r="L62" s="1556" t="s">
        <v>1768</v>
      </c>
      <c r="M62" s="1556" t="s">
        <v>1674</v>
      </c>
    </row>
    <row r="63" spans="4:13" ht="15" hidden="1">
      <c r="D63" s="1555">
        <v>397</v>
      </c>
      <c r="E63" s="1556" t="s">
        <v>1769</v>
      </c>
      <c r="F63" s="1556" t="s">
        <v>206</v>
      </c>
      <c r="G63" s="1557">
        <v>41079</v>
      </c>
      <c r="H63" s="1558">
        <v>39922</v>
      </c>
      <c r="I63" s="1556" t="s">
        <v>1038</v>
      </c>
      <c r="J63" s="1556" t="s">
        <v>138</v>
      </c>
      <c r="K63" s="1555">
        <v>1793</v>
      </c>
      <c r="L63" s="1556" t="s">
        <v>1770</v>
      </c>
      <c r="M63" s="1556" t="s">
        <v>1674</v>
      </c>
    </row>
    <row r="64" spans="4:13" ht="30" hidden="1">
      <c r="D64" s="1555">
        <v>398</v>
      </c>
      <c r="E64" s="1556" t="s">
        <v>1771</v>
      </c>
      <c r="F64" s="1556" t="s">
        <v>167</v>
      </c>
      <c r="G64" s="1557">
        <v>41112</v>
      </c>
      <c r="H64" s="1558">
        <v>41089</v>
      </c>
      <c r="I64" s="1556" t="s">
        <v>1038</v>
      </c>
      <c r="J64" s="1556" t="s">
        <v>1694</v>
      </c>
      <c r="K64" s="1555">
        <v>1794</v>
      </c>
      <c r="L64" s="1556" t="s">
        <v>1772</v>
      </c>
      <c r="M64" s="1556" t="s">
        <v>1674</v>
      </c>
    </row>
    <row r="65" spans="4:13" ht="30" hidden="1">
      <c r="D65" s="1555">
        <v>399</v>
      </c>
      <c r="E65" s="1556" t="s">
        <v>1773</v>
      </c>
      <c r="F65" s="1556" t="s">
        <v>168</v>
      </c>
      <c r="G65" s="1557">
        <v>41112</v>
      </c>
      <c r="H65" s="1558">
        <v>41089</v>
      </c>
      <c r="I65" s="1556" t="s">
        <v>1038</v>
      </c>
      <c r="J65" s="1556" t="s">
        <v>1694</v>
      </c>
      <c r="K65" s="1555">
        <v>1795</v>
      </c>
      <c r="L65" s="1556" t="s">
        <v>1774</v>
      </c>
      <c r="M65" s="1556" t="s">
        <v>1674</v>
      </c>
    </row>
    <row r="66" spans="4:13" ht="30" hidden="1">
      <c r="D66" s="1555">
        <v>400</v>
      </c>
      <c r="E66" s="1556" t="s">
        <v>1775</v>
      </c>
      <c r="F66" s="1556" t="s">
        <v>169</v>
      </c>
      <c r="G66" s="1557">
        <v>41051</v>
      </c>
      <c r="H66" s="1558">
        <v>41018</v>
      </c>
      <c r="I66" s="1556" t="s">
        <v>1038</v>
      </c>
      <c r="J66" s="1556" t="s">
        <v>1694</v>
      </c>
      <c r="K66" s="1555">
        <v>1796</v>
      </c>
      <c r="L66" s="1556" t="s">
        <v>1776</v>
      </c>
      <c r="M66" s="1556" t="s">
        <v>1674</v>
      </c>
    </row>
    <row r="67" spans="4:13" ht="30" hidden="1">
      <c r="D67" s="1555">
        <v>401</v>
      </c>
      <c r="E67" s="1556" t="s">
        <v>1777</v>
      </c>
      <c r="F67" s="1556" t="s">
        <v>170</v>
      </c>
      <c r="G67" s="1557">
        <v>41112</v>
      </c>
      <c r="H67" s="1558">
        <v>41089</v>
      </c>
      <c r="I67" s="1556" t="s">
        <v>1038</v>
      </c>
      <c r="J67" s="1556" t="s">
        <v>1694</v>
      </c>
      <c r="K67" s="1555">
        <v>1797</v>
      </c>
      <c r="L67" s="1556" t="s">
        <v>1778</v>
      </c>
      <c r="M67" s="1556" t="s">
        <v>1674</v>
      </c>
    </row>
    <row r="68" spans="4:13" ht="30" hidden="1">
      <c r="D68" s="1555">
        <v>404</v>
      </c>
      <c r="E68" s="1556" t="s">
        <v>1779</v>
      </c>
      <c r="F68" s="1556" t="s">
        <v>171</v>
      </c>
      <c r="G68" s="1557">
        <v>41007</v>
      </c>
      <c r="H68" s="483"/>
      <c r="I68" s="1556" t="s">
        <v>1038</v>
      </c>
      <c r="J68" s="1556" t="s">
        <v>138</v>
      </c>
      <c r="K68" s="1555">
        <v>1800</v>
      </c>
      <c r="L68" s="1556" t="s">
        <v>1780</v>
      </c>
      <c r="M68" s="1556" t="s">
        <v>1674</v>
      </c>
    </row>
    <row r="69" spans="4:13" ht="30" hidden="1">
      <c r="D69" s="1555">
        <v>405</v>
      </c>
      <c r="E69" s="1556" t="s">
        <v>1781</v>
      </c>
      <c r="F69" s="1556" t="s">
        <v>173</v>
      </c>
      <c r="G69" s="1557">
        <v>41007</v>
      </c>
      <c r="H69" s="483"/>
      <c r="I69" s="1556" t="s">
        <v>1038</v>
      </c>
      <c r="J69" s="1556" t="s">
        <v>138</v>
      </c>
      <c r="K69" s="1555">
        <v>1802</v>
      </c>
      <c r="L69" s="1556" t="s">
        <v>1782</v>
      </c>
      <c r="M69" s="1556" t="s">
        <v>1674</v>
      </c>
    </row>
    <row r="70" spans="4:13" ht="30">
      <c r="D70" s="1555">
        <v>598</v>
      </c>
      <c r="E70" s="1556" t="s">
        <v>1783</v>
      </c>
      <c r="F70" s="1556" t="s">
        <v>1784</v>
      </c>
      <c r="G70" s="1557">
        <v>41485</v>
      </c>
      <c r="H70" s="483"/>
      <c r="I70" s="1556" t="s">
        <v>1038</v>
      </c>
      <c r="J70" s="1556" t="s">
        <v>1694</v>
      </c>
      <c r="K70" s="1555">
        <v>1855</v>
      </c>
      <c r="L70" s="1556" t="s">
        <v>1785</v>
      </c>
      <c r="M70" s="1556" t="s">
        <v>1252</v>
      </c>
    </row>
    <row r="71" spans="4:13" ht="30">
      <c r="D71" s="1555">
        <v>2351</v>
      </c>
      <c r="E71" s="1556" t="s">
        <v>1786</v>
      </c>
      <c r="F71" s="1556" t="s">
        <v>465</v>
      </c>
      <c r="G71" s="1557">
        <v>41485</v>
      </c>
      <c r="H71" s="483"/>
      <c r="I71" s="1556" t="s">
        <v>1038</v>
      </c>
      <c r="J71" s="1556" t="s">
        <v>1694</v>
      </c>
      <c r="K71" s="1555">
        <v>2062</v>
      </c>
      <c r="L71" s="1556" t="s">
        <v>1787</v>
      </c>
      <c r="M71" s="1556" t="s">
        <v>1252</v>
      </c>
    </row>
    <row r="72" spans="4:13" ht="45">
      <c r="D72" s="1555">
        <v>2381</v>
      </c>
      <c r="E72" s="1556" t="s">
        <v>1788</v>
      </c>
      <c r="F72" s="1556" t="s">
        <v>437</v>
      </c>
      <c r="G72" s="1557">
        <v>41485</v>
      </c>
      <c r="H72" s="483"/>
      <c r="I72" s="1556" t="s">
        <v>1038</v>
      </c>
      <c r="J72" s="1556" t="s">
        <v>1694</v>
      </c>
      <c r="K72" s="1555">
        <v>2066</v>
      </c>
      <c r="L72" s="1556" t="s">
        <v>1789</v>
      </c>
      <c r="M72" s="1556" t="s">
        <v>1252</v>
      </c>
    </row>
    <row r="73" spans="4:13" ht="30" hidden="1">
      <c r="D73" s="1555">
        <v>2513</v>
      </c>
      <c r="E73" s="1556" t="s">
        <v>1790</v>
      </c>
      <c r="F73" s="1556" t="s">
        <v>1791</v>
      </c>
      <c r="G73" s="1557">
        <v>40909</v>
      </c>
      <c r="H73" s="483"/>
      <c r="I73" s="1556" t="s">
        <v>1038</v>
      </c>
      <c r="J73" s="1556" t="s">
        <v>138</v>
      </c>
      <c r="K73" s="1555">
        <v>2076</v>
      </c>
      <c r="L73" s="1556" t="s">
        <v>138</v>
      </c>
      <c r="M73" s="1556" t="s">
        <v>138</v>
      </c>
    </row>
    <row r="74" spans="4:13" ht="45">
      <c r="D74" s="1555">
        <v>2763</v>
      </c>
      <c r="E74" s="1556" t="s">
        <v>1792</v>
      </c>
      <c r="F74" s="1556" t="s">
        <v>175</v>
      </c>
      <c r="G74" s="1557">
        <v>41485</v>
      </c>
      <c r="H74" s="483"/>
      <c r="I74" s="1556" t="s">
        <v>1038</v>
      </c>
      <c r="J74" s="1556" t="s">
        <v>1694</v>
      </c>
      <c r="K74" s="1555">
        <v>2111</v>
      </c>
      <c r="L74" s="1556" t="s">
        <v>1793</v>
      </c>
      <c r="M74" s="1556" t="s">
        <v>1252</v>
      </c>
    </row>
    <row r="75" spans="4:13" ht="45">
      <c r="D75" s="1555">
        <v>2783</v>
      </c>
      <c r="E75" s="1556" t="s">
        <v>1794</v>
      </c>
      <c r="F75" s="1556" t="s">
        <v>476</v>
      </c>
      <c r="G75" s="1557">
        <v>41485</v>
      </c>
      <c r="H75" s="483"/>
      <c r="I75" s="1556" t="s">
        <v>1038</v>
      </c>
      <c r="J75" s="1556" t="s">
        <v>1694</v>
      </c>
      <c r="K75" s="1555">
        <v>2114</v>
      </c>
      <c r="L75" s="1556" t="s">
        <v>1795</v>
      </c>
      <c r="M75" s="1556" t="s">
        <v>1252</v>
      </c>
    </row>
    <row r="76" spans="4:13" ht="15" hidden="1">
      <c r="D76" s="1555">
        <v>2866</v>
      </c>
      <c r="E76" s="1556" t="s">
        <v>1796</v>
      </c>
      <c r="F76" s="1556" t="s">
        <v>177</v>
      </c>
      <c r="G76" s="1557">
        <v>41084</v>
      </c>
      <c r="H76" s="483"/>
      <c r="I76" s="1556" t="s">
        <v>1038</v>
      </c>
      <c r="J76" s="1556" t="s">
        <v>138</v>
      </c>
      <c r="K76" s="1555">
        <v>2126</v>
      </c>
      <c r="L76" s="1556" t="s">
        <v>1797</v>
      </c>
      <c r="M76" s="1556" t="s">
        <v>1674</v>
      </c>
    </row>
    <row r="77" spans="4:13" ht="30" hidden="1">
      <c r="D77" s="1555">
        <v>2904</v>
      </c>
      <c r="E77" s="1556" t="s">
        <v>1798</v>
      </c>
      <c r="F77" s="1556" t="s">
        <v>1799</v>
      </c>
      <c r="G77" s="1557">
        <v>41150</v>
      </c>
      <c r="H77" s="1558">
        <v>41135</v>
      </c>
      <c r="I77" s="1556" t="s">
        <v>1038</v>
      </c>
      <c r="J77" s="1556" t="s">
        <v>1694</v>
      </c>
      <c r="K77" s="1555">
        <v>2134</v>
      </c>
      <c r="L77" s="1556" t="s">
        <v>1800</v>
      </c>
      <c r="M77" s="1556" t="s">
        <v>1674</v>
      </c>
    </row>
    <row r="78" spans="4:13" ht="30" hidden="1">
      <c r="D78" s="1555">
        <v>2937</v>
      </c>
      <c r="E78" s="1556" t="s">
        <v>1801</v>
      </c>
      <c r="F78" s="1556" t="s">
        <v>178</v>
      </c>
      <c r="G78" s="1557">
        <v>41205</v>
      </c>
      <c r="H78" s="483"/>
      <c r="I78" s="1556" t="s">
        <v>1038</v>
      </c>
      <c r="J78" s="1556" t="s">
        <v>138</v>
      </c>
      <c r="K78" s="1555">
        <v>2141</v>
      </c>
      <c r="L78" s="1556" t="s">
        <v>1802</v>
      </c>
      <c r="M78" s="1556" t="s">
        <v>1674</v>
      </c>
    </row>
    <row r="79" spans="4:13" ht="30">
      <c r="D79" s="1555">
        <v>3223</v>
      </c>
      <c r="E79" s="1556" t="s">
        <v>1803</v>
      </c>
      <c r="F79" s="1556" t="s">
        <v>449</v>
      </c>
      <c r="G79" s="1557">
        <v>41423</v>
      </c>
      <c r="H79" s="483"/>
      <c r="I79" s="1556" t="s">
        <v>1038</v>
      </c>
      <c r="J79" s="1556" t="s">
        <v>1694</v>
      </c>
      <c r="K79" s="1555">
        <v>2193</v>
      </c>
      <c r="L79" s="1556" t="s">
        <v>1804</v>
      </c>
      <c r="M79" s="1556" t="s">
        <v>1252</v>
      </c>
    </row>
    <row r="80" spans="4:13" ht="45">
      <c r="D80" s="1555">
        <v>3627</v>
      </c>
      <c r="E80" s="1556" t="s">
        <v>1805</v>
      </c>
      <c r="F80" s="1556" t="s">
        <v>460</v>
      </c>
      <c r="G80" s="1557">
        <v>41485</v>
      </c>
      <c r="H80" s="483"/>
      <c r="I80" s="1556" t="s">
        <v>1038</v>
      </c>
      <c r="J80" s="1556" t="s">
        <v>1694</v>
      </c>
      <c r="K80" s="1555">
        <v>2215</v>
      </c>
      <c r="L80" s="1556" t="s">
        <v>1806</v>
      </c>
      <c r="M80" s="1556" t="s">
        <v>1252</v>
      </c>
    </row>
    <row r="81" spans="4:13" ht="45">
      <c r="D81" s="1555">
        <v>4248</v>
      </c>
      <c r="E81" s="1556" t="s">
        <v>1807</v>
      </c>
      <c r="F81" s="1556" t="s">
        <v>1808</v>
      </c>
      <c r="G81" s="1557">
        <v>41485</v>
      </c>
      <c r="H81" s="483"/>
      <c r="I81" s="1556" t="s">
        <v>1038</v>
      </c>
      <c r="J81" s="1556" t="s">
        <v>1694</v>
      </c>
      <c r="K81" s="1555">
        <v>2245</v>
      </c>
      <c r="L81" s="1556" t="s">
        <v>1809</v>
      </c>
      <c r="M81" s="1556" t="s">
        <v>1252</v>
      </c>
    </row>
    <row r="82" spans="4:13" ht="105" hidden="1">
      <c r="D82" s="1555">
        <v>4950</v>
      </c>
      <c r="E82" s="1556" t="s">
        <v>1810</v>
      </c>
      <c r="F82" s="1556" t="s">
        <v>179</v>
      </c>
      <c r="G82" s="1557">
        <v>41057</v>
      </c>
      <c r="H82" s="1558">
        <v>41007</v>
      </c>
      <c r="I82" s="1556" t="s">
        <v>1038</v>
      </c>
      <c r="J82" s="1556" t="s">
        <v>138</v>
      </c>
      <c r="K82" s="1555">
        <v>2285</v>
      </c>
      <c r="L82" s="1556" t="s">
        <v>1811</v>
      </c>
      <c r="M82" s="1556" t="s">
        <v>1674</v>
      </c>
    </row>
    <row r="83" spans="4:13" ht="15" hidden="1">
      <c r="D83" s="1555">
        <v>5160</v>
      </c>
      <c r="E83" s="1556" t="s">
        <v>1812</v>
      </c>
      <c r="F83" s="1556" t="s">
        <v>181</v>
      </c>
      <c r="G83" s="1557">
        <v>41204</v>
      </c>
      <c r="H83" s="1558">
        <v>41147</v>
      </c>
      <c r="I83" s="1556" t="s">
        <v>1038</v>
      </c>
      <c r="J83" s="1556" t="s">
        <v>138</v>
      </c>
      <c r="K83" s="1555">
        <v>2313</v>
      </c>
      <c r="L83" s="1556" t="s">
        <v>1813</v>
      </c>
      <c r="M83" s="1556" t="s">
        <v>1674</v>
      </c>
    </row>
    <row r="84" spans="4:13" ht="30" hidden="1">
      <c r="D84" s="1555">
        <v>5216</v>
      </c>
      <c r="E84" s="1556" t="s">
        <v>1814</v>
      </c>
      <c r="F84" s="1556" t="s">
        <v>1815</v>
      </c>
      <c r="G84" s="1557">
        <v>41039</v>
      </c>
      <c r="H84" s="483"/>
      <c r="I84" s="1556" t="s">
        <v>1038</v>
      </c>
      <c r="J84" s="1556" t="s">
        <v>138</v>
      </c>
      <c r="K84" s="1555">
        <v>2330</v>
      </c>
      <c r="L84" s="1556" t="s">
        <v>1816</v>
      </c>
      <c r="M84" s="1556" t="s">
        <v>1674</v>
      </c>
    </row>
    <row r="85" spans="4:13" ht="30" hidden="1">
      <c r="D85" s="1555">
        <v>5217</v>
      </c>
      <c r="E85" s="1556" t="s">
        <v>1817</v>
      </c>
      <c r="F85" s="1556" t="s">
        <v>1818</v>
      </c>
      <c r="G85" s="1557">
        <v>41039</v>
      </c>
      <c r="H85" s="483"/>
      <c r="I85" s="1556" t="s">
        <v>1038</v>
      </c>
      <c r="J85" s="1556" t="s">
        <v>138</v>
      </c>
      <c r="K85" s="1555">
        <v>2331</v>
      </c>
      <c r="L85" s="1556" t="s">
        <v>1819</v>
      </c>
      <c r="M85" s="1556" t="s">
        <v>1674</v>
      </c>
    </row>
    <row r="86" spans="4:13" ht="45">
      <c r="D86" s="1555">
        <v>5274</v>
      </c>
      <c r="E86" s="1556" t="s">
        <v>1820</v>
      </c>
      <c r="F86" s="1556" t="s">
        <v>182</v>
      </c>
      <c r="G86" s="1557">
        <v>41393</v>
      </c>
      <c r="H86" s="483"/>
      <c r="I86" s="1556" t="s">
        <v>1038</v>
      </c>
      <c r="J86" s="1556" t="s">
        <v>1694</v>
      </c>
      <c r="K86" s="1555">
        <v>2339</v>
      </c>
      <c r="L86" s="1556" t="s">
        <v>1821</v>
      </c>
      <c r="M86" s="1556" t="s">
        <v>1252</v>
      </c>
    </row>
    <row r="87" spans="4:13" ht="45">
      <c r="D87" s="1555">
        <v>5351</v>
      </c>
      <c r="E87" s="1556" t="s">
        <v>1822</v>
      </c>
      <c r="F87" s="1556" t="s">
        <v>184</v>
      </c>
      <c r="G87" s="1557">
        <v>41212</v>
      </c>
      <c r="H87" s="483"/>
      <c r="I87" s="1556" t="s">
        <v>1038</v>
      </c>
      <c r="J87" s="1556" t="s">
        <v>1694</v>
      </c>
      <c r="K87" s="1555">
        <v>2340</v>
      </c>
      <c r="L87" s="1556" t="s">
        <v>1823</v>
      </c>
      <c r="M87" s="1556" t="s">
        <v>1252</v>
      </c>
    </row>
    <row r="88" spans="4:13" ht="60">
      <c r="D88" s="1555">
        <v>5352</v>
      </c>
      <c r="E88" s="1556" t="s">
        <v>1824</v>
      </c>
      <c r="F88" s="1556" t="s">
        <v>372</v>
      </c>
      <c r="G88" s="1557">
        <v>41182</v>
      </c>
      <c r="H88" s="483"/>
      <c r="I88" s="1556" t="s">
        <v>1038</v>
      </c>
      <c r="J88" s="1556" t="s">
        <v>1694</v>
      </c>
      <c r="K88" s="1555">
        <v>2341</v>
      </c>
      <c r="L88" s="1556" t="s">
        <v>1825</v>
      </c>
      <c r="M88" s="1556" t="s">
        <v>1252</v>
      </c>
    </row>
    <row r="89" spans="4:13" ht="45">
      <c r="D89" s="1555">
        <v>5353</v>
      </c>
      <c r="E89" s="1556" t="s">
        <v>1826</v>
      </c>
      <c r="F89" s="1556" t="s">
        <v>185</v>
      </c>
      <c r="G89" s="1557">
        <v>41182</v>
      </c>
      <c r="H89" s="483"/>
      <c r="I89" s="1556" t="s">
        <v>1038</v>
      </c>
      <c r="J89" s="1556" t="s">
        <v>1694</v>
      </c>
      <c r="K89" s="1555">
        <v>2342</v>
      </c>
      <c r="L89" s="1556" t="s">
        <v>1827</v>
      </c>
      <c r="M89" s="1556" t="s">
        <v>1252</v>
      </c>
    </row>
    <row r="90" spans="4:13" ht="30">
      <c r="D90" s="1555">
        <v>5355</v>
      </c>
      <c r="E90" s="1556" t="s">
        <v>1828</v>
      </c>
      <c r="F90" s="1556" t="s">
        <v>383</v>
      </c>
      <c r="G90" s="1557">
        <v>41182</v>
      </c>
      <c r="H90" s="483"/>
      <c r="I90" s="1556" t="s">
        <v>1038</v>
      </c>
      <c r="J90" s="1556" t="s">
        <v>1694</v>
      </c>
      <c r="K90" s="1555">
        <v>2343</v>
      </c>
      <c r="L90" s="1556" t="s">
        <v>1829</v>
      </c>
      <c r="M90" s="1556" t="s">
        <v>1252</v>
      </c>
    </row>
    <row r="91" spans="4:13" ht="30">
      <c r="D91" s="1555">
        <v>5363</v>
      </c>
      <c r="E91" s="1556" t="s">
        <v>1830</v>
      </c>
      <c r="F91" s="1556" t="s">
        <v>390</v>
      </c>
      <c r="G91" s="1557">
        <v>41182</v>
      </c>
      <c r="H91" s="483"/>
      <c r="I91" s="1556" t="s">
        <v>1038</v>
      </c>
      <c r="J91" s="1556" t="s">
        <v>1694</v>
      </c>
      <c r="K91" s="1555">
        <v>2344</v>
      </c>
      <c r="L91" s="1556" t="s">
        <v>1831</v>
      </c>
      <c r="M91" s="1556" t="s">
        <v>1252</v>
      </c>
    </row>
    <row r="92" spans="4:13" ht="30">
      <c r="D92" s="1555">
        <v>5364</v>
      </c>
      <c r="E92" s="1556" t="s">
        <v>1832</v>
      </c>
      <c r="F92" s="1556" t="s">
        <v>395</v>
      </c>
      <c r="G92" s="1557">
        <v>41182</v>
      </c>
      <c r="H92" s="483"/>
      <c r="I92" s="1556" t="s">
        <v>1038</v>
      </c>
      <c r="J92" s="1556" t="s">
        <v>1694</v>
      </c>
      <c r="K92" s="1555">
        <v>2345</v>
      </c>
      <c r="L92" s="1556" t="s">
        <v>1833</v>
      </c>
      <c r="M92" s="1556" t="s">
        <v>1252</v>
      </c>
    </row>
    <row r="93" spans="4:13" ht="30">
      <c r="D93" s="1555">
        <v>5365</v>
      </c>
      <c r="E93" s="1556" t="s">
        <v>1834</v>
      </c>
      <c r="F93" s="1556" t="s">
        <v>401</v>
      </c>
      <c r="G93" s="1557">
        <v>41182</v>
      </c>
      <c r="H93" s="483"/>
      <c r="I93" s="1556" t="s">
        <v>1038</v>
      </c>
      <c r="J93" s="1556" t="s">
        <v>1694</v>
      </c>
      <c r="K93" s="1555">
        <v>2346</v>
      </c>
      <c r="L93" s="1556" t="s">
        <v>1835</v>
      </c>
      <c r="M93" s="1556" t="s">
        <v>1252</v>
      </c>
    </row>
    <row r="94" spans="4:13" ht="45">
      <c r="D94" s="1555">
        <v>5366</v>
      </c>
      <c r="E94" s="1556" t="s">
        <v>1836</v>
      </c>
      <c r="F94" s="1556" t="s">
        <v>187</v>
      </c>
      <c r="G94" s="1557">
        <v>41182</v>
      </c>
      <c r="H94" s="483"/>
      <c r="I94" s="1556" t="s">
        <v>1038</v>
      </c>
      <c r="J94" s="1556" t="s">
        <v>1694</v>
      </c>
      <c r="K94" s="1555">
        <v>2347</v>
      </c>
      <c r="L94" s="1556" t="s">
        <v>1837</v>
      </c>
      <c r="M94" s="1556" t="s">
        <v>1252</v>
      </c>
    </row>
    <row r="95" spans="4:13" ht="30">
      <c r="D95" s="1555">
        <v>5367</v>
      </c>
      <c r="E95" s="1556" t="s">
        <v>1838</v>
      </c>
      <c r="F95" s="1556" t="s">
        <v>9</v>
      </c>
      <c r="G95" s="1557">
        <v>40899</v>
      </c>
      <c r="H95" s="483"/>
      <c r="I95" s="1556" t="s">
        <v>1038</v>
      </c>
      <c r="J95" s="1556" t="s">
        <v>1694</v>
      </c>
      <c r="K95" s="1555">
        <v>2348</v>
      </c>
      <c r="L95" s="1556" t="s">
        <v>1839</v>
      </c>
      <c r="M95" s="1556" t="s">
        <v>1252</v>
      </c>
    </row>
    <row r="96" spans="4:13" ht="30">
      <c r="D96" s="1555">
        <v>5368</v>
      </c>
      <c r="E96" s="1556" t="s">
        <v>1840</v>
      </c>
      <c r="F96" s="1556" t="s">
        <v>406</v>
      </c>
      <c r="G96" s="1557">
        <v>41182</v>
      </c>
      <c r="H96" s="483"/>
      <c r="I96" s="1556" t="s">
        <v>1038</v>
      </c>
      <c r="J96" s="1556" t="s">
        <v>1694</v>
      </c>
      <c r="K96" s="1555">
        <v>2349</v>
      </c>
      <c r="L96" s="1556" t="s">
        <v>1841</v>
      </c>
      <c r="M96" s="1556" t="s">
        <v>1252</v>
      </c>
    </row>
    <row r="97" spans="4:13" ht="30">
      <c r="D97" s="1555">
        <v>5369</v>
      </c>
      <c r="E97" s="1556" t="s">
        <v>1842</v>
      </c>
      <c r="F97" s="1556" t="s">
        <v>411</v>
      </c>
      <c r="G97" s="1557">
        <v>41182</v>
      </c>
      <c r="H97" s="483"/>
      <c r="I97" s="1556" t="s">
        <v>1038</v>
      </c>
      <c r="J97" s="1556" t="s">
        <v>1694</v>
      </c>
      <c r="K97" s="1555">
        <v>2350</v>
      </c>
      <c r="L97" s="1556" t="s">
        <v>1843</v>
      </c>
      <c r="M97" s="1556" t="s">
        <v>1252</v>
      </c>
    </row>
    <row r="98" spans="4:13" ht="30">
      <c r="D98" s="1555">
        <v>5370</v>
      </c>
      <c r="E98" s="1556" t="s">
        <v>1844</v>
      </c>
      <c r="F98" s="1556" t="s">
        <v>188</v>
      </c>
      <c r="G98" s="1557">
        <v>41182</v>
      </c>
      <c r="H98" s="483"/>
      <c r="I98" s="1556" t="s">
        <v>1038</v>
      </c>
      <c r="J98" s="1556" t="s">
        <v>1694</v>
      </c>
      <c r="K98" s="1555">
        <v>2351</v>
      </c>
      <c r="L98" s="1556" t="s">
        <v>1845</v>
      </c>
      <c r="M98" s="1556" t="s">
        <v>1252</v>
      </c>
    </row>
    <row r="99" spans="4:13" ht="30">
      <c r="D99" s="1555">
        <v>5371</v>
      </c>
      <c r="E99" s="1556" t="s">
        <v>1846</v>
      </c>
      <c r="F99" s="1556" t="s">
        <v>420</v>
      </c>
      <c r="G99" s="1557">
        <v>41182</v>
      </c>
      <c r="H99" s="483"/>
      <c r="I99" s="1556" t="s">
        <v>1038</v>
      </c>
      <c r="J99" s="1556" t="s">
        <v>1694</v>
      </c>
      <c r="K99" s="1555">
        <v>2352</v>
      </c>
      <c r="L99" s="1556" t="s">
        <v>1847</v>
      </c>
      <c r="M99" s="1556" t="s">
        <v>1252</v>
      </c>
    </row>
    <row r="100" spans="4:13" ht="30">
      <c r="D100" s="1555">
        <v>5373</v>
      </c>
      <c r="E100" s="1556" t="s">
        <v>1848</v>
      </c>
      <c r="F100" s="1556" t="s">
        <v>427</v>
      </c>
      <c r="G100" s="1557">
        <v>41182</v>
      </c>
      <c r="H100" s="483"/>
      <c r="I100" s="1556" t="s">
        <v>1038</v>
      </c>
      <c r="J100" s="1556" t="s">
        <v>1694</v>
      </c>
      <c r="K100" s="1555">
        <v>2353</v>
      </c>
      <c r="L100" s="1556" t="s">
        <v>1849</v>
      </c>
      <c r="M100" s="1556" t="s">
        <v>1252</v>
      </c>
    </row>
    <row r="101" spans="4:13" ht="45">
      <c r="D101" s="1555">
        <v>5377</v>
      </c>
      <c r="E101" s="1556" t="s">
        <v>1850</v>
      </c>
      <c r="F101" s="1556" t="s">
        <v>371</v>
      </c>
      <c r="G101" s="1557">
        <v>41393</v>
      </c>
      <c r="H101" s="483"/>
      <c r="I101" s="1556" t="s">
        <v>1038</v>
      </c>
      <c r="J101" s="1556" t="s">
        <v>1694</v>
      </c>
      <c r="K101" s="1555">
        <v>2355</v>
      </c>
      <c r="L101" s="1556" t="s">
        <v>1851</v>
      </c>
      <c r="M101" s="1556" t="s">
        <v>1252</v>
      </c>
    </row>
    <row r="102" spans="4:13" ht="45">
      <c r="D102" s="1555">
        <v>5378</v>
      </c>
      <c r="E102" s="1556" t="s">
        <v>1852</v>
      </c>
      <c r="F102" s="1556" t="s">
        <v>302</v>
      </c>
      <c r="G102" s="1557">
        <v>41393</v>
      </c>
      <c r="H102" s="483"/>
      <c r="I102" s="1556" t="s">
        <v>1038</v>
      </c>
      <c r="J102" s="1556" t="s">
        <v>1694</v>
      </c>
      <c r="K102" s="1555">
        <v>2356</v>
      </c>
      <c r="L102" s="1556" t="s">
        <v>1853</v>
      </c>
      <c r="M102" s="1556" t="s">
        <v>1252</v>
      </c>
    </row>
    <row r="103" spans="4:13" ht="45">
      <c r="D103" s="1555">
        <v>5379</v>
      </c>
      <c r="E103" s="1556" t="s">
        <v>1854</v>
      </c>
      <c r="F103" s="1556" t="s">
        <v>339</v>
      </c>
      <c r="G103" s="1557">
        <v>41212</v>
      </c>
      <c r="H103" s="483"/>
      <c r="I103" s="1556" t="s">
        <v>1038</v>
      </c>
      <c r="J103" s="1556" t="s">
        <v>1694</v>
      </c>
      <c r="K103" s="1555">
        <v>2357</v>
      </c>
      <c r="L103" s="1556" t="s">
        <v>1855</v>
      </c>
      <c r="M103" s="1556" t="s">
        <v>1252</v>
      </c>
    </row>
    <row r="104" spans="4:13" ht="45">
      <c r="D104" s="1555">
        <v>5381</v>
      </c>
      <c r="E104" s="1556" t="s">
        <v>1856</v>
      </c>
      <c r="F104" s="1556" t="s">
        <v>279</v>
      </c>
      <c r="G104" s="1557">
        <v>41152</v>
      </c>
      <c r="H104" s="483"/>
      <c r="I104" s="1556" t="s">
        <v>1038</v>
      </c>
      <c r="J104" s="1556" t="s">
        <v>1694</v>
      </c>
      <c r="K104" s="1555">
        <v>2358</v>
      </c>
      <c r="L104" s="1556" t="s">
        <v>1857</v>
      </c>
      <c r="M104" s="1556" t="s">
        <v>1252</v>
      </c>
    </row>
    <row r="105" spans="4:13" ht="45">
      <c r="D105" s="1555">
        <v>5382</v>
      </c>
      <c r="E105" s="1556" t="s">
        <v>1858</v>
      </c>
      <c r="F105" s="1556" t="s">
        <v>308</v>
      </c>
      <c r="G105" s="1557">
        <v>41101</v>
      </c>
      <c r="H105" s="483"/>
      <c r="I105" s="1556" t="s">
        <v>1038</v>
      </c>
      <c r="J105" s="1556" t="s">
        <v>1694</v>
      </c>
      <c r="K105" s="1555">
        <v>2359</v>
      </c>
      <c r="L105" s="1556" t="s">
        <v>1859</v>
      </c>
      <c r="M105" s="1556" t="s">
        <v>1252</v>
      </c>
    </row>
    <row r="106" spans="4:13" ht="45">
      <c r="D106" s="1555">
        <v>5384</v>
      </c>
      <c r="E106" s="1556" t="s">
        <v>1860</v>
      </c>
      <c r="F106" s="1556" t="s">
        <v>328</v>
      </c>
      <c r="G106" s="1557">
        <v>41423</v>
      </c>
      <c r="H106" s="483"/>
      <c r="I106" s="1556" t="s">
        <v>1038</v>
      </c>
      <c r="J106" s="1556" t="s">
        <v>1694</v>
      </c>
      <c r="K106" s="1555">
        <v>2360</v>
      </c>
      <c r="L106" s="1556" t="s">
        <v>1861</v>
      </c>
      <c r="M106" s="1556" t="s">
        <v>1252</v>
      </c>
    </row>
    <row r="107" spans="4:13" ht="45">
      <c r="D107" s="1555">
        <v>5385</v>
      </c>
      <c r="E107" s="1556" t="s">
        <v>1862</v>
      </c>
      <c r="F107" s="1556" t="s">
        <v>333</v>
      </c>
      <c r="G107" s="1557">
        <v>41379</v>
      </c>
      <c r="H107" s="483"/>
      <c r="I107" s="1556" t="s">
        <v>1038</v>
      </c>
      <c r="J107" s="1556" t="s">
        <v>1694</v>
      </c>
      <c r="K107" s="1555">
        <v>2361</v>
      </c>
      <c r="L107" s="1556" t="s">
        <v>1863</v>
      </c>
      <c r="M107" s="1556" t="s">
        <v>1252</v>
      </c>
    </row>
    <row r="108" spans="4:13" ht="45">
      <c r="D108" s="1555">
        <v>5386</v>
      </c>
      <c r="E108" s="1556" t="s">
        <v>1864</v>
      </c>
      <c r="F108" s="1556" t="s">
        <v>296</v>
      </c>
      <c r="G108" s="1557">
        <v>41212</v>
      </c>
      <c r="H108" s="483"/>
      <c r="I108" s="1556" t="s">
        <v>1038</v>
      </c>
      <c r="J108" s="1556" t="s">
        <v>1694</v>
      </c>
      <c r="K108" s="1555">
        <v>2362</v>
      </c>
      <c r="L108" s="1556" t="s">
        <v>1865</v>
      </c>
      <c r="M108" s="1556" t="s">
        <v>1252</v>
      </c>
    </row>
    <row r="109" spans="4:13" ht="15" hidden="1">
      <c r="D109" s="1555">
        <v>5697</v>
      </c>
      <c r="E109" s="1556" t="s">
        <v>1866</v>
      </c>
      <c r="F109" s="1556" t="s">
        <v>190</v>
      </c>
      <c r="G109" s="1557">
        <v>41143</v>
      </c>
      <c r="H109" s="1558">
        <v>41128</v>
      </c>
      <c r="I109" s="1556" t="s">
        <v>1038</v>
      </c>
      <c r="J109" s="1556" t="s">
        <v>138</v>
      </c>
      <c r="K109" s="1555">
        <v>2382</v>
      </c>
      <c r="L109" s="1556" t="s">
        <v>1867</v>
      </c>
      <c r="M109" s="1556" t="s">
        <v>1674</v>
      </c>
    </row>
    <row r="110" spans="4:13" ht="30" hidden="1">
      <c r="D110" s="1555">
        <v>5707</v>
      </c>
      <c r="E110" s="1556" t="s">
        <v>1868</v>
      </c>
      <c r="F110" s="1556" t="s">
        <v>191</v>
      </c>
      <c r="G110" s="1557">
        <v>41235</v>
      </c>
      <c r="H110" s="1558">
        <v>41207</v>
      </c>
      <c r="I110" s="1556" t="s">
        <v>1038</v>
      </c>
      <c r="J110" s="1556" t="s">
        <v>138</v>
      </c>
      <c r="K110" s="1555">
        <v>2386</v>
      </c>
      <c r="L110" s="1556" t="s">
        <v>1869</v>
      </c>
      <c r="M110" s="1556" t="s">
        <v>1674</v>
      </c>
    </row>
    <row r="111" spans="4:13" ht="15" hidden="1">
      <c r="D111" s="1555">
        <v>6072</v>
      </c>
      <c r="E111" s="1556" t="s">
        <v>1870</v>
      </c>
      <c r="F111" s="1556" t="s">
        <v>1871</v>
      </c>
      <c r="G111" s="1557">
        <v>41204</v>
      </c>
      <c r="H111" s="1558">
        <v>41164</v>
      </c>
      <c r="I111" s="1556" t="s">
        <v>1038</v>
      </c>
      <c r="J111" s="1556" t="s">
        <v>138</v>
      </c>
      <c r="K111" s="1555">
        <v>2407</v>
      </c>
      <c r="L111" s="1556" t="s">
        <v>1872</v>
      </c>
      <c r="M111" s="1556" t="s">
        <v>1674</v>
      </c>
    </row>
    <row r="112" spans="4:13" ht="30" hidden="1">
      <c r="D112" s="1555">
        <v>6585</v>
      </c>
      <c r="E112" s="1556" t="s">
        <v>1873</v>
      </c>
      <c r="F112" s="1556" t="s">
        <v>193</v>
      </c>
      <c r="G112" s="1557">
        <v>41082</v>
      </c>
      <c r="H112" s="1558">
        <v>41078</v>
      </c>
      <c r="I112" s="1556" t="s">
        <v>1038</v>
      </c>
      <c r="J112" s="1556" t="s">
        <v>138</v>
      </c>
      <c r="K112" s="1555">
        <v>2444</v>
      </c>
      <c r="L112" s="1556" t="s">
        <v>1874</v>
      </c>
      <c r="M112" s="1556" t="s">
        <v>1674</v>
      </c>
    </row>
    <row r="113" spans="4:13" ht="30" hidden="1">
      <c r="D113" s="1555">
        <v>6587</v>
      </c>
      <c r="E113" s="1556" t="s">
        <v>1875</v>
      </c>
      <c r="F113" s="1556" t="s">
        <v>194</v>
      </c>
      <c r="G113" s="1557">
        <v>41021</v>
      </c>
      <c r="H113" s="483"/>
      <c r="I113" s="1556" t="s">
        <v>1038</v>
      </c>
      <c r="J113" s="1556" t="s">
        <v>138</v>
      </c>
      <c r="K113" s="1555">
        <v>2445</v>
      </c>
      <c r="L113" s="1556" t="s">
        <v>1876</v>
      </c>
      <c r="M113" s="1556" t="s">
        <v>1674</v>
      </c>
    </row>
    <row r="114" spans="4:13" ht="30" hidden="1">
      <c r="D114" s="1555">
        <v>6600</v>
      </c>
      <c r="E114" s="1556" t="s">
        <v>1877</v>
      </c>
      <c r="F114" s="1556" t="s">
        <v>195</v>
      </c>
      <c r="G114" s="1557">
        <v>41149</v>
      </c>
      <c r="H114" s="483"/>
      <c r="I114" s="1556" t="s">
        <v>1038</v>
      </c>
      <c r="J114" s="1556" t="s">
        <v>138</v>
      </c>
      <c r="K114" s="1555">
        <v>2452</v>
      </c>
      <c r="L114" s="1556" t="s">
        <v>1878</v>
      </c>
      <c r="M114" s="1556" t="s">
        <v>1674</v>
      </c>
    </row>
    <row r="115" spans="4:13" ht="60">
      <c r="D115" s="1555">
        <v>6609</v>
      </c>
      <c r="E115" s="1556" t="s">
        <v>1879</v>
      </c>
      <c r="F115" s="1556" t="s">
        <v>321</v>
      </c>
      <c r="G115" s="1557">
        <v>41411</v>
      </c>
      <c r="H115" s="483"/>
      <c r="I115" s="1556" t="s">
        <v>1038</v>
      </c>
      <c r="J115" s="1556" t="s">
        <v>1694</v>
      </c>
      <c r="K115" s="1555">
        <v>2455</v>
      </c>
      <c r="L115" s="1556" t="s">
        <v>1880</v>
      </c>
      <c r="M115" s="1556" t="s">
        <v>1252</v>
      </c>
    </row>
    <row r="116" spans="4:13" ht="45">
      <c r="D116" s="1555">
        <v>6610</v>
      </c>
      <c r="E116" s="1556" t="s">
        <v>1881</v>
      </c>
      <c r="F116" s="1556" t="s">
        <v>315</v>
      </c>
      <c r="G116" s="1557">
        <v>41243</v>
      </c>
      <c r="H116" s="483"/>
      <c r="I116" s="1556" t="s">
        <v>1038</v>
      </c>
      <c r="J116" s="1556" t="s">
        <v>1694</v>
      </c>
      <c r="K116" s="1555">
        <v>2456</v>
      </c>
      <c r="L116" s="1556" t="s">
        <v>1882</v>
      </c>
      <c r="M116" s="1556" t="s">
        <v>1252</v>
      </c>
    </row>
    <row r="117" spans="4:13" ht="30" hidden="1">
      <c r="D117" s="1555">
        <v>6611</v>
      </c>
      <c r="E117" s="1556" t="s">
        <v>1883</v>
      </c>
      <c r="F117" s="1556" t="s">
        <v>197</v>
      </c>
      <c r="G117" s="1557">
        <v>40943</v>
      </c>
      <c r="H117" s="483"/>
      <c r="I117" s="1556" t="s">
        <v>1038</v>
      </c>
      <c r="J117" s="1556" t="s">
        <v>138</v>
      </c>
      <c r="K117" s="1555">
        <v>2457</v>
      </c>
      <c r="L117" s="1556" t="s">
        <v>1884</v>
      </c>
      <c r="M117" s="1556" t="s">
        <v>1674</v>
      </c>
    </row>
    <row r="118" spans="4:13" ht="30" hidden="1">
      <c r="D118" s="1555">
        <v>6612</v>
      </c>
      <c r="E118" s="1556" t="s">
        <v>1885</v>
      </c>
      <c r="F118" s="1556" t="s">
        <v>198</v>
      </c>
      <c r="G118" s="1557">
        <v>41082</v>
      </c>
      <c r="H118" s="1558">
        <v>41078</v>
      </c>
      <c r="I118" s="1556" t="s">
        <v>1038</v>
      </c>
      <c r="J118" s="1556" t="s">
        <v>1694</v>
      </c>
      <c r="K118" s="1555">
        <v>2458</v>
      </c>
      <c r="L118" s="1556" t="s">
        <v>1886</v>
      </c>
      <c r="M118" s="1556" t="s">
        <v>1674</v>
      </c>
    </row>
    <row r="119" spans="4:13" ht="30">
      <c r="D119" s="1555">
        <v>6896</v>
      </c>
      <c r="E119" s="1556" t="s">
        <v>1887</v>
      </c>
      <c r="F119" s="1556" t="s">
        <v>314</v>
      </c>
      <c r="G119" s="1557">
        <v>41182</v>
      </c>
      <c r="H119" s="483"/>
      <c r="I119" s="1556" t="s">
        <v>1038</v>
      </c>
      <c r="J119" s="1556" t="s">
        <v>1694</v>
      </c>
      <c r="K119" s="1555">
        <v>2479</v>
      </c>
      <c r="L119" s="1556" t="s">
        <v>1888</v>
      </c>
      <c r="M119" s="1556" t="s">
        <v>1252</v>
      </c>
    </row>
    <row r="120" spans="4:13" ht="45">
      <c r="D120" s="1555">
        <v>6897</v>
      </c>
      <c r="E120" s="1556" t="s">
        <v>1889</v>
      </c>
      <c r="F120" s="1556" t="s">
        <v>1890</v>
      </c>
      <c r="G120" s="1557">
        <v>41182</v>
      </c>
      <c r="H120" s="483"/>
      <c r="I120" s="1556" t="s">
        <v>1038</v>
      </c>
      <c r="J120" s="1556" t="s">
        <v>1694</v>
      </c>
      <c r="K120" s="1555">
        <v>2480</v>
      </c>
      <c r="L120" s="1556" t="s">
        <v>1891</v>
      </c>
      <c r="M120" s="1556" t="s">
        <v>1252</v>
      </c>
    </row>
    <row r="121" spans="4:13" ht="30">
      <c r="D121" s="1555">
        <v>6898</v>
      </c>
      <c r="E121" s="1556" t="s">
        <v>1892</v>
      </c>
      <c r="F121" s="1556" t="s">
        <v>361</v>
      </c>
      <c r="G121" s="1557">
        <v>41182</v>
      </c>
      <c r="H121" s="483"/>
      <c r="I121" s="1556" t="s">
        <v>1038</v>
      </c>
      <c r="J121" s="1556" t="s">
        <v>1694</v>
      </c>
      <c r="K121" s="1555">
        <v>2481</v>
      </c>
      <c r="L121" s="1556" t="s">
        <v>1893</v>
      </c>
      <c r="M121" s="1556" t="s">
        <v>1252</v>
      </c>
    </row>
    <row r="122" spans="4:13" ht="30">
      <c r="D122" s="1555">
        <v>7016</v>
      </c>
      <c r="E122" s="1556" t="s">
        <v>1894</v>
      </c>
      <c r="F122" s="1556" t="s">
        <v>432</v>
      </c>
      <c r="G122" s="1557">
        <v>41182</v>
      </c>
      <c r="H122" s="483"/>
      <c r="I122" s="1556" t="s">
        <v>1038</v>
      </c>
      <c r="J122" s="1556" t="s">
        <v>1694</v>
      </c>
      <c r="K122" s="1555">
        <v>2496</v>
      </c>
      <c r="L122" s="1556" t="s">
        <v>1895</v>
      </c>
      <c r="M122" s="1556" t="s">
        <v>1252</v>
      </c>
    </row>
    <row r="123" spans="4:13" ht="30" hidden="1">
      <c r="D123" s="1555">
        <v>7019</v>
      </c>
      <c r="E123" s="1556" t="s">
        <v>1896</v>
      </c>
      <c r="F123" s="1556" t="s">
        <v>200</v>
      </c>
      <c r="G123" s="1557">
        <v>41214</v>
      </c>
      <c r="H123" s="1558">
        <v>41214</v>
      </c>
      <c r="I123" s="1556" t="s">
        <v>1038</v>
      </c>
      <c r="J123" s="1556" t="s">
        <v>138</v>
      </c>
      <c r="K123" s="1555">
        <v>2497</v>
      </c>
      <c r="L123" s="1556" t="s">
        <v>1897</v>
      </c>
      <c r="M123" s="1556" t="s">
        <v>1674</v>
      </c>
    </row>
    <row r="124" spans="4:13" ht="30">
      <c r="D124" s="1555">
        <v>7371</v>
      </c>
      <c r="E124" s="1556" t="s">
        <v>1898</v>
      </c>
      <c r="F124" s="1556" t="s">
        <v>201</v>
      </c>
      <c r="G124" s="1557">
        <v>41485</v>
      </c>
      <c r="H124" s="483"/>
      <c r="I124" s="1556" t="s">
        <v>1038</v>
      </c>
      <c r="J124" s="1556" t="s">
        <v>1694</v>
      </c>
      <c r="K124" s="1555">
        <v>2527</v>
      </c>
      <c r="L124" s="1556" t="s">
        <v>1899</v>
      </c>
      <c r="M124" s="1556" t="s">
        <v>1252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1900</v>
      </c>
      <c r="G3" s="436" t="s">
        <v>1901</v>
      </c>
    </row>
    <row r="4" spans="2:7">
      <c r="B4" s="447" t="s">
        <v>1902</v>
      </c>
      <c r="C4" s="447" t="s">
        <v>1903</v>
      </c>
      <c r="D4" s="447" t="s">
        <v>931</v>
      </c>
      <c r="E4" s="436"/>
      <c r="F4" s="1559" t="s">
        <v>1904</v>
      </c>
      <c r="G4" s="1560" t="e">
        <f>(C10*G7)/G5</f>
        <v>#REF!</v>
      </c>
    </row>
    <row r="5" spans="2:7">
      <c r="B5" s="1561" t="s">
        <v>1905</v>
      </c>
      <c r="C5" s="1562"/>
      <c r="D5" s="1563"/>
      <c r="F5" s="1559" t="s">
        <v>1906</v>
      </c>
      <c r="G5" s="1564" t="e">
        <f>(((1+C7)^G6)*C7)/(((1+C7)^G6)-1)</f>
        <v>#REF!</v>
      </c>
    </row>
    <row r="6" spans="2:7">
      <c r="B6" s="1561" t="s">
        <v>1907</v>
      </c>
      <c r="C6" s="1562"/>
      <c r="D6" s="1563"/>
      <c r="F6" s="1559" t="s">
        <v>1908</v>
      </c>
      <c r="G6" s="1565" t="e">
        <f>G7/(C8*C9)</f>
        <v>#REF!</v>
      </c>
    </row>
    <row r="7" spans="2:7">
      <c r="B7" s="1561" t="s">
        <v>1909</v>
      </c>
      <c r="C7" s="1566">
        <f>'BD-NET'!Q189</f>
        <v>8.1942000000000001E-2</v>
      </c>
      <c r="D7" s="1563"/>
      <c r="F7" s="1559" t="s">
        <v>1910</v>
      </c>
      <c r="G7" s="1567">
        <f>12*(20000*C6+10000*C5)</f>
        <v>0</v>
      </c>
    </row>
    <row r="8" spans="2:7">
      <c r="B8" s="1561" t="s">
        <v>1911</v>
      </c>
      <c r="C8" s="1568" t="e">
        <f>C24</f>
        <v>#REF!</v>
      </c>
      <c r="D8" s="1569" t="s">
        <v>1912</v>
      </c>
    </row>
    <row r="9" spans="2:7">
      <c r="B9" s="1561" t="s">
        <v>1913</v>
      </c>
      <c r="C9" s="1570"/>
      <c r="D9" s="1563"/>
    </row>
    <row r="10" spans="2:7">
      <c r="B10" s="1561" t="s">
        <v>1914</v>
      </c>
      <c r="C10" s="1571" t="e">
        <f>F14</f>
        <v>#REF!</v>
      </c>
      <c r="D10" s="1563"/>
    </row>
    <row r="12" spans="2:7">
      <c r="B12" s="447" t="s">
        <v>1915</v>
      </c>
      <c r="C12" s="447" t="s">
        <v>799</v>
      </c>
      <c r="D12" s="447" t="s">
        <v>1916</v>
      </c>
      <c r="E12" s="447" t="s">
        <v>1917</v>
      </c>
      <c r="F12" s="447" t="s">
        <v>1918</v>
      </c>
    </row>
    <row r="13" spans="2:7" ht="13.5" thickBot="1">
      <c r="B13" s="1561" t="s">
        <v>1919</v>
      </c>
      <c r="C13" s="1572" t="e">
        <f>C38</f>
        <v>#REF!</v>
      </c>
      <c r="D13" s="1561"/>
      <c r="E13" s="1561"/>
      <c r="F13" s="1573"/>
    </row>
    <row r="14" spans="2:7" ht="13.5" thickBot="1">
      <c r="B14" s="1561" t="s">
        <v>1920</v>
      </c>
      <c r="C14" s="1572" t="e">
        <f>(C32+E55)*($C$38/$C$35)</f>
        <v>#REF!</v>
      </c>
      <c r="D14" s="1574" t="e">
        <f>$C$17*(C14/($C$14+$C$15+$C$16))</f>
        <v>#REF!</v>
      </c>
      <c r="E14" s="1575" t="e">
        <f>C14-D14</f>
        <v>#REF!</v>
      </c>
      <c r="F14" s="470" t="e">
        <f>E14/$C$13</f>
        <v>#REF!</v>
      </c>
      <c r="G14" s="471" t="s">
        <v>1921</v>
      </c>
    </row>
    <row r="15" spans="2:7">
      <c r="B15" s="1561" t="s">
        <v>1922</v>
      </c>
      <c r="C15" s="1572" t="e">
        <f>C27*($C$38/$C$35)</f>
        <v>#REF!</v>
      </c>
      <c r="D15" s="1574" t="e">
        <f>$C$17*(C15/($C$14+$C$15+$C$16))</f>
        <v>#REF!</v>
      </c>
      <c r="E15" s="1574" t="e">
        <f>C15-D15</f>
        <v>#REF!</v>
      </c>
      <c r="F15" s="1576" t="e">
        <f>E15/$C$13</f>
        <v>#REF!</v>
      </c>
    </row>
    <row r="16" spans="2:7">
      <c r="B16" s="1561" t="s">
        <v>1923</v>
      </c>
      <c r="C16" s="1572" t="e">
        <f>(C33+D54)*($C$38/$C$35)</f>
        <v>#REF!</v>
      </c>
      <c r="D16" s="1574" t="e">
        <f>$C$17*(C16/($C$14+$C$15+$C$16))</f>
        <v>#REF!</v>
      </c>
      <c r="E16" s="1574" t="e">
        <f>C16-D16</f>
        <v>#REF!</v>
      </c>
      <c r="F16" s="1577" t="e">
        <f>E16/$C$13</f>
        <v>#REF!</v>
      </c>
    </row>
    <row r="17" spans="2:6">
      <c r="B17" s="1561" t="s">
        <v>1924</v>
      </c>
      <c r="C17" s="1572" t="e">
        <f>C39</f>
        <v>#REF!</v>
      </c>
      <c r="D17" s="1561"/>
      <c r="E17" s="1561"/>
      <c r="F17" s="1578" t="e">
        <f>C17/C13</f>
        <v>#REF!</v>
      </c>
    </row>
    <row r="18" spans="2:6">
      <c r="D18" s="452" t="e">
        <f>SUM(D14:D17)</f>
        <v>#REF!</v>
      </c>
      <c r="F18" s="1579" t="e">
        <f>SUM(F14:F17)</f>
        <v>#REF!</v>
      </c>
    </row>
    <row r="19" spans="2:6">
      <c r="B19" s="443" t="s">
        <v>1925</v>
      </c>
    </row>
    <row r="20" spans="2:6">
      <c r="B20" s="443"/>
    </row>
    <row r="21" spans="2:6">
      <c r="B21" s="1580" t="s">
        <v>1926</v>
      </c>
      <c r="C21" s="1581" t="e">
        <f>LnkTxtPBCAOMCAA</f>
        <v>#NAME?</v>
      </c>
    </row>
    <row r="22" spans="2:6">
      <c r="B22" s="444" t="s">
        <v>1927</v>
      </c>
      <c r="C22" s="445">
        <v>1.15E-2</v>
      </c>
    </row>
    <row r="23" spans="2:6">
      <c r="B23" s="444" t="s">
        <v>1928</v>
      </c>
      <c r="C23" s="445">
        <v>0</v>
      </c>
    </row>
    <row r="24" spans="2:6">
      <c r="B24" s="1580" t="s">
        <v>1929</v>
      </c>
      <c r="C24" s="1581" t="e">
        <f>#REF!+#REF!</f>
        <v>#REF!</v>
      </c>
    </row>
    <row r="27" spans="2:6">
      <c r="B27" s="1580" t="s">
        <v>1930</v>
      </c>
      <c r="C27" s="1581" t="e">
        <f>#REF!</f>
        <v>#REF!</v>
      </c>
    </row>
    <row r="28" spans="2:6">
      <c r="B28" s="444" t="s">
        <v>1931</v>
      </c>
      <c r="C28" s="450" t="e">
        <f>#REF!</f>
        <v>#REF!</v>
      </c>
    </row>
    <row r="29" spans="2:6">
      <c r="B29" s="444" t="s">
        <v>1932</v>
      </c>
      <c r="C29" s="450"/>
    </row>
    <row r="30" spans="2:6">
      <c r="B30" s="444" t="s">
        <v>1933</v>
      </c>
      <c r="C30" s="450" t="e">
        <f>#REF!</f>
        <v>#REF!</v>
      </c>
    </row>
    <row r="31" spans="2:6">
      <c r="B31" s="1580" t="s">
        <v>1934</v>
      </c>
      <c r="C31" s="1581" t="e">
        <f>#REF!</f>
        <v>#REF!</v>
      </c>
    </row>
    <row r="32" spans="2:6">
      <c r="B32" s="444" t="s">
        <v>1935</v>
      </c>
      <c r="C32" s="450" t="e">
        <f>#REF!</f>
        <v>#REF!</v>
      </c>
    </row>
    <row r="33" spans="2:4">
      <c r="B33" s="444" t="s">
        <v>1936</v>
      </c>
      <c r="C33" s="450" t="e">
        <f>#REF!</f>
        <v>#REF!</v>
      </c>
    </row>
    <row r="34" spans="2:4">
      <c r="B34" s="444" t="s">
        <v>1937</v>
      </c>
      <c r="C34" s="450" t="e">
        <f>#REF!</f>
        <v>#REF!</v>
      </c>
    </row>
    <row r="35" spans="2:4">
      <c r="B35" s="1580" t="s">
        <v>1926</v>
      </c>
      <c r="C35" s="1581" t="e">
        <f>C21</f>
        <v>#NAME?</v>
      </c>
    </row>
    <row r="36" spans="2:4">
      <c r="B36" s="444" t="s">
        <v>1927</v>
      </c>
      <c r="C36" s="445">
        <f>C22</f>
        <v>1.15E-2</v>
      </c>
    </row>
    <row r="37" spans="2:4">
      <c r="B37" s="444" t="s">
        <v>1928</v>
      </c>
      <c r="C37" s="445">
        <f>C23</f>
        <v>0</v>
      </c>
    </row>
    <row r="38" spans="2:4">
      <c r="B38" s="1580" t="s">
        <v>1929</v>
      </c>
      <c r="C38" s="1581" t="e">
        <f>C24</f>
        <v>#REF!</v>
      </c>
    </row>
    <row r="39" spans="2:4">
      <c r="B39" s="444" t="s">
        <v>1938</v>
      </c>
      <c r="C39" s="450" t="e">
        <f>#REF!</f>
        <v>#REF!</v>
      </c>
    </row>
    <row r="40" spans="2:4">
      <c r="B40" s="1582" t="s">
        <v>1939</v>
      </c>
      <c r="C40" s="1583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1940</v>
      </c>
      <c r="C2" s="439"/>
      <c r="H2" s="440" t="s">
        <v>1941</v>
      </c>
    </row>
    <row r="3" spans="2:17">
      <c r="B3" s="1584" t="s">
        <v>1902</v>
      </c>
      <c r="C3" s="1584" t="s">
        <v>1903</v>
      </c>
      <c r="D3" s="1585" t="s">
        <v>931</v>
      </c>
      <c r="E3" s="1585" t="s">
        <v>1942</v>
      </c>
      <c r="F3" s="1585" t="s">
        <v>1943</v>
      </c>
      <c r="H3" s="440" t="s">
        <v>1944</v>
      </c>
      <c r="M3" s="435" t="s">
        <v>1945</v>
      </c>
      <c r="O3" s="435" t="s">
        <v>1945</v>
      </c>
      <c r="P3" s="435" t="s">
        <v>1945</v>
      </c>
    </row>
    <row r="4" spans="2:17">
      <c r="B4" s="1586" t="s">
        <v>1946</v>
      </c>
      <c r="C4" s="1587" t="e">
        <f>12*C5*(1-$E$13)*1/$E$16</f>
        <v>#DIV/0!</v>
      </c>
      <c r="D4" s="1563" t="s">
        <v>1947</v>
      </c>
      <c r="E4" s="1563"/>
      <c r="F4" s="1563"/>
      <c r="H4" s="1584" t="s">
        <v>1948</v>
      </c>
      <c r="I4" s="1584" t="s">
        <v>1949</v>
      </c>
      <c r="J4" s="1584" t="s">
        <v>1950</v>
      </c>
      <c r="K4" s="1584" t="s">
        <v>1951</v>
      </c>
      <c r="L4" s="1584" t="s">
        <v>1952</v>
      </c>
      <c r="M4" s="1584" t="s">
        <v>972</v>
      </c>
      <c r="N4" s="1584" t="s">
        <v>596</v>
      </c>
      <c r="O4" s="1584" t="s">
        <v>600</v>
      </c>
      <c r="P4" s="1584" t="s">
        <v>598</v>
      </c>
      <c r="Q4" s="1584" t="s">
        <v>601</v>
      </c>
    </row>
    <row r="5" spans="2:17">
      <c r="B5" s="1586" t="s">
        <v>1907</v>
      </c>
      <c r="C5" s="1588"/>
      <c r="D5" s="1563"/>
      <c r="E5" s="1563"/>
      <c r="F5" s="1563" t="s">
        <v>1953</v>
      </c>
      <c r="H5" s="1586" t="s">
        <v>1946</v>
      </c>
      <c r="I5" s="1587" t="e">
        <f t="shared" ref="I5:Q5" si="0">12*I6*(1-$E$13)*1/$E$16</f>
        <v>#DIV/0!</v>
      </c>
      <c r="J5" s="1587" t="e">
        <f t="shared" si="0"/>
        <v>#DIV/0!</v>
      </c>
      <c r="K5" s="1587" t="e">
        <f t="shared" si="0"/>
        <v>#DIV/0!</v>
      </c>
      <c r="L5" s="1587" t="e">
        <f t="shared" si="0"/>
        <v>#DIV/0!</v>
      </c>
      <c r="M5" s="1587" t="e">
        <f t="shared" si="0"/>
        <v>#DIV/0!</v>
      </c>
      <c r="N5" s="1587" t="e">
        <f t="shared" si="0"/>
        <v>#DIV/0!</v>
      </c>
      <c r="O5" s="1587" t="e">
        <f t="shared" si="0"/>
        <v>#DIV/0!</v>
      </c>
      <c r="P5" s="1587" t="e">
        <f t="shared" si="0"/>
        <v>#DIV/0!</v>
      </c>
      <c r="Q5" s="1587" t="e">
        <f t="shared" si="0"/>
        <v>#DIV/0!</v>
      </c>
    </row>
    <row r="6" spans="2:17">
      <c r="B6" s="1586" t="s">
        <v>1954</v>
      </c>
      <c r="C6" s="1589"/>
      <c r="D6" s="1563" t="s">
        <v>1955</v>
      </c>
      <c r="E6" s="1563"/>
      <c r="F6" s="1590"/>
      <c r="H6" s="1586" t="s">
        <v>1907</v>
      </c>
      <c r="I6" s="1591"/>
      <c r="J6" s="1591"/>
      <c r="K6" s="1591"/>
      <c r="L6" s="1591"/>
      <c r="M6" s="1562"/>
      <c r="N6" s="1592"/>
      <c r="O6" s="1562"/>
      <c r="P6" s="1562"/>
      <c r="Q6" s="1562"/>
    </row>
    <row r="7" spans="2:17">
      <c r="B7" s="1586" t="s">
        <v>1956</v>
      </c>
      <c r="C7" s="1589"/>
      <c r="D7" s="1563" t="s">
        <v>1957</v>
      </c>
      <c r="E7" s="1563"/>
      <c r="F7" s="1590"/>
      <c r="H7" s="1586" t="s">
        <v>1954</v>
      </c>
      <c r="I7" s="1805">
        <f>C6</f>
        <v>0</v>
      </c>
      <c r="J7" s="1806"/>
      <c r="K7" s="1806"/>
      <c r="L7" s="1806"/>
      <c r="M7" s="1806"/>
      <c r="N7" s="1806"/>
      <c r="O7" s="1806"/>
      <c r="P7" s="1806"/>
      <c r="Q7" s="1807"/>
    </row>
    <row r="8" spans="2:17">
      <c r="B8" s="1586" t="s">
        <v>1958</v>
      </c>
      <c r="C8" s="1593"/>
      <c r="D8" s="1563" t="s">
        <v>1959</v>
      </c>
      <c r="E8" s="1563" t="s">
        <v>1960</v>
      </c>
      <c r="F8" s="1594"/>
      <c r="G8" s="441"/>
      <c r="H8" s="1586" t="s">
        <v>1958</v>
      </c>
      <c r="I8" s="1808">
        <f>C8</f>
        <v>0</v>
      </c>
      <c r="J8" s="1809"/>
      <c r="K8" s="1809"/>
      <c r="L8" s="1809"/>
      <c r="M8" s="1809"/>
      <c r="N8" s="1809"/>
      <c r="O8" s="1809"/>
      <c r="P8" s="1809"/>
      <c r="Q8" s="1810"/>
    </row>
    <row r="9" spans="2:17">
      <c r="B9" s="1586" t="s">
        <v>1961</v>
      </c>
      <c r="C9" s="1589"/>
      <c r="D9" s="1563" t="s">
        <v>1962</v>
      </c>
      <c r="E9" s="1563"/>
      <c r="F9" s="1594"/>
      <c r="H9" s="1586" t="s">
        <v>1961</v>
      </c>
      <c r="I9" s="1805">
        <f>C9</f>
        <v>0</v>
      </c>
      <c r="J9" s="1806"/>
      <c r="K9" s="1806"/>
      <c r="L9" s="1806"/>
      <c r="M9" s="1806"/>
      <c r="N9" s="1806"/>
      <c r="O9" s="1806"/>
      <c r="P9" s="1806"/>
      <c r="Q9" s="1807"/>
    </row>
    <row r="10" spans="2:17">
      <c r="B10" s="1586" t="s">
        <v>1963</v>
      </c>
      <c r="C10" s="1593"/>
      <c r="D10" s="1563" t="s">
        <v>1964</v>
      </c>
      <c r="E10" s="1563" t="s">
        <v>1965</v>
      </c>
      <c r="F10" s="1594"/>
      <c r="G10" s="441"/>
      <c r="H10" s="1586" t="s">
        <v>1963</v>
      </c>
      <c r="I10" s="1811">
        <f>C10</f>
        <v>0</v>
      </c>
      <c r="J10" s="1812"/>
      <c r="K10" s="1812"/>
      <c r="L10" s="1812"/>
      <c r="M10" s="1812"/>
      <c r="N10" s="1812"/>
      <c r="O10" s="1812"/>
      <c r="P10" s="1812"/>
      <c r="Q10" s="1813"/>
    </row>
    <row r="12" spans="2:17">
      <c r="D12" s="438" t="s">
        <v>1966</v>
      </c>
    </row>
    <row r="13" spans="2:17">
      <c r="D13" s="1559" t="s">
        <v>1967</v>
      </c>
      <c r="E13" s="1595" t="e">
        <f>C10/C8</f>
        <v>#DIV/0!</v>
      </c>
      <c r="H13" s="440" t="s">
        <v>1968</v>
      </c>
      <c r="M13" s="442">
        <v>4.2321999999999997</v>
      </c>
    </row>
    <row r="14" spans="2:17">
      <c r="D14" s="1559" t="s">
        <v>1969</v>
      </c>
      <c r="E14" s="1596" t="e">
        <f>1/C9</f>
        <v>#DIV/0!</v>
      </c>
      <c r="H14" s="440" t="s">
        <v>1970</v>
      </c>
      <c r="M14" s="435">
        <v>1.01916916988504</v>
      </c>
    </row>
    <row r="15" spans="2:17">
      <c r="D15" s="1559" t="s">
        <v>1971</v>
      </c>
      <c r="E15" s="1597">
        <f>ROUND(C6/(1-C7),4)</f>
        <v>0</v>
      </c>
      <c r="H15" s="440" t="s">
        <v>1972</v>
      </c>
      <c r="M15" s="435">
        <f>M13*M14</f>
        <v>4.313327760787466</v>
      </c>
    </row>
    <row r="16" spans="2:17">
      <c r="D16" s="1559" t="s">
        <v>1906</v>
      </c>
      <c r="E16" s="1598" t="e">
        <f>(((1+E15)^E14)*E15)/((1+E15)^E14-1)</f>
        <v>#DIV/0!</v>
      </c>
      <c r="H16" s="440" t="s">
        <v>1973</v>
      </c>
      <c r="M16" s="435">
        <v>0.3</v>
      </c>
    </row>
    <row r="17" spans="2:13">
      <c r="H17" s="440" t="s">
        <v>1974</v>
      </c>
      <c r="M17" s="435">
        <v>0.4</v>
      </c>
    </row>
    <row r="18" spans="2:13">
      <c r="H18" s="440" t="s">
        <v>1975</v>
      </c>
      <c r="M18" s="435">
        <v>0</v>
      </c>
    </row>
    <row r="20" spans="2:13">
      <c r="B20" s="1580" t="s">
        <v>1926</v>
      </c>
      <c r="C20" s="1581" t="e">
        <f>'REN 473'!C21</f>
        <v>#NAME?</v>
      </c>
      <c r="E20" s="443" t="s">
        <v>1976</v>
      </c>
      <c r="F20" s="443"/>
    </row>
    <row r="21" spans="2:13">
      <c r="B21" s="444" t="s">
        <v>1927</v>
      </c>
      <c r="C21" s="445">
        <f>'REN 473'!C22</f>
        <v>1.15E-2</v>
      </c>
      <c r="E21" s="446" t="s">
        <v>852</v>
      </c>
      <c r="F21" s="447" t="s">
        <v>37</v>
      </c>
    </row>
    <row r="22" spans="2:13">
      <c r="B22" s="444" t="s">
        <v>1928</v>
      </c>
      <c r="C22" s="445">
        <f>'REN 473'!C23</f>
        <v>0</v>
      </c>
      <c r="E22" s="448" t="s">
        <v>1977</v>
      </c>
      <c r="F22" s="449"/>
    </row>
    <row r="23" spans="2:13">
      <c r="B23" s="1580" t="s">
        <v>1929</v>
      </c>
      <c r="C23" s="1581" t="e">
        <f>'REN 473'!C24</f>
        <v>#REF!</v>
      </c>
      <c r="E23" s="448" t="s">
        <v>1978</v>
      </c>
      <c r="F23" s="449"/>
    </row>
    <row r="24" spans="2:13">
      <c r="E24" s="448" t="s">
        <v>1979</v>
      </c>
      <c r="F24" s="449"/>
    </row>
    <row r="25" spans="2:13">
      <c r="B25" s="1580" t="s">
        <v>1930</v>
      </c>
      <c r="C25" s="1599"/>
      <c r="E25" s="448" t="s">
        <v>1980</v>
      </c>
      <c r="F25" s="449"/>
    </row>
    <row r="26" spans="2:13">
      <c r="B26" s="444" t="s">
        <v>1931</v>
      </c>
      <c r="C26" s="472"/>
      <c r="E26" s="1600" t="s">
        <v>1981</v>
      </c>
      <c r="F26" s="1601"/>
    </row>
    <row r="27" spans="2:13">
      <c r="B27" s="444" t="s">
        <v>1932</v>
      </c>
      <c r="C27" s="472"/>
      <c r="E27" s="448" t="s">
        <v>1982</v>
      </c>
      <c r="F27" s="451"/>
    </row>
    <row r="28" spans="2:13">
      <c r="B28" s="1582" t="s">
        <v>1933</v>
      </c>
      <c r="C28" s="1602"/>
      <c r="E28" s="1600" t="s">
        <v>1983</v>
      </c>
      <c r="F28" s="1601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1984</v>
      </c>
      <c r="C2" s="9" t="s">
        <v>37</v>
      </c>
    </row>
    <row r="3" spans="2:3">
      <c r="B3" s="64" t="s">
        <v>1985</v>
      </c>
      <c r="C3" t="e">
        <f t="shared" ref="C3:C66" ca="1" si="0">INDIRECT(B3)</f>
        <v>#REF!</v>
      </c>
    </row>
    <row r="4" spans="2:3">
      <c r="B4" s="64" t="s">
        <v>1986</v>
      </c>
      <c r="C4" t="e">
        <f t="shared" ca="1" si="0"/>
        <v>#REF!</v>
      </c>
    </row>
    <row r="5" spans="2:3">
      <c r="B5" s="64" t="s">
        <v>1987</v>
      </c>
      <c r="C5" t="e">
        <f t="shared" ca="1" si="0"/>
        <v>#REF!</v>
      </c>
    </row>
    <row r="6" spans="2:3">
      <c r="B6" s="64" t="s">
        <v>1988</v>
      </c>
      <c r="C6" t="e">
        <f t="shared" ca="1" si="0"/>
        <v>#REF!</v>
      </c>
    </row>
    <row r="7" spans="2:3">
      <c r="B7" s="64" t="s">
        <v>1989</v>
      </c>
      <c r="C7" t="e">
        <f t="shared" ca="1" si="0"/>
        <v>#REF!</v>
      </c>
    </row>
    <row r="8" spans="2:3">
      <c r="B8" s="64" t="s">
        <v>1990</v>
      </c>
      <c r="C8" t="e">
        <f t="shared" ca="1" si="0"/>
        <v>#REF!</v>
      </c>
    </row>
    <row r="9" spans="2:3">
      <c r="B9" s="64" t="s">
        <v>1991</v>
      </c>
      <c r="C9" t="e">
        <f t="shared" ca="1" si="0"/>
        <v>#REF!</v>
      </c>
    </row>
    <row r="10" spans="2:3">
      <c r="B10" s="64" t="s">
        <v>1992</v>
      </c>
      <c r="C10" t="e">
        <f t="shared" ca="1" si="0"/>
        <v>#REF!</v>
      </c>
    </row>
    <row r="11" spans="2:3">
      <c r="B11" s="64" t="s">
        <v>1993</v>
      </c>
      <c r="C11" t="e">
        <f t="shared" ca="1" si="0"/>
        <v>#REF!</v>
      </c>
    </row>
    <row r="12" spans="2:3">
      <c r="B12" s="63" t="s">
        <v>1994</v>
      </c>
      <c r="C12" t="e">
        <f t="shared" ca="1" si="0"/>
        <v>#REF!</v>
      </c>
    </row>
    <row r="13" spans="2:3">
      <c r="B13" s="63" t="s">
        <v>1995</v>
      </c>
      <c r="C13" t="e">
        <f t="shared" ca="1" si="0"/>
        <v>#REF!</v>
      </c>
    </row>
    <row r="14" spans="2:3">
      <c r="B14" s="63" t="s">
        <v>1996</v>
      </c>
      <c r="C14">
        <f t="shared" ca="1" si="0"/>
        <v>2022</v>
      </c>
    </row>
    <row r="15" spans="2:3">
      <c r="B15" s="63" t="s">
        <v>1997</v>
      </c>
      <c r="C15">
        <f t="shared" ca="1" si="0"/>
        <v>2022</v>
      </c>
    </row>
    <row r="16" spans="2:3">
      <c r="B16" s="63" t="s">
        <v>1998</v>
      </c>
      <c r="C16">
        <f t="shared" ca="1" si="0"/>
        <v>44772</v>
      </c>
    </row>
    <row r="17" spans="2:3">
      <c r="B17" s="63" t="s">
        <v>1999</v>
      </c>
      <c r="C17">
        <f t="shared" ca="1" si="0"/>
        <v>92055.148000000016</v>
      </c>
    </row>
    <row r="18" spans="2:3">
      <c r="B18" s="63" t="s">
        <v>2000</v>
      </c>
      <c r="C18">
        <f t="shared" ca="1" si="0"/>
        <v>0</v>
      </c>
    </row>
    <row r="19" spans="2:3">
      <c r="B19" s="63" t="s">
        <v>2001</v>
      </c>
      <c r="C19">
        <f t="shared" ca="1" si="0"/>
        <v>76676.367000000013</v>
      </c>
    </row>
    <row r="20" spans="2:3">
      <c r="B20" s="63" t="s">
        <v>2002</v>
      </c>
      <c r="C20" t="e">
        <f t="shared" ca="1" si="0"/>
        <v>#VALUE!</v>
      </c>
    </row>
    <row r="21" spans="2:3">
      <c r="B21" s="63" t="s">
        <v>2003</v>
      </c>
      <c r="C21">
        <f t="shared" ca="1" si="0"/>
        <v>5343</v>
      </c>
    </row>
    <row r="22" spans="2:3">
      <c r="B22" s="63" t="s">
        <v>1141</v>
      </c>
      <c r="C22">
        <f t="shared" ca="1" si="0"/>
        <v>265</v>
      </c>
    </row>
    <row r="23" spans="2:3">
      <c r="B23" s="63" t="s">
        <v>2004</v>
      </c>
      <c r="C23">
        <f t="shared" ca="1" si="0"/>
        <v>0.11088586848758</v>
      </c>
    </row>
    <row r="24" spans="2:3">
      <c r="B24" s="63" t="s">
        <v>2005</v>
      </c>
      <c r="C24" t="e">
        <f t="shared" ca="1" si="0"/>
        <v>#REF!</v>
      </c>
    </row>
    <row r="25" spans="2:3">
      <c r="B25" s="63" t="s">
        <v>2006</v>
      </c>
      <c r="C25">
        <f t="shared" ca="1" si="0"/>
        <v>296.577</v>
      </c>
    </row>
    <row r="26" spans="2:3">
      <c r="B26" s="63" t="s">
        <v>2007</v>
      </c>
      <c r="C26">
        <f t="shared" ca="1" si="0"/>
        <v>0</v>
      </c>
    </row>
    <row r="27" spans="2:3">
      <c r="B27" s="63" t="s">
        <v>2008</v>
      </c>
      <c r="C27" t="e">
        <f t="shared" ca="1" si="0"/>
        <v>#REF!</v>
      </c>
    </row>
    <row r="28" spans="2:3">
      <c r="B28" s="63" t="s">
        <v>2009</v>
      </c>
      <c r="C28" t="e">
        <f t="shared" ca="1" si="0"/>
        <v>#REF!</v>
      </c>
    </row>
    <row r="29" spans="2:3">
      <c r="B29" s="63" t="s">
        <v>2010</v>
      </c>
      <c r="C29">
        <f t="shared" ca="1" si="0"/>
        <v>0</v>
      </c>
    </row>
    <row r="30" spans="2:3">
      <c r="B30" s="63" t="s">
        <v>2011</v>
      </c>
      <c r="C30">
        <f t="shared" ca="1" si="0"/>
        <v>23597</v>
      </c>
    </row>
    <row r="31" spans="2:3">
      <c r="B31" s="63" t="s">
        <v>2012</v>
      </c>
      <c r="C31">
        <f t="shared" ca="1" si="0"/>
        <v>44772</v>
      </c>
    </row>
    <row r="32" spans="2:3">
      <c r="B32" s="63" t="s">
        <v>2013</v>
      </c>
      <c r="C32" t="e">
        <f t="shared" ca="1" si="0"/>
        <v>#REF!</v>
      </c>
    </row>
    <row r="33" spans="2:3">
      <c r="B33" s="63" t="s">
        <v>2014</v>
      </c>
      <c r="C33">
        <f t="shared" ca="1" si="0"/>
        <v>0.16761577750014472</v>
      </c>
    </row>
    <row r="34" spans="2:3">
      <c r="B34" s="63" t="s">
        <v>2015</v>
      </c>
      <c r="C34" t="e">
        <f t="shared" ca="1" si="0"/>
        <v>#REF!</v>
      </c>
    </row>
    <row r="35" spans="2:3">
      <c r="B35" s="63" t="s">
        <v>2016</v>
      </c>
      <c r="C35">
        <f t="shared" ca="1" si="0"/>
        <v>-753199.52656899451</v>
      </c>
    </row>
    <row r="36" spans="2:3">
      <c r="B36" s="63" t="s">
        <v>2017</v>
      </c>
      <c r="C36" t="e">
        <f t="shared" ca="1" si="0"/>
        <v>#REF!</v>
      </c>
    </row>
    <row r="37" spans="2:3">
      <c r="B37" s="63" t="s">
        <v>2018</v>
      </c>
      <c r="C37" t="e">
        <f t="shared" ca="1" si="0"/>
        <v>#REF!</v>
      </c>
    </row>
    <row r="38" spans="2:3">
      <c r="B38" s="64" t="s">
        <v>2019</v>
      </c>
      <c r="C38" t="e">
        <f t="shared" ca="1" si="0"/>
        <v>#REF!</v>
      </c>
    </row>
    <row r="39" spans="2:3">
      <c r="B39" s="63" t="s">
        <v>2020</v>
      </c>
      <c r="C39" t="e">
        <f t="shared" ca="1" si="0"/>
        <v>#REF!</v>
      </c>
    </row>
    <row r="40" spans="2:3">
      <c r="B40" s="63" t="s">
        <v>2021</v>
      </c>
      <c r="C40" t="e">
        <f t="shared" ca="1" si="0"/>
        <v>#REF!</v>
      </c>
    </row>
    <row r="41" spans="2:3">
      <c r="B41" s="63" t="s">
        <v>2022</v>
      </c>
      <c r="C41">
        <f t="shared" ca="1" si="0"/>
        <v>0.13229106125529899</v>
      </c>
    </row>
    <row r="42" spans="2:3">
      <c r="B42" s="63" t="s">
        <v>2023</v>
      </c>
      <c r="C42">
        <f t="shared" ca="1" si="0"/>
        <v>0.1122626795192927</v>
      </c>
    </row>
    <row r="43" spans="2:3">
      <c r="B43" s="63" t="s">
        <v>2024</v>
      </c>
      <c r="C43">
        <f t="shared" ca="1" si="0"/>
        <v>0.13694105402149548</v>
      </c>
    </row>
    <row r="44" spans="2:3">
      <c r="B44" s="63" t="s">
        <v>2025</v>
      </c>
      <c r="C44" t="e">
        <f t="shared" ca="1" si="0"/>
        <v>#REF!</v>
      </c>
    </row>
    <row r="45" spans="2:3">
      <c r="B45" s="63" t="s">
        <v>2026</v>
      </c>
      <c r="C45" t="e">
        <f t="shared" ca="1" si="0"/>
        <v>#REF!</v>
      </c>
    </row>
    <row r="46" spans="2:3">
      <c r="B46" s="63" t="s">
        <v>2027</v>
      </c>
      <c r="C46" t="e">
        <f t="shared" ca="1" si="0"/>
        <v>#REF!</v>
      </c>
    </row>
    <row r="47" spans="2:3">
      <c r="B47" s="63" t="s">
        <v>2028</v>
      </c>
      <c r="C47">
        <f t="shared" ca="1" si="0"/>
        <v>0.13229106125529899</v>
      </c>
    </row>
    <row r="48" spans="2:3">
      <c r="B48" s="63" t="s">
        <v>2029</v>
      </c>
      <c r="C48">
        <f t="shared" ca="1" si="0"/>
        <v>23401021.987261694</v>
      </c>
    </row>
    <row r="49" spans="2:3">
      <c r="B49" s="63" t="s">
        <v>2030</v>
      </c>
      <c r="C49">
        <f t="shared" ca="1" si="0"/>
        <v>101943.65023000003</v>
      </c>
    </row>
    <row r="50" spans="2:3">
      <c r="B50" s="63" t="s">
        <v>2031</v>
      </c>
      <c r="C50">
        <f t="shared" ca="1" si="0"/>
        <v>0.37680000000000002</v>
      </c>
    </row>
    <row r="51" spans="2:3">
      <c r="B51" s="63" t="s">
        <v>2032</v>
      </c>
      <c r="C51">
        <f t="shared" ca="1" si="0"/>
        <v>92055.148000000016</v>
      </c>
    </row>
    <row r="52" spans="2:3">
      <c r="B52" s="63" t="s">
        <v>2033</v>
      </c>
      <c r="C52">
        <f t="shared" ca="1" si="0"/>
        <v>92055.148000000016</v>
      </c>
    </row>
    <row r="53" spans="2:3">
      <c r="B53" s="63" t="s">
        <v>2034</v>
      </c>
      <c r="C53">
        <f t="shared" ca="1" si="0"/>
        <v>0</v>
      </c>
    </row>
    <row r="54" spans="2:3">
      <c r="B54" s="63" t="s">
        <v>2035</v>
      </c>
      <c r="C54">
        <f t="shared" ca="1" si="0"/>
        <v>0.20136827797715001</v>
      </c>
    </row>
    <row r="55" spans="2:3">
      <c r="B55" s="63" t="s">
        <v>2036</v>
      </c>
      <c r="C55">
        <f t="shared" ca="1" si="0"/>
        <v>0</v>
      </c>
    </row>
    <row r="56" spans="2:3">
      <c r="B56" s="63" t="s">
        <v>2037</v>
      </c>
      <c r="C56">
        <f t="shared" ca="1" si="0"/>
        <v>0</v>
      </c>
    </row>
    <row r="57" spans="2:3">
      <c r="B57" s="63" t="s">
        <v>2038</v>
      </c>
      <c r="C57">
        <f t="shared" ca="1" si="0"/>
        <v>0.16761577750014472</v>
      </c>
    </row>
    <row r="58" spans="2:3">
      <c r="B58" s="63" t="s">
        <v>2039</v>
      </c>
      <c r="C58">
        <f t="shared" ca="1" si="0"/>
        <v>0.11886869625198027</v>
      </c>
    </row>
    <row r="59" spans="2:3">
      <c r="B59" s="63" t="s">
        <v>2040</v>
      </c>
      <c r="C59">
        <f t="shared" ca="1" si="0"/>
        <v>0.11886869625198027</v>
      </c>
    </row>
    <row r="60" spans="2:3">
      <c r="B60" s="63" t="s">
        <v>2041</v>
      </c>
      <c r="C60" t="e">
        <f t="shared" ca="1" si="0"/>
        <v>#REF!</v>
      </c>
    </row>
    <row r="61" spans="2:3">
      <c r="B61" s="63" t="s">
        <v>2042</v>
      </c>
      <c r="C61">
        <f t="shared" ca="1" si="0"/>
        <v>-2.3459685028532316E-2</v>
      </c>
    </row>
    <row r="62" spans="2:3">
      <c r="B62" s="63" t="s">
        <v>2043</v>
      </c>
      <c r="C62">
        <f t="shared" ca="1" si="0"/>
        <v>6.4299999999999996E-2</v>
      </c>
    </row>
    <row r="63" spans="2:3">
      <c r="B63" s="63" t="s">
        <v>2044</v>
      </c>
      <c r="C63">
        <f t="shared" ca="1" si="0"/>
        <v>3.3588574758012461E-2</v>
      </c>
    </row>
    <row r="64" spans="2:3">
      <c r="B64" s="63" t="s">
        <v>2045</v>
      </c>
      <c r="C64" t="e">
        <f t="shared" ca="1" si="0"/>
        <v>#REF!</v>
      </c>
    </row>
    <row r="65" spans="2:3">
      <c r="B65" s="63" t="s">
        <v>2046</v>
      </c>
      <c r="C65">
        <f t="shared" ca="1" si="0"/>
        <v>3.093460293788923E-2</v>
      </c>
    </row>
    <row r="66" spans="2:3">
      <c r="B66" s="63" t="s">
        <v>2047</v>
      </c>
      <c r="C66">
        <f t="shared" ca="1" si="0"/>
        <v>3.3365801112305048E-2</v>
      </c>
    </row>
    <row r="67" spans="2:3">
      <c r="B67" s="63" t="s">
        <v>2048</v>
      </c>
      <c r="C67">
        <f t="shared" ref="C67:C130" ca="1" si="1">INDIRECT(B67)</f>
        <v>2.0805713208409071E-2</v>
      </c>
    </row>
    <row r="68" spans="2:3">
      <c r="B68" s="63" t="s">
        <v>2049</v>
      </c>
      <c r="C68">
        <f t="shared" ca="1" si="1"/>
        <v>-0.2445</v>
      </c>
    </row>
    <row r="69" spans="2:3">
      <c r="B69" s="63" t="s">
        <v>2050</v>
      </c>
      <c r="C69">
        <f t="shared" ca="1" si="1"/>
        <v>-422923.7214820254</v>
      </c>
    </row>
    <row r="70" spans="2:3">
      <c r="B70" s="63" t="s">
        <v>2051</v>
      </c>
      <c r="C70" t="str">
        <f t="shared" ca="1" si="1"/>
        <v>Cooperativa de Eletrificação Centro Jacuí Ltda. - CELETRO</v>
      </c>
    </row>
    <row r="71" spans="2:3">
      <c r="B71" s="63" t="s">
        <v>2052</v>
      </c>
      <c r="C71" t="e">
        <f t="shared" ca="1" si="1"/>
        <v>#REF!</v>
      </c>
    </row>
    <row r="72" spans="2:3">
      <c r="B72" s="63" t="s">
        <v>2053</v>
      </c>
      <c r="C72">
        <f t="shared" ca="1" si="1"/>
        <v>43831</v>
      </c>
    </row>
    <row r="73" spans="2:3">
      <c r="B73" s="63" t="s">
        <v>2054</v>
      </c>
      <c r="C73" t="str">
        <f t="shared" ca="1" si="1"/>
        <v xml:space="preserve"> 48500.004968/2021-33</v>
      </c>
    </row>
    <row r="74" spans="2:3">
      <c r="B74" s="63" t="s">
        <v>2055</v>
      </c>
      <c r="C74">
        <f t="shared" ca="1" si="1"/>
        <v>0.49887377954607048</v>
      </c>
    </row>
    <row r="75" spans="2:3">
      <c r="B75" s="63" t="s">
        <v>2056</v>
      </c>
      <c r="C75">
        <f t="shared" ca="1" si="1"/>
        <v>0.50112622045392952</v>
      </c>
    </row>
    <row r="76" spans="2:3">
      <c r="B76" s="63" t="s">
        <v>2057</v>
      </c>
      <c r="C76">
        <f t="shared" ca="1" si="1"/>
        <v>9.6999687647931793E-2</v>
      </c>
    </row>
    <row r="77" spans="2:3">
      <c r="B77" s="63" t="s">
        <v>2058</v>
      </c>
      <c r="C77">
        <f t="shared" ca="1" si="1"/>
        <v>0</v>
      </c>
    </row>
    <row r="78" spans="2:3">
      <c r="B78" s="63" t="s">
        <v>2059</v>
      </c>
      <c r="C78">
        <f t="shared" ca="1" si="1"/>
        <v>9888.5022300000128</v>
      </c>
    </row>
    <row r="79" spans="2:3">
      <c r="B79" s="63" t="s">
        <v>2060</v>
      </c>
      <c r="C79">
        <f t="shared" ca="1" si="1"/>
        <v>9.6999687647931793E-2</v>
      </c>
    </row>
    <row r="80" spans="2:3">
      <c r="B80" s="63" t="s">
        <v>2061</v>
      </c>
      <c r="C80">
        <f t="shared" ca="1" si="1"/>
        <v>1964938.6301020386</v>
      </c>
    </row>
    <row r="81" spans="2:3">
      <c r="B81" s="63" t="s">
        <v>2062</v>
      </c>
      <c r="C81">
        <f t="shared" ca="1" si="1"/>
        <v>1964938.6301020386</v>
      </c>
    </row>
    <row r="82" spans="2:3">
      <c r="B82" s="64" t="s">
        <v>2063</v>
      </c>
      <c r="C82">
        <f t="shared" ca="1" si="1"/>
        <v>1498.212724965482</v>
      </c>
    </row>
    <row r="83" spans="2:3">
      <c r="B83" s="63" t="s">
        <v>2064</v>
      </c>
      <c r="C83">
        <f t="shared" ca="1" si="1"/>
        <v>89594590.976749957</v>
      </c>
    </row>
    <row r="84" spans="2:3">
      <c r="B84" s="63" t="s">
        <v>2065</v>
      </c>
      <c r="C84">
        <f t="shared" ca="1" si="1"/>
        <v>0</v>
      </c>
    </row>
    <row r="85" spans="2:3">
      <c r="B85" s="63" t="s">
        <v>2066</v>
      </c>
      <c r="C85">
        <f t="shared" ca="1" si="1"/>
        <v>0</v>
      </c>
    </row>
    <row r="86" spans="2:3">
      <c r="B86" s="63" t="s">
        <v>2067</v>
      </c>
      <c r="C86" t="str">
        <f t="shared" ca="1" si="1"/>
        <v>julho de 2021 a junho de 2022</v>
      </c>
    </row>
    <row r="87" spans="2:3">
      <c r="B87" s="63" t="s">
        <v>2068</v>
      </c>
      <c r="C87">
        <f t="shared" ca="1" si="1"/>
        <v>0</v>
      </c>
    </row>
    <row r="88" spans="2:3">
      <c r="B88" s="63" t="s">
        <v>2069</v>
      </c>
      <c r="C88" t="str">
        <f t="shared" ca="1" si="1"/>
        <v>Celetro</v>
      </c>
    </row>
    <row r="89" spans="2:3">
      <c r="B89" s="63" t="s">
        <v>2070</v>
      </c>
      <c r="C89">
        <f t="shared" ca="1" si="1"/>
        <v>-29299244.538198307</v>
      </c>
    </row>
    <row r="90" spans="2:3">
      <c r="B90" s="63" t="s">
        <v>2071</v>
      </c>
      <c r="C90" t="e">
        <f t="shared" ca="1" si="1"/>
        <v>#REF!</v>
      </c>
    </row>
    <row r="91" spans="2:3">
      <c r="B91" s="64" t="s">
        <v>2072</v>
      </c>
      <c r="C91">
        <f t="shared" ca="1" si="1"/>
        <v>14682368.972575199</v>
      </c>
    </row>
    <row r="92" spans="2:3">
      <c r="B92" s="64" t="s">
        <v>2073</v>
      </c>
      <c r="C92">
        <f t="shared" ca="1" si="1"/>
        <v>-8.2400000000000001E-2</v>
      </c>
    </row>
    <row r="93" spans="2:3">
      <c r="B93" s="64" t="s">
        <v>2074</v>
      </c>
      <c r="C93">
        <f t="shared" ca="1" si="1"/>
        <v>0.46460000000000001</v>
      </c>
    </row>
    <row r="94" spans="2:3">
      <c r="B94" s="64" t="s">
        <v>2075</v>
      </c>
      <c r="C94">
        <f t="shared" ca="1" si="1"/>
        <v>0.1454</v>
      </c>
    </row>
    <row r="95" spans="2:3">
      <c r="B95" s="64" t="s">
        <v>2076</v>
      </c>
      <c r="C95" t="e">
        <f t="shared" ca="1" si="1"/>
        <v>#VALUE!</v>
      </c>
    </row>
    <row r="96" spans="2:3">
      <c r="B96" s="64" t="s">
        <v>2077</v>
      </c>
      <c r="C96" t="e">
        <f t="shared" ca="1" si="1"/>
        <v>#VALUE!</v>
      </c>
    </row>
    <row r="97" spans="2:3">
      <c r="B97" s="64" t="s">
        <v>2078</v>
      </c>
      <c r="C97" t="e">
        <f t="shared" ca="1" si="1"/>
        <v>#VALUE!</v>
      </c>
    </row>
    <row r="98" spans="2:3">
      <c r="B98" s="64" t="s">
        <v>2079</v>
      </c>
      <c r="C98" t="e">
        <f t="shared" ca="1" si="1"/>
        <v>#VALUE!</v>
      </c>
    </row>
    <row r="99" spans="2:3">
      <c r="B99" s="63" t="s">
        <v>2080</v>
      </c>
      <c r="C99" t="e">
        <f t="shared" ca="1" si="1"/>
        <v>#VALUE!</v>
      </c>
    </row>
    <row r="100" spans="2:3">
      <c r="B100" s="64" t="s">
        <v>2081</v>
      </c>
      <c r="C100" t="e">
        <f t="shared" ca="1" si="1"/>
        <v>#VALUE!</v>
      </c>
    </row>
    <row r="101" spans="2:3">
      <c r="B101" s="63" t="s">
        <v>2082</v>
      </c>
      <c r="C101" t="e">
        <f t="shared" ca="1" si="1"/>
        <v>#VALUE!</v>
      </c>
    </row>
    <row r="102" spans="2:3">
      <c r="B102" s="63" t="s">
        <v>2083</v>
      </c>
      <c r="C102" t="e">
        <f t="shared" ca="1" si="1"/>
        <v>#VALUE!</v>
      </c>
    </row>
    <row r="103" spans="2:3">
      <c r="B103" s="63" t="s">
        <v>2084</v>
      </c>
      <c r="C103" t="e">
        <f t="shared" ca="1" si="1"/>
        <v>#VALUE!</v>
      </c>
    </row>
    <row r="104" spans="2:3">
      <c r="B104" s="63" t="s">
        <v>2085</v>
      </c>
      <c r="C104" t="e">
        <f t="shared" ca="1" si="1"/>
        <v>#VALUE!</v>
      </c>
    </row>
    <row r="105" spans="2:3">
      <c r="B105" s="63" t="s">
        <v>2086</v>
      </c>
      <c r="C105" t="e">
        <f t="shared" ca="1" si="1"/>
        <v>#VALUE!</v>
      </c>
    </row>
    <row r="106" spans="2:3">
      <c r="B106" s="63" t="s">
        <v>2087</v>
      </c>
      <c r="C106" t="e">
        <f t="shared" ca="1" si="1"/>
        <v>#VALUE!</v>
      </c>
    </row>
    <row r="107" spans="2:3">
      <c r="B107" s="63" t="s">
        <v>2088</v>
      </c>
      <c r="C107" t="e">
        <f t="shared" ca="1" si="1"/>
        <v>#VALUE!</v>
      </c>
    </row>
    <row r="108" spans="2:3">
      <c r="B108" s="63" t="s">
        <v>2089</v>
      </c>
      <c r="C108" t="e">
        <f t="shared" ca="1" si="1"/>
        <v>#REF!</v>
      </c>
    </row>
    <row r="109" spans="2:3">
      <c r="B109" s="63" t="s">
        <v>2090</v>
      </c>
      <c r="C109" t="e">
        <f t="shared" ca="1" si="1"/>
        <v>#REF!</v>
      </c>
    </row>
    <row r="110" spans="2:3">
      <c r="B110" s="63" t="s">
        <v>2091</v>
      </c>
      <c r="C110" t="e">
        <f t="shared" ca="1" si="1"/>
        <v>#REF!</v>
      </c>
    </row>
    <row r="111" spans="2:3">
      <c r="B111" s="63" t="s">
        <v>2092</v>
      </c>
      <c r="C111" t="e">
        <f t="shared" ca="1" si="1"/>
        <v>#REF!</v>
      </c>
    </row>
    <row r="112" spans="2:3">
      <c r="B112" s="63" t="s">
        <v>2093</v>
      </c>
      <c r="C112" t="e">
        <f t="shared" ca="1" si="1"/>
        <v>#REF!</v>
      </c>
    </row>
    <row r="113" spans="2:3">
      <c r="B113" s="63" t="s">
        <v>2094</v>
      </c>
      <c r="C113" t="e">
        <f t="shared" ca="1" si="1"/>
        <v>#REF!</v>
      </c>
    </row>
    <row r="114" spans="2:3">
      <c r="B114" s="63" t="s">
        <v>2095</v>
      </c>
      <c r="C114" t="e">
        <f t="shared" ca="1" si="1"/>
        <v>#REF!</v>
      </c>
    </row>
    <row r="115" spans="2:3">
      <c r="B115" s="63" t="s">
        <v>2096</v>
      </c>
      <c r="C115">
        <f t="shared" ca="1" si="1"/>
        <v>0</v>
      </c>
    </row>
    <row r="116" spans="2:3">
      <c r="B116" s="64" t="s">
        <v>2097</v>
      </c>
      <c r="C116">
        <f t="shared" ca="1" si="1"/>
        <v>5409668.1473058127</v>
      </c>
    </row>
    <row r="117" spans="2:3">
      <c r="B117" s="63" t="s">
        <v>2098</v>
      </c>
      <c r="C117">
        <f t="shared" ca="1" si="1"/>
        <v>0</v>
      </c>
    </row>
    <row r="118" spans="2:3">
      <c r="B118" s="63" t="s">
        <v>2099</v>
      </c>
      <c r="C118">
        <f t="shared" ca="1" si="1"/>
        <v>0</v>
      </c>
    </row>
    <row r="119" spans="2:3">
      <c r="B119" s="64" t="s">
        <v>2100</v>
      </c>
      <c r="C119">
        <f t="shared" ca="1" si="1"/>
        <v>0</v>
      </c>
    </row>
    <row r="120" spans="2:3">
      <c r="B120" s="63" t="s">
        <v>2101</v>
      </c>
      <c r="C120">
        <f t="shared" ca="1" si="1"/>
        <v>0</v>
      </c>
    </row>
    <row r="121" spans="2:3">
      <c r="B121" s="63" t="s">
        <v>2102</v>
      </c>
      <c r="C121">
        <f t="shared" ca="1" si="1"/>
        <v>0</v>
      </c>
    </row>
    <row r="122" spans="2:3">
      <c r="B122" s="64" t="s">
        <v>2103</v>
      </c>
      <c r="C122">
        <f t="shared" ca="1" si="1"/>
        <v>0</v>
      </c>
    </row>
    <row r="123" spans="2:3">
      <c r="B123" s="63" t="s">
        <v>2104</v>
      </c>
      <c r="C123">
        <f t="shared" ca="1" si="1"/>
        <v>0</v>
      </c>
    </row>
    <row r="124" spans="2:3">
      <c r="B124" s="63" t="s">
        <v>2105</v>
      </c>
      <c r="C124">
        <f t="shared" ca="1" si="1"/>
        <v>0</v>
      </c>
    </row>
    <row r="125" spans="2:3">
      <c r="B125" s="64" t="s">
        <v>2106</v>
      </c>
      <c r="C125">
        <f t="shared" ca="1" si="1"/>
        <v>0</v>
      </c>
    </row>
    <row r="126" spans="2:3">
      <c r="B126" s="63" t="s">
        <v>2107</v>
      </c>
      <c r="C126">
        <f t="shared" ca="1" si="1"/>
        <v>855689.66410556505</v>
      </c>
    </row>
    <row r="127" spans="2:3">
      <c r="B127" s="63" t="s">
        <v>2108</v>
      </c>
      <c r="C127">
        <f t="shared" ca="1" si="1"/>
        <v>0</v>
      </c>
    </row>
    <row r="128" spans="2:3">
      <c r="B128" s="64" t="s">
        <v>2109</v>
      </c>
      <c r="C128">
        <f t="shared" ca="1" si="1"/>
        <v>212284.91908248374</v>
      </c>
    </row>
    <row r="129" spans="2:3">
      <c r="B129" s="63" t="s">
        <v>2110</v>
      </c>
      <c r="C129">
        <f t="shared" ca="1" si="1"/>
        <v>92351.72500000002</v>
      </c>
    </row>
    <row r="130" spans="2:3">
      <c r="B130" s="63" t="s">
        <v>2111</v>
      </c>
      <c r="C130">
        <f t="shared" ca="1" si="1"/>
        <v>89594590.976749957</v>
      </c>
    </row>
    <row r="131" spans="2:3">
      <c r="B131" s="64" t="s">
        <v>2112</v>
      </c>
      <c r="C131" t="str">
        <f t="shared" ref="C131:C194" ca="1" si="2">INDIRECT(B131)</f>
        <v>Convencional</v>
      </c>
    </row>
    <row r="132" spans="2:3">
      <c r="B132" s="63" t="s">
        <v>2113</v>
      </c>
      <c r="C132" t="e">
        <f t="shared" ca="1" si="2"/>
        <v>#VALUE!</v>
      </c>
    </row>
    <row r="133" spans="2:3">
      <c r="B133" s="64" t="s">
        <v>2114</v>
      </c>
      <c r="C133" t="e">
        <f t="shared" ca="1" si="2"/>
        <v>#REF!</v>
      </c>
    </row>
    <row r="134" spans="2:3">
      <c r="B134" s="63" t="s">
        <v>2115</v>
      </c>
      <c r="C134" t="e">
        <f t="shared" ca="1" si="2"/>
        <v>#REF!</v>
      </c>
    </row>
    <row r="135" spans="2:3">
      <c r="B135" s="63" t="s">
        <v>2116</v>
      </c>
      <c r="C135">
        <f t="shared" ca="1" si="2"/>
        <v>44713</v>
      </c>
    </row>
    <row r="136" spans="2:3">
      <c r="B136" s="63" t="s">
        <v>2117</v>
      </c>
      <c r="C136">
        <f t="shared" ca="1" si="2"/>
        <v>44378</v>
      </c>
    </row>
    <row r="137" spans="2:3">
      <c r="B137" s="63" t="s">
        <v>2118</v>
      </c>
      <c r="C137" t="e">
        <f t="shared" ca="1" si="2"/>
        <v>#REF!</v>
      </c>
    </row>
    <row r="138" spans="2:3">
      <c r="B138" s="63" t="s">
        <v>2119</v>
      </c>
      <c r="C138" t="e">
        <f t="shared" ca="1" si="2"/>
        <v>#REF!</v>
      </c>
    </row>
    <row r="139" spans="2:3">
      <c r="B139" s="63" t="s">
        <v>2120</v>
      </c>
      <c r="C139" t="e">
        <f t="shared" ca="1" si="2"/>
        <v>#REF!</v>
      </c>
    </row>
    <row r="140" spans="2:3">
      <c r="B140" s="63" t="s">
        <v>2121</v>
      </c>
      <c r="C140">
        <f t="shared" ca="1" si="2"/>
        <v>0</v>
      </c>
    </row>
    <row r="141" spans="2:3">
      <c r="B141" s="63" t="s">
        <v>2122</v>
      </c>
      <c r="C141" t="e">
        <f t="shared" ca="1" si="2"/>
        <v>#VALUE!</v>
      </c>
    </row>
    <row r="142" spans="2:3">
      <c r="B142" s="63" t="s">
        <v>2123</v>
      </c>
      <c r="C142" t="e">
        <f t="shared" ca="1" si="2"/>
        <v>#VALUE!</v>
      </c>
    </row>
    <row r="143" spans="2:3">
      <c r="B143" s="63" t="s">
        <v>2124</v>
      </c>
      <c r="C143" t="e">
        <f t="shared" ca="1" si="2"/>
        <v>#VALUE!</v>
      </c>
    </row>
    <row r="144" spans="2:3">
      <c r="B144" s="63" t="s">
        <v>2125</v>
      </c>
      <c r="C144" t="e">
        <f t="shared" ca="1" si="2"/>
        <v>#VALUE!</v>
      </c>
    </row>
    <row r="145" spans="2:3">
      <c r="B145" s="63" t="s">
        <v>2126</v>
      </c>
      <c r="C145" t="e">
        <f t="shared" ca="1" si="2"/>
        <v>#VALUE!</v>
      </c>
    </row>
    <row r="146" spans="2:3">
      <c r="B146" s="64" t="s">
        <v>2127</v>
      </c>
      <c r="C146" t="e">
        <f t="shared" ca="1" si="2"/>
        <v>#REF!</v>
      </c>
    </row>
    <row r="147" spans="2:3">
      <c r="B147" s="64" t="s">
        <v>2128</v>
      </c>
      <c r="C147" t="e">
        <f t="shared" ca="1" si="2"/>
        <v>#REF!</v>
      </c>
    </row>
    <row r="148" spans="2:3">
      <c r="B148" s="64" t="s">
        <v>2129</v>
      </c>
      <c r="C148" t="e">
        <f t="shared" ca="1" si="2"/>
        <v>#REF!</v>
      </c>
    </row>
    <row r="149" spans="2:3">
      <c r="B149" s="64" t="s">
        <v>2130</v>
      </c>
      <c r="C149" t="e">
        <f t="shared" ca="1" si="2"/>
        <v>#REF!</v>
      </c>
    </row>
    <row r="150" spans="2:3">
      <c r="B150" s="64" t="s">
        <v>2131</v>
      </c>
      <c r="C150" t="e">
        <f t="shared" ca="1" si="2"/>
        <v>#REF!</v>
      </c>
    </row>
    <row r="151" spans="2:3">
      <c r="B151" s="64" t="s">
        <v>2132</v>
      </c>
      <c r="C151" t="e">
        <f t="shared" ca="1" si="2"/>
        <v>#REF!</v>
      </c>
    </row>
    <row r="152" spans="2:3">
      <c r="B152" s="64" t="s">
        <v>2133</v>
      </c>
      <c r="C152" t="e">
        <f t="shared" ca="1" si="2"/>
        <v>#REF!</v>
      </c>
    </row>
    <row r="153" spans="2:3">
      <c r="B153" s="64" t="s">
        <v>2134</v>
      </c>
      <c r="C153" t="e">
        <f t="shared" ca="1" si="2"/>
        <v>#REF!</v>
      </c>
    </row>
    <row r="154" spans="2:3">
      <c r="B154" s="63" t="s">
        <v>2135</v>
      </c>
      <c r="C154" t="e">
        <f t="shared" ca="1" si="2"/>
        <v>#VALUE!</v>
      </c>
    </row>
    <row r="155" spans="2:3">
      <c r="B155" s="63" t="s">
        <v>2136</v>
      </c>
      <c r="C155" t="e">
        <f t="shared" ca="1" si="2"/>
        <v>#VALUE!</v>
      </c>
    </row>
    <row r="156" spans="2:3">
      <c r="B156" s="63" t="s">
        <v>2137</v>
      </c>
      <c r="C156" t="e">
        <f t="shared" ca="1" si="2"/>
        <v>#VALUE!</v>
      </c>
    </row>
    <row r="157" spans="2:3">
      <c r="B157" s="63" t="s">
        <v>2138</v>
      </c>
      <c r="C157" t="e">
        <f t="shared" ca="1" si="2"/>
        <v>#VALUE!</v>
      </c>
    </row>
    <row r="158" spans="2:3">
      <c r="B158" s="63" t="s">
        <v>2139</v>
      </c>
      <c r="C158" t="e">
        <f t="shared" ca="1" si="2"/>
        <v>#REF!</v>
      </c>
    </row>
    <row r="159" spans="2:3">
      <c r="B159" s="63" t="s">
        <v>2140</v>
      </c>
      <c r="C159" t="e">
        <f t="shared" ca="1" si="2"/>
        <v>#VALUE!</v>
      </c>
    </row>
    <row r="160" spans="2:3">
      <c r="B160" s="63" t="s">
        <v>2141</v>
      </c>
      <c r="C160" t="e">
        <f t="shared" ca="1" si="2"/>
        <v>#VALUE!</v>
      </c>
    </row>
    <row r="161" spans="2:3">
      <c r="B161" s="63" t="s">
        <v>2142</v>
      </c>
      <c r="C161" t="e">
        <f t="shared" ca="1" si="2"/>
        <v>#VALUE!</v>
      </c>
    </row>
    <row r="162" spans="2:3">
      <c r="B162" s="63" t="s">
        <v>2143</v>
      </c>
      <c r="C162" t="e">
        <f t="shared" ca="1" si="2"/>
        <v>#VALUE!</v>
      </c>
    </row>
    <row r="163" spans="2:3">
      <c r="B163" s="63" t="s">
        <v>2144</v>
      </c>
      <c r="C163" t="e">
        <f t="shared" ca="1" si="2"/>
        <v>#VALUE!</v>
      </c>
    </row>
    <row r="164" spans="2:3">
      <c r="B164" s="63" t="s">
        <v>2145</v>
      </c>
      <c r="C164" t="e">
        <f t="shared" ca="1" si="2"/>
        <v>#VALUE!</v>
      </c>
    </row>
    <row r="165" spans="2:3">
      <c r="B165" s="63" t="s">
        <v>2146</v>
      </c>
      <c r="C165" t="e">
        <f t="shared" ca="1" si="2"/>
        <v>#VALUE!</v>
      </c>
    </row>
    <row r="166" spans="2:3">
      <c r="B166" s="63" t="s">
        <v>2147</v>
      </c>
      <c r="C166" t="e">
        <f t="shared" ca="1" si="2"/>
        <v>#VALUE!</v>
      </c>
    </row>
    <row r="167" spans="2:3">
      <c r="B167" s="63" t="s">
        <v>2148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227</vt:i4>
      </vt:variant>
    </vt:vector>
  </HeadingPairs>
  <TitlesOfParts>
    <vt:vector size="260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2022-07-28T18:25:13Z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